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yotiShinde-SeniorMa\Desktop\May 26\Solution checking\CP\"/>
    </mc:Choice>
  </mc:AlternateContent>
  <xr:revisionPtr revIDLastSave="0" documentId="13_ncr:1_{E0681F64-9EFD-48FB-8FD3-9B680D026D05}" xr6:coauthVersionLast="47" xr6:coauthVersionMax="47" xr10:uidLastSave="{00000000-0000-0000-0000-000000000000}"/>
  <bookViews>
    <workbookView xWindow="-110" yWindow="-110" windowWidth="19420" windowHeight="10300" tabRatio="767" xr2:uid="{00000000-000D-0000-FFFF-FFFF00000000}"/>
  </bookViews>
  <sheets>
    <sheet name="Inputs" sheetId="1" r:id="rId1"/>
    <sheet name="Other Inputs" sheetId="2" r:id="rId2"/>
    <sheet name="Projection - Base" sheetId="3" r:id="rId3"/>
    <sheet name="Projection - ScenarioA" sheetId="4" r:id="rId4"/>
    <sheet name="Projection - ScenarioB" sheetId="5" r:id="rId5"/>
    <sheet name="Projection - ScenarioC" sheetId="6" r:id="rId6"/>
    <sheet name="Scenario Summary" sheetId="7" r:id="rId7"/>
    <sheet name="Summary "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1" l="1"/>
  <c r="J88" i="9"/>
  <c r="I88" i="9"/>
  <c r="G88" i="9"/>
  <c r="F88" i="9"/>
  <c r="E88" i="9"/>
  <c r="D88" i="9"/>
  <c r="J87" i="9"/>
  <c r="I87" i="9"/>
  <c r="D87" i="9"/>
  <c r="J86" i="9"/>
  <c r="I86" i="9"/>
  <c r="D86" i="9"/>
  <c r="J85" i="9"/>
  <c r="I85" i="9"/>
  <c r="D85" i="9"/>
  <c r="J84" i="9"/>
  <c r="I84" i="9"/>
  <c r="H84" i="9"/>
  <c r="G84" i="9"/>
  <c r="F84" i="9"/>
  <c r="E84" i="9"/>
  <c r="D84" i="9"/>
  <c r="C32" i="6"/>
  <c r="C31" i="6"/>
  <c r="C30" i="6"/>
  <c r="C29" i="6"/>
  <c r="C28" i="6"/>
  <c r="C27" i="6"/>
  <c r="C26" i="6"/>
  <c r="C25" i="6"/>
  <c r="C24" i="6"/>
  <c r="C23" i="6"/>
  <c r="AT13" i="6"/>
  <c r="AM13" i="6"/>
  <c r="AK13" i="6"/>
  <c r="AT12" i="6"/>
  <c r="AM12" i="6"/>
  <c r="AK12" i="6"/>
  <c r="AT11" i="6"/>
  <c r="AM11" i="6"/>
  <c r="AK11" i="6"/>
  <c r="AT10" i="6"/>
  <c r="AM10" i="6"/>
  <c r="AK10" i="6"/>
  <c r="AX9" i="6"/>
  <c r="AX10" i="6" s="1"/>
  <c r="AX11" i="6" s="1"/>
  <c r="AX12" i="6" s="1"/>
  <c r="AX13" i="6" s="1"/>
  <c r="AT9" i="6"/>
  <c r="AM9" i="6"/>
  <c r="AK9" i="6"/>
  <c r="AT8" i="6"/>
  <c r="AM8" i="6"/>
  <c r="AK8" i="6"/>
  <c r="AX7" i="6"/>
  <c r="AX8" i="6" s="1"/>
  <c r="AT7" i="6"/>
  <c r="AM7" i="6"/>
  <c r="AK7" i="6"/>
  <c r="AT6" i="6"/>
  <c r="AM6" i="6"/>
  <c r="AK6" i="6"/>
  <c r="AX5" i="6"/>
  <c r="AX6" i="6" s="1"/>
  <c r="AT5" i="6"/>
  <c r="AM5" i="6"/>
  <c r="AK5" i="6"/>
  <c r="AX4" i="6"/>
  <c r="AT4" i="6"/>
  <c r="AM4" i="6"/>
  <c r="AK4" i="6"/>
  <c r="N4" i="6"/>
  <c r="AA4" i="6" s="1"/>
  <c r="M4" i="6"/>
  <c r="Z4" i="6" s="1"/>
  <c r="I4" i="6"/>
  <c r="H4" i="6"/>
  <c r="U4" i="6" s="1"/>
  <c r="E4" i="6"/>
  <c r="F4" i="6" s="1"/>
  <c r="D4" i="6"/>
  <c r="D5" i="6" s="1"/>
  <c r="C4" i="6"/>
  <c r="C5" i="6" s="1"/>
  <c r="M5" i="6" s="1"/>
  <c r="AM13" i="5"/>
  <c r="AK13" i="5"/>
  <c r="AM12" i="5"/>
  <c r="AK12" i="5"/>
  <c r="AM11" i="5"/>
  <c r="AK11" i="5"/>
  <c r="AM10" i="5"/>
  <c r="AK10" i="5"/>
  <c r="AM9" i="5"/>
  <c r="AK9" i="5"/>
  <c r="AM8" i="5"/>
  <c r="AK8" i="5"/>
  <c r="AM7" i="5"/>
  <c r="AK7" i="5"/>
  <c r="AM6" i="5"/>
  <c r="AK6" i="5"/>
  <c r="AM5" i="5"/>
  <c r="AK5" i="5"/>
  <c r="AM4" i="5"/>
  <c r="AK4" i="5"/>
  <c r="AK14" i="5" s="1"/>
  <c r="N4" i="5"/>
  <c r="E4" i="5"/>
  <c r="D4" i="5"/>
  <c r="D5" i="5" s="1"/>
  <c r="N5" i="5" s="1"/>
  <c r="AA5" i="5" s="1"/>
  <c r="C4" i="5"/>
  <c r="C30" i="4"/>
  <c r="C29" i="4"/>
  <c r="C28" i="4"/>
  <c r="C27" i="4"/>
  <c r="C26" i="4"/>
  <c r="C25" i="4"/>
  <c r="C24" i="4"/>
  <c r="C23" i="4"/>
  <c r="C22" i="4"/>
  <c r="C21" i="4"/>
  <c r="BH13" i="4"/>
  <c r="BF13" i="4"/>
  <c r="BH12" i="4"/>
  <c r="BF12" i="4"/>
  <c r="BH11" i="4"/>
  <c r="BF11" i="4"/>
  <c r="BH10" i="4"/>
  <c r="BF10" i="4"/>
  <c r="BH9" i="4"/>
  <c r="BF9" i="4"/>
  <c r="BH8" i="4"/>
  <c r="BF8" i="4"/>
  <c r="BH7" i="4"/>
  <c r="BF7" i="4"/>
  <c r="BH6" i="4"/>
  <c r="BF6" i="4"/>
  <c r="BH5" i="4"/>
  <c r="BF5" i="4"/>
  <c r="BH4" i="4"/>
  <c r="BF4" i="4"/>
  <c r="E4" i="4"/>
  <c r="P4" i="4" s="1"/>
  <c r="D4" i="4"/>
  <c r="O4" i="4" s="1"/>
  <c r="AP4" i="4" s="1"/>
  <c r="C4" i="4"/>
  <c r="N4" i="4" s="1"/>
  <c r="AM13" i="3"/>
  <c r="AK13" i="3"/>
  <c r="AM12" i="3"/>
  <c r="AK12" i="3"/>
  <c r="AM11" i="3"/>
  <c r="AK11" i="3"/>
  <c r="AM10" i="3"/>
  <c r="AK10" i="3"/>
  <c r="AM9" i="3"/>
  <c r="AK9" i="3"/>
  <c r="AM8" i="3"/>
  <c r="AK8" i="3"/>
  <c r="AM7" i="3"/>
  <c r="AK7" i="3"/>
  <c r="AM6" i="3"/>
  <c r="AK6" i="3"/>
  <c r="AM5" i="3"/>
  <c r="AK5" i="3"/>
  <c r="AM4" i="3"/>
  <c r="AK4" i="3"/>
  <c r="E4" i="3"/>
  <c r="D4" i="3"/>
  <c r="C4" i="3"/>
  <c r="C5" i="3" s="1"/>
  <c r="H5" i="3" s="1"/>
  <c r="D5" i="4" l="1"/>
  <c r="O5" i="4" s="1"/>
  <c r="AP5" i="4" s="1"/>
  <c r="E5" i="4"/>
  <c r="P5" i="4" s="1"/>
  <c r="AQ5" i="4" s="1"/>
  <c r="O4" i="6"/>
  <c r="AB4" i="6" s="1"/>
  <c r="E5" i="6"/>
  <c r="J5" i="6" s="1"/>
  <c r="W5" i="6" s="1"/>
  <c r="Q4" i="4"/>
  <c r="AF4" i="4" s="1"/>
  <c r="AO4" i="4"/>
  <c r="C5" i="4"/>
  <c r="F5" i="4" s="1"/>
  <c r="J4" i="6"/>
  <c r="W4" i="6" s="1"/>
  <c r="F4" i="3"/>
  <c r="H4" i="3"/>
  <c r="H4" i="4" s="1"/>
  <c r="AJ4" i="4" s="1"/>
  <c r="F4" i="4"/>
  <c r="AK14" i="3"/>
  <c r="P4" i="6"/>
  <c r="S4" i="6" s="1"/>
  <c r="BF14" i="4"/>
  <c r="AM14" i="5"/>
  <c r="I4" i="5"/>
  <c r="V4" i="5" s="1"/>
  <c r="U5" i="3"/>
  <c r="Y5" i="4"/>
  <c r="S5" i="4"/>
  <c r="H5" i="4"/>
  <c r="D6" i="4"/>
  <c r="E6" i="4"/>
  <c r="E5" i="3"/>
  <c r="O4" i="3"/>
  <c r="AM14" i="3"/>
  <c r="J4" i="3"/>
  <c r="D5" i="3"/>
  <c r="N4" i="3"/>
  <c r="I4" i="3"/>
  <c r="C6" i="3"/>
  <c r="C21" i="3"/>
  <c r="M5" i="3"/>
  <c r="AQ4" i="4"/>
  <c r="C5" i="5"/>
  <c r="M4" i="5"/>
  <c r="H4" i="5"/>
  <c r="F4" i="5"/>
  <c r="O4" i="5"/>
  <c r="E5" i="5"/>
  <c r="J4" i="5"/>
  <c r="I5" i="5"/>
  <c r="V5" i="5" s="1"/>
  <c r="D6" i="5"/>
  <c r="BH14" i="4"/>
  <c r="M4" i="3"/>
  <c r="AH4" i="6" a="1"/>
  <c r="AH4" i="6" s="1"/>
  <c r="V4" i="6"/>
  <c r="AC4" i="6"/>
  <c r="N5" i="6"/>
  <c r="AA5" i="6" s="1"/>
  <c r="D6" i="6"/>
  <c r="Z5" i="6"/>
  <c r="AA4" i="5"/>
  <c r="K4" i="6"/>
  <c r="O5" i="6"/>
  <c r="AB5" i="6" s="1"/>
  <c r="E6" i="6"/>
  <c r="AK14" i="6"/>
  <c r="F5" i="6"/>
  <c r="AM14" i="6"/>
  <c r="H5" i="6"/>
  <c r="C6" i="6"/>
  <c r="AX14" i="6"/>
  <c r="I5" i="6"/>
  <c r="V5" i="6" s="1"/>
  <c r="AG4" i="6" a="1"/>
  <c r="AG4" i="6" s="1"/>
  <c r="Y4" i="4" l="1"/>
  <c r="U4" i="3"/>
  <c r="P5" i="6"/>
  <c r="S5" i="6" s="1"/>
  <c r="K4" i="3"/>
  <c r="S4" i="4"/>
  <c r="AT4" i="4" s="1"/>
  <c r="H21" i="3"/>
  <c r="N5" i="4"/>
  <c r="C6" i="4"/>
  <c r="N6" i="5"/>
  <c r="D7" i="5"/>
  <c r="I6" i="5"/>
  <c r="V6" i="5" s="1"/>
  <c r="AJ5" i="4"/>
  <c r="AB4" i="3"/>
  <c r="X4" i="6"/>
  <c r="AE4" i="6" s="1"/>
  <c r="E6" i="3"/>
  <c r="E21" i="3"/>
  <c r="O5" i="3"/>
  <c r="AB5" i="3" s="1"/>
  <c r="J5" i="3"/>
  <c r="AT5" i="4"/>
  <c r="C6" i="5"/>
  <c r="H5" i="5"/>
  <c r="F5" i="5"/>
  <c r="M5" i="5"/>
  <c r="E7" i="4"/>
  <c r="P6" i="4"/>
  <c r="AB4" i="5"/>
  <c r="H6" i="3"/>
  <c r="C7" i="3"/>
  <c r="M6" i="3"/>
  <c r="C22" i="3"/>
  <c r="W4" i="3"/>
  <c r="U4" i="4"/>
  <c r="J4" i="4"/>
  <c r="AA4" i="4"/>
  <c r="D7" i="4"/>
  <c r="O6" i="4"/>
  <c r="Z5" i="3"/>
  <c r="AI4" i="6"/>
  <c r="E7" i="6"/>
  <c r="J6" i="6"/>
  <c r="O6" i="6"/>
  <c r="O5" i="5"/>
  <c r="AB5" i="5" s="1"/>
  <c r="E6" i="5"/>
  <c r="J5" i="5"/>
  <c r="W5" i="5" s="1"/>
  <c r="R4" i="6"/>
  <c r="AR4" i="4"/>
  <c r="N5" i="3"/>
  <c r="AA5" i="3" s="1"/>
  <c r="D6" i="3"/>
  <c r="D21" i="3"/>
  <c r="F5" i="3"/>
  <c r="I5" i="3"/>
  <c r="W4" i="5"/>
  <c r="P4" i="3"/>
  <c r="Z4" i="3"/>
  <c r="AC5" i="6"/>
  <c r="AH5" i="6" a="1"/>
  <c r="AH5" i="6" s="1"/>
  <c r="H6" i="6"/>
  <c r="F6" i="6"/>
  <c r="C7" i="6"/>
  <c r="M6" i="6"/>
  <c r="I6" i="6"/>
  <c r="D7" i="6"/>
  <c r="N6" i="6"/>
  <c r="AA6" i="6" s="1"/>
  <c r="K4" i="5"/>
  <c r="U4" i="5"/>
  <c r="T4" i="4"/>
  <c r="V4" i="4" s="1"/>
  <c r="Z4" i="4"/>
  <c r="V4" i="3"/>
  <c r="I4" i="4"/>
  <c r="F6" i="4"/>
  <c r="K5" i="6"/>
  <c r="R5" i="6" s="1"/>
  <c r="AO5" i="6" s="1"/>
  <c r="U5" i="6"/>
  <c r="Z4" i="5"/>
  <c r="P4" i="5"/>
  <c r="AA4" i="3"/>
  <c r="R4" i="3"/>
  <c r="C7" i="4" l="1"/>
  <c r="N6" i="4"/>
  <c r="Q5" i="4"/>
  <c r="AF5" i="4" s="1"/>
  <c r="AO5" i="4"/>
  <c r="AR5" i="4" s="1"/>
  <c r="BB5" i="4" s="1"/>
  <c r="F6" i="3"/>
  <c r="F22" i="3" s="1"/>
  <c r="AH4" i="5" a="1"/>
  <c r="AH4" i="5" s="1"/>
  <c r="AC4" i="5"/>
  <c r="R4" i="5"/>
  <c r="AG5" i="6" a="1"/>
  <c r="AG5" i="6" s="1"/>
  <c r="AI5" i="6" s="1"/>
  <c r="AQ5" i="6" s="1"/>
  <c r="X5" i="6"/>
  <c r="AU5" i="6" s="1"/>
  <c r="S4" i="3"/>
  <c r="W6" i="6"/>
  <c r="AH5" i="3" a="1"/>
  <c r="AH5" i="3" s="1"/>
  <c r="AC5" i="3"/>
  <c r="H7" i="3"/>
  <c r="C8" i="3"/>
  <c r="M7" i="3"/>
  <c r="C23" i="3"/>
  <c r="Z5" i="5"/>
  <c r="P5" i="5"/>
  <c r="S5" i="5" s="1"/>
  <c r="AU4" i="6"/>
  <c r="E23" i="6" s="1"/>
  <c r="AA6" i="5"/>
  <c r="N7" i="6"/>
  <c r="D8" i="6"/>
  <c r="I7" i="6"/>
  <c r="V7" i="6" s="1"/>
  <c r="O7" i="6"/>
  <c r="AB7" i="6" s="1"/>
  <c r="E8" i="6"/>
  <c r="J7" i="6"/>
  <c r="W7" i="6" s="1"/>
  <c r="P5" i="3"/>
  <c r="S5" i="3" s="1"/>
  <c r="Z6" i="3"/>
  <c r="V6" i="6"/>
  <c r="AP6" i="4"/>
  <c r="H6" i="4"/>
  <c r="U6" i="3"/>
  <c r="H22" i="3"/>
  <c r="Y6" i="4"/>
  <c r="S6" i="4"/>
  <c r="U5" i="5"/>
  <c r="K5" i="5"/>
  <c r="R5" i="5" s="1"/>
  <c r="M6" i="5"/>
  <c r="C7" i="5"/>
  <c r="H6" i="5"/>
  <c r="F6" i="5"/>
  <c r="AC4" i="3"/>
  <c r="AH4" i="3" a="1"/>
  <c r="AH4" i="3" s="1"/>
  <c r="D8" i="4"/>
  <c r="O7" i="4"/>
  <c r="AP7" i="4" s="1"/>
  <c r="N7" i="5"/>
  <c r="AA7" i="5" s="1"/>
  <c r="I7" i="5"/>
  <c r="D8" i="5"/>
  <c r="M7" i="6"/>
  <c r="C8" i="6"/>
  <c r="H7" i="6"/>
  <c r="F7" i="6"/>
  <c r="AO4" i="3"/>
  <c r="U6" i="6"/>
  <c r="K6" i="6"/>
  <c r="R6" i="6" s="1"/>
  <c r="AO4" i="6"/>
  <c r="AV4" i="4"/>
  <c r="AW4" i="4" s="1"/>
  <c r="AA5" i="4"/>
  <c r="U5" i="4"/>
  <c r="AV5" i="4" s="1"/>
  <c r="J21" i="3"/>
  <c r="J5" i="4"/>
  <c r="AL5" i="4" s="1"/>
  <c r="W5" i="3"/>
  <c r="F7" i="4"/>
  <c r="AK4" i="4"/>
  <c r="K4" i="4"/>
  <c r="AP4" i="6"/>
  <c r="AL4" i="4"/>
  <c r="AG4" i="4"/>
  <c r="W4" i="4"/>
  <c r="AU4" i="4"/>
  <c r="I21" i="3"/>
  <c r="Z5" i="4"/>
  <c r="T5" i="4"/>
  <c r="V5" i="3"/>
  <c r="I5" i="4"/>
  <c r="K5" i="3"/>
  <c r="O6" i="5"/>
  <c r="E7" i="5"/>
  <c r="J6" i="5"/>
  <c r="X4" i="3"/>
  <c r="D7" i="3"/>
  <c r="I6" i="3"/>
  <c r="N6" i="3"/>
  <c r="AA6" i="3" s="1"/>
  <c r="D22" i="3"/>
  <c r="AB6" i="6"/>
  <c r="Z6" i="6"/>
  <c r="P6" i="6"/>
  <c r="BB4" i="4"/>
  <c r="S4" i="5"/>
  <c r="AG4" i="5" a="1"/>
  <c r="AG4" i="5" s="1"/>
  <c r="X4" i="5"/>
  <c r="AB4" i="4"/>
  <c r="F21" i="3"/>
  <c r="AQ6" i="4"/>
  <c r="E7" i="3"/>
  <c r="O6" i="3"/>
  <c r="J6" i="3"/>
  <c r="E22" i="3"/>
  <c r="AG4" i="3" a="1"/>
  <c r="AG4" i="3" s="1"/>
  <c r="AQ4" i="6"/>
  <c r="P7" i="4"/>
  <c r="AQ7" i="4" s="1"/>
  <c r="E8" i="4"/>
  <c r="F7" i="3" l="1"/>
  <c r="AO5" i="5"/>
  <c r="AO6" i="4"/>
  <c r="AR6" i="4" s="1"/>
  <c r="Q6" i="4"/>
  <c r="AF6" i="4" s="1"/>
  <c r="N7" i="4"/>
  <c r="C8" i="4"/>
  <c r="F23" i="3"/>
  <c r="R5" i="3"/>
  <c r="U6" i="5"/>
  <c r="K6" i="5"/>
  <c r="Z7" i="3"/>
  <c r="W6" i="3"/>
  <c r="J22" i="3"/>
  <c r="AA6" i="4"/>
  <c r="J6" i="4"/>
  <c r="U6" i="4"/>
  <c r="AV6" i="4" s="1"/>
  <c r="AK5" i="4"/>
  <c r="AM5" i="4" s="1"/>
  <c r="K5" i="4"/>
  <c r="M7" i="5"/>
  <c r="H7" i="5"/>
  <c r="C8" i="5"/>
  <c r="F7" i="5"/>
  <c r="M8" i="3"/>
  <c r="C24" i="3"/>
  <c r="H8" i="3"/>
  <c r="C9" i="3"/>
  <c r="AO4" i="5"/>
  <c r="AJ6" i="4"/>
  <c r="X5" i="3"/>
  <c r="AG5" i="3" a="1"/>
  <c r="AG5" i="3" s="1"/>
  <c r="AI5" i="3" s="1"/>
  <c r="AQ5" i="3" s="1"/>
  <c r="P6" i="5"/>
  <c r="Z6" i="5"/>
  <c r="I8" i="6"/>
  <c r="N8" i="6"/>
  <c r="AA8" i="6" s="1"/>
  <c r="D9" i="6"/>
  <c r="J7" i="3"/>
  <c r="O7" i="3"/>
  <c r="AB7" i="3" s="1"/>
  <c r="E23" i="3"/>
  <c r="E8" i="3"/>
  <c r="BB6" i="4"/>
  <c r="AU5" i="4"/>
  <c r="AW5" i="4" s="1"/>
  <c r="BC5" i="4" s="1"/>
  <c r="V5" i="4"/>
  <c r="AW5" i="6"/>
  <c r="BA5" i="6" s="1"/>
  <c r="AA7" i="6"/>
  <c r="Y7" i="4"/>
  <c r="H7" i="4"/>
  <c r="S7" i="4"/>
  <c r="U7" i="3"/>
  <c r="H23" i="3"/>
  <c r="AB6" i="5"/>
  <c r="AB6" i="3"/>
  <c r="V6" i="3"/>
  <c r="I6" i="4"/>
  <c r="AK6" i="4" s="1"/>
  <c r="I22" i="3"/>
  <c r="Z6" i="4"/>
  <c r="AB6" i="4" s="1"/>
  <c r="T6" i="4"/>
  <c r="AU6" i="4" s="1"/>
  <c r="AB5" i="4"/>
  <c r="AR4" i="6"/>
  <c r="K7" i="6"/>
  <c r="U7" i="6"/>
  <c r="O8" i="4"/>
  <c r="AP8" i="4" s="1"/>
  <c r="D9" i="4"/>
  <c r="AG5" i="5" a="1"/>
  <c r="AG5" i="5" s="1"/>
  <c r="X5" i="5"/>
  <c r="AE5" i="3"/>
  <c r="AT4" i="5"/>
  <c r="AE4" i="5"/>
  <c r="AI4" i="5"/>
  <c r="E9" i="4"/>
  <c r="P8" i="4"/>
  <c r="AE5" i="6"/>
  <c r="P7" i="6"/>
  <c r="S7" i="6" s="1"/>
  <c r="Z7" i="6"/>
  <c r="AE4" i="3"/>
  <c r="K6" i="3"/>
  <c r="R6" i="3" s="1"/>
  <c r="AH6" i="3" a="1"/>
  <c r="AH6" i="3" s="1"/>
  <c r="AC6" i="3"/>
  <c r="AV4" i="6"/>
  <c r="AZ4" i="6" s="1"/>
  <c r="N8" i="5"/>
  <c r="I8" i="5"/>
  <c r="V8" i="5" s="1"/>
  <c r="D9" i="5"/>
  <c r="AT6" i="4"/>
  <c r="P6" i="3"/>
  <c r="S6" i="3" s="1"/>
  <c r="S22" i="3" s="1"/>
  <c r="S33" i="3" s="1"/>
  <c r="AI4" i="3"/>
  <c r="AW4" i="6"/>
  <c r="S6" i="6"/>
  <c r="AO6" i="6" s="1"/>
  <c r="AE4" i="4"/>
  <c r="L4" i="4"/>
  <c r="V7" i="5"/>
  <c r="S21" i="3"/>
  <c r="S32" i="3" s="1"/>
  <c r="H8" i="6"/>
  <c r="F8" i="6"/>
  <c r="M8" i="6"/>
  <c r="C9" i="6"/>
  <c r="AH4" i="4"/>
  <c r="AC4" i="4"/>
  <c r="AH6" i="6" a="1"/>
  <c r="AH6" i="6" s="1"/>
  <c r="AC6" i="6"/>
  <c r="X6" i="6"/>
  <c r="AG6" i="6" a="1"/>
  <c r="AG6" i="6" s="1"/>
  <c r="BC4" i="4"/>
  <c r="I7" i="3"/>
  <c r="N7" i="3"/>
  <c r="AA7" i="3" s="1"/>
  <c r="D23" i="3"/>
  <c r="D8" i="3"/>
  <c r="W6" i="5"/>
  <c r="AM4" i="4"/>
  <c r="O7" i="5"/>
  <c r="AB7" i="5" s="1"/>
  <c r="J7" i="5"/>
  <c r="W7" i="5" s="1"/>
  <c r="E8" i="5"/>
  <c r="O8" i="6"/>
  <c r="E9" i="6"/>
  <c r="J8" i="6"/>
  <c r="W8" i="6" s="1"/>
  <c r="AC5" i="5"/>
  <c r="AH5" i="5" a="1"/>
  <c r="AH5" i="5" s="1"/>
  <c r="AI5" i="5" s="1"/>
  <c r="AQ5" i="5" s="1"/>
  <c r="K7" i="3" l="1"/>
  <c r="R7" i="3" s="1"/>
  <c r="R23" i="3" s="1"/>
  <c r="R34" i="3" s="1"/>
  <c r="N8" i="4"/>
  <c r="AO8" i="4" s="1"/>
  <c r="F8" i="4"/>
  <c r="C9" i="4"/>
  <c r="Q7" i="4"/>
  <c r="AF7" i="4" s="1"/>
  <c r="AO7" i="4"/>
  <c r="AR7" i="4" s="1"/>
  <c r="BB7" i="4" s="1"/>
  <c r="AU6" i="6"/>
  <c r="AC6" i="4"/>
  <c r="AH6" i="4"/>
  <c r="R6" i="5"/>
  <c r="AB8" i="6"/>
  <c r="AG7" i="6" a="1"/>
  <c r="AG7" i="6" s="1"/>
  <c r="X7" i="6"/>
  <c r="AL6" i="4"/>
  <c r="AM6" i="4" s="1"/>
  <c r="BJ4" i="4"/>
  <c r="N9" i="6"/>
  <c r="D10" i="6"/>
  <c r="I9" i="6"/>
  <c r="V9" i="6" s="1"/>
  <c r="K6" i="4"/>
  <c r="P7" i="5"/>
  <c r="S7" i="5" s="1"/>
  <c r="Z7" i="5"/>
  <c r="AG6" i="5" a="1"/>
  <c r="AG6" i="5" s="1"/>
  <c r="X6" i="5"/>
  <c r="AQ4" i="3"/>
  <c r="R7" i="6"/>
  <c r="D23" i="6"/>
  <c r="AP4" i="3"/>
  <c r="X6" i="3"/>
  <c r="AE6" i="3" s="1"/>
  <c r="U7" i="4"/>
  <c r="AV7" i="4" s="1"/>
  <c r="W7" i="3"/>
  <c r="J23" i="3"/>
  <c r="J7" i="4"/>
  <c r="AL7" i="4" s="1"/>
  <c r="AA7" i="4"/>
  <c r="AE6" i="6"/>
  <c r="AC7" i="6"/>
  <c r="AE7" i="6" s="1"/>
  <c r="AH7" i="6" a="1"/>
  <c r="AH7" i="6" s="1"/>
  <c r="AI7" i="6" s="1"/>
  <c r="AQ7" i="6" s="1"/>
  <c r="AP4" i="5"/>
  <c r="V8" i="6"/>
  <c r="R21" i="3"/>
  <c r="R32" i="3" s="1"/>
  <c r="AO5" i="3"/>
  <c r="P9" i="4"/>
  <c r="AQ9" i="4" s="1"/>
  <c r="E10" i="4"/>
  <c r="U8" i="6"/>
  <c r="K8" i="6"/>
  <c r="R8" i="6" s="1"/>
  <c r="D24" i="3"/>
  <c r="I8" i="3"/>
  <c r="K8" i="3" s="1"/>
  <c r="R8" i="3" s="1"/>
  <c r="D9" i="3"/>
  <c r="N8" i="3"/>
  <c r="AA8" i="3" s="1"/>
  <c r="AI6" i="6"/>
  <c r="C10" i="3"/>
  <c r="M9" i="3"/>
  <c r="C25" i="3"/>
  <c r="H9" i="3"/>
  <c r="AW6" i="4"/>
  <c r="D24" i="6"/>
  <c r="AP5" i="3"/>
  <c r="AC5" i="4"/>
  <c r="AH5" i="4"/>
  <c r="AG5" i="4"/>
  <c r="W5" i="4"/>
  <c r="AH6" i="5" a="1"/>
  <c r="AH6" i="5" s="1"/>
  <c r="AC6" i="5"/>
  <c r="F8" i="3"/>
  <c r="V6" i="4"/>
  <c r="Q8" i="4"/>
  <c r="S6" i="5"/>
  <c r="S8" i="4"/>
  <c r="H8" i="4"/>
  <c r="Y8" i="4"/>
  <c r="H24" i="3"/>
  <c r="U8" i="3"/>
  <c r="AE5" i="4"/>
  <c r="L5" i="4"/>
  <c r="AQ4" i="5"/>
  <c r="AG6" i="3" a="1"/>
  <c r="AG6" i="3" s="1"/>
  <c r="AI6" i="3" s="1"/>
  <c r="AQ6" i="3" s="1"/>
  <c r="O8" i="5"/>
  <c r="AB8" i="5" s="1"/>
  <c r="J8" i="5"/>
  <c r="E9" i="5"/>
  <c r="AT5" i="5"/>
  <c r="AV5" i="5" s="1"/>
  <c r="AE5" i="5"/>
  <c r="AP5" i="5" s="1"/>
  <c r="T7" i="4"/>
  <c r="V7" i="3"/>
  <c r="AG7" i="3" s="1" a="1"/>
  <c r="AG7" i="3" s="1"/>
  <c r="I23" i="3"/>
  <c r="Z7" i="4"/>
  <c r="I7" i="4"/>
  <c r="AK7" i="4" s="1"/>
  <c r="BA4" i="6"/>
  <c r="BB4" i="6" s="1"/>
  <c r="N9" i="5"/>
  <c r="AA9" i="5" s="1"/>
  <c r="I9" i="5"/>
  <c r="D10" i="5"/>
  <c r="BA5" i="4"/>
  <c r="BD5" i="4" s="1"/>
  <c r="BL5" i="4" s="1"/>
  <c r="AY5" i="4"/>
  <c r="BK5" i="4" s="1"/>
  <c r="Z8" i="6"/>
  <c r="P8" i="6"/>
  <c r="AQ8" i="4"/>
  <c r="BA4" i="4"/>
  <c r="AY4" i="4"/>
  <c r="R22" i="3"/>
  <c r="R33" i="3" s="1"/>
  <c r="AO6" i="3"/>
  <c r="K7" i="5"/>
  <c r="R7" i="5" s="1"/>
  <c r="U7" i="5"/>
  <c r="E24" i="6"/>
  <c r="AP5" i="6"/>
  <c r="AT7" i="4"/>
  <c r="Z8" i="3"/>
  <c r="P7" i="3"/>
  <c r="F9" i="4"/>
  <c r="H8" i="5"/>
  <c r="F8" i="5"/>
  <c r="C9" i="5"/>
  <c r="M8" i="5"/>
  <c r="O9" i="6"/>
  <c r="AB9" i="6" s="1"/>
  <c r="E10" i="6"/>
  <c r="J9" i="6"/>
  <c r="W9" i="6" s="1"/>
  <c r="M9" i="6"/>
  <c r="C10" i="6"/>
  <c r="H9" i="6"/>
  <c r="F9" i="6"/>
  <c r="AA8" i="5"/>
  <c r="O9" i="4"/>
  <c r="AP9" i="4" s="1"/>
  <c r="D10" i="4"/>
  <c r="AJ7" i="4"/>
  <c r="E24" i="3"/>
  <c r="J8" i="3"/>
  <c r="E9" i="3"/>
  <c r="O8" i="3"/>
  <c r="AB8" i="3" s="1"/>
  <c r="AH7" i="3" a="1"/>
  <c r="AH7" i="3" s="1"/>
  <c r="AC7" i="3"/>
  <c r="X7" i="3" l="1"/>
  <c r="AE7" i="3" s="1"/>
  <c r="P8" i="3"/>
  <c r="S8" i="3" s="1"/>
  <c r="V7" i="4"/>
  <c r="AR4" i="5"/>
  <c r="N9" i="4"/>
  <c r="AO9" i="4" s="1"/>
  <c r="C10" i="4"/>
  <c r="K7" i="4"/>
  <c r="AE7" i="4" s="1"/>
  <c r="AM7" i="4"/>
  <c r="BA7" i="4" s="1"/>
  <c r="AO7" i="5"/>
  <c r="D25" i="6"/>
  <c r="AP6" i="3"/>
  <c r="AR6" i="3" s="1"/>
  <c r="D23" i="4" s="1"/>
  <c r="O10" i="6"/>
  <c r="AB10" i="6" s="1"/>
  <c r="E11" i="6"/>
  <c r="J10" i="6"/>
  <c r="AI7" i="3"/>
  <c r="AQ7" i="3" s="1"/>
  <c r="Z8" i="5"/>
  <c r="P8" i="5"/>
  <c r="AV5" i="6"/>
  <c r="AR5" i="6"/>
  <c r="I10" i="5"/>
  <c r="V10" i="5" s="1"/>
  <c r="N10" i="5"/>
  <c r="D11" i="5"/>
  <c r="J9" i="5"/>
  <c r="W9" i="5" s="1"/>
  <c r="E10" i="5"/>
  <c r="O9" i="5"/>
  <c r="Z9" i="3"/>
  <c r="BA6" i="4"/>
  <c r="AY6" i="4"/>
  <c r="BK6" i="4" s="1"/>
  <c r="AO6" i="5"/>
  <c r="M9" i="5"/>
  <c r="H9" i="5"/>
  <c r="F9" i="5"/>
  <c r="C10" i="5"/>
  <c r="V9" i="5"/>
  <c r="W8" i="5"/>
  <c r="C11" i="3"/>
  <c r="M10" i="3"/>
  <c r="C26" i="3"/>
  <c r="H10" i="3"/>
  <c r="P10" i="4"/>
  <c r="E11" i="4"/>
  <c r="AW7" i="6"/>
  <c r="BA7" i="6" s="1"/>
  <c r="N9" i="3"/>
  <c r="AA9" i="3" s="1"/>
  <c r="D25" i="3"/>
  <c r="I9" i="3"/>
  <c r="D10" i="3"/>
  <c r="AP7" i="6"/>
  <c r="AQ6" i="6"/>
  <c r="X8" i="6"/>
  <c r="AG8" i="6" a="1"/>
  <c r="AG8" i="6" s="1"/>
  <c r="AO7" i="6"/>
  <c r="AJ8" i="4"/>
  <c r="K8" i="5"/>
  <c r="U8" i="5"/>
  <c r="AO8" i="3"/>
  <c r="R24" i="3"/>
  <c r="V8" i="3"/>
  <c r="Z8" i="4"/>
  <c r="I8" i="4"/>
  <c r="AK8" i="4" s="1"/>
  <c r="I24" i="3"/>
  <c r="T8" i="4"/>
  <c r="AU8" i="4" s="1"/>
  <c r="AA9" i="6"/>
  <c r="E25" i="6"/>
  <c r="AP6" i="6"/>
  <c r="BK4" i="4"/>
  <c r="AU4" i="5"/>
  <c r="O9" i="3"/>
  <c r="AB9" i="3" s="1"/>
  <c r="E25" i="3"/>
  <c r="J9" i="3"/>
  <c r="E10" i="3"/>
  <c r="AT8" i="4"/>
  <c r="AR5" i="3"/>
  <c r="D22" i="4" s="1"/>
  <c r="W8" i="3"/>
  <c r="AA8" i="4"/>
  <c r="J8" i="4"/>
  <c r="AL8" i="4" s="1"/>
  <c r="U8" i="4"/>
  <c r="AV8" i="4" s="1"/>
  <c r="J24" i="3"/>
  <c r="K9" i="6"/>
  <c r="R9" i="6" s="1"/>
  <c r="U9" i="6"/>
  <c r="S7" i="3"/>
  <c r="S8" i="6"/>
  <c r="AO8" i="6" s="1"/>
  <c r="AR8" i="4"/>
  <c r="AH7" i="5" a="1"/>
  <c r="AH7" i="5" s="1"/>
  <c r="AI7" i="5" s="1"/>
  <c r="AQ7" i="5" s="1"/>
  <c r="AC7" i="5"/>
  <c r="O10" i="4"/>
  <c r="AP10" i="4" s="1"/>
  <c r="D11" i="4"/>
  <c r="H25" i="3"/>
  <c r="H9" i="4"/>
  <c r="K9" i="3"/>
  <c r="R9" i="3" s="1"/>
  <c r="Y9" i="4"/>
  <c r="S9" i="4"/>
  <c r="U9" i="3"/>
  <c r="AG7" i="5" a="1"/>
  <c r="AG7" i="5" s="1"/>
  <c r="X7" i="5"/>
  <c r="AH8" i="6" a="1"/>
  <c r="AH8" i="6" s="1"/>
  <c r="AC8" i="6"/>
  <c r="AE8" i="6" s="1"/>
  <c r="F24" i="3"/>
  <c r="AV4" i="5"/>
  <c r="AU7" i="6"/>
  <c r="E26" i="6" s="1"/>
  <c r="BD4" i="4"/>
  <c r="H10" i="6"/>
  <c r="F10" i="6"/>
  <c r="M10" i="6"/>
  <c r="C11" i="6"/>
  <c r="AC8" i="3"/>
  <c r="AH8" i="3" a="1"/>
  <c r="AH8" i="3" s="1"/>
  <c r="BC6" i="4"/>
  <c r="AE6" i="4"/>
  <c r="L6" i="4"/>
  <c r="AU7" i="4"/>
  <c r="AF8" i="4"/>
  <c r="AE6" i="5"/>
  <c r="AT6" i="5"/>
  <c r="AR9" i="4"/>
  <c r="AR4" i="3"/>
  <c r="AB7" i="4"/>
  <c r="W7" i="4"/>
  <c r="AG7" i="4"/>
  <c r="P9" i="6"/>
  <c r="S9" i="6" s="1"/>
  <c r="Z9" i="6"/>
  <c r="AW7" i="4"/>
  <c r="BC7" i="4" s="1"/>
  <c r="AU5" i="5"/>
  <c r="AR5" i="5"/>
  <c r="BJ5" i="4"/>
  <c r="BM5" i="4" s="1"/>
  <c r="E22" i="4" s="1"/>
  <c r="W6" i="4"/>
  <c r="AG6" i="4"/>
  <c r="AI6" i="5"/>
  <c r="F9" i="3"/>
  <c r="F25" i="3" s="1"/>
  <c r="Q9" i="4"/>
  <c r="AF9" i="4" s="1"/>
  <c r="I10" i="6"/>
  <c r="N10" i="6"/>
  <c r="AA10" i="6" s="1"/>
  <c r="D11" i="6"/>
  <c r="D26" i="6" l="1"/>
  <c r="AP7" i="3"/>
  <c r="BD7" i="4"/>
  <c r="BL7" i="4" s="1"/>
  <c r="L7" i="4"/>
  <c r="AY7" i="4"/>
  <c r="BK7" i="4" s="1"/>
  <c r="V8" i="4"/>
  <c r="N10" i="4"/>
  <c r="AO10" i="4" s="1"/>
  <c r="AR10" i="4" s="1"/>
  <c r="C11" i="4"/>
  <c r="K8" i="4"/>
  <c r="AB8" i="4"/>
  <c r="AH8" i="4" s="1"/>
  <c r="P9" i="3"/>
  <c r="S9" i="3" s="1"/>
  <c r="S25" i="3" s="1"/>
  <c r="S36" i="3" s="1"/>
  <c r="F10" i="4"/>
  <c r="R35" i="3"/>
  <c r="AJ9" i="4"/>
  <c r="AV7" i="6"/>
  <c r="AZ7" i="6" s="1"/>
  <c r="BB7" i="6" s="1"/>
  <c r="E12" i="4"/>
  <c r="P11" i="4"/>
  <c r="AQ11" i="4" s="1"/>
  <c r="M10" i="5"/>
  <c r="H10" i="5"/>
  <c r="C11" i="5"/>
  <c r="F10" i="5"/>
  <c r="AC9" i="3"/>
  <c r="AH9" i="3" a="1"/>
  <c r="AH9" i="3" s="1"/>
  <c r="BJ6" i="4"/>
  <c r="U10" i="6"/>
  <c r="K10" i="6"/>
  <c r="R10" i="6" s="1"/>
  <c r="D11" i="3"/>
  <c r="N10" i="3"/>
  <c r="AA10" i="3" s="1"/>
  <c r="D26" i="3"/>
  <c r="I10" i="3"/>
  <c r="AQ10" i="4"/>
  <c r="AQ6" i="5"/>
  <c r="AV6" i="5" s="1"/>
  <c r="P10" i="6"/>
  <c r="S10" i="6" s="1"/>
  <c r="Z10" i="6"/>
  <c r="AG8" i="3" a="1"/>
  <c r="AG8" i="3" s="1"/>
  <c r="BL4" i="4"/>
  <c r="D12" i="4"/>
  <c r="O11" i="4"/>
  <c r="AP11" i="4" s="1"/>
  <c r="AR7" i="6"/>
  <c r="I25" i="3"/>
  <c r="I9" i="4"/>
  <c r="Z9" i="4"/>
  <c r="AB9" i="4" s="1"/>
  <c r="T9" i="4"/>
  <c r="V9" i="3"/>
  <c r="F10" i="3"/>
  <c r="F26" i="3" s="1"/>
  <c r="U9" i="5"/>
  <c r="K9" i="5"/>
  <c r="R9" i="5" s="1"/>
  <c r="AZ5" i="6"/>
  <c r="D21" i="4"/>
  <c r="AM8" i="4"/>
  <c r="R25" i="3"/>
  <c r="R36" i="3" s="1"/>
  <c r="N11" i="6"/>
  <c r="AA11" i="6" s="1"/>
  <c r="D12" i="6"/>
  <c r="I11" i="6"/>
  <c r="V11" i="6" s="1"/>
  <c r="X8" i="3"/>
  <c r="AG8" i="5" a="1"/>
  <c r="AG8" i="5" s="1"/>
  <c r="X8" i="5"/>
  <c r="H10" i="4"/>
  <c r="H26" i="3"/>
  <c r="Y10" i="4"/>
  <c r="U10" i="3"/>
  <c r="S10" i="4"/>
  <c r="Z9" i="5"/>
  <c r="P9" i="5"/>
  <c r="S9" i="5" s="1"/>
  <c r="AB9" i="5"/>
  <c r="S8" i="5"/>
  <c r="R8" i="5"/>
  <c r="AU8" i="6"/>
  <c r="E27" i="6" s="1"/>
  <c r="O10" i="5"/>
  <c r="AB10" i="5" s="1"/>
  <c r="J10" i="5"/>
  <c r="E11" i="5"/>
  <c r="AC8" i="5"/>
  <c r="AH8" i="5" a="1"/>
  <c r="AH8" i="5" s="1"/>
  <c r="V10" i="6"/>
  <c r="AP6" i="5"/>
  <c r="AR6" i="5" s="1"/>
  <c r="AI8" i="6"/>
  <c r="AT7" i="5"/>
  <c r="AE7" i="5"/>
  <c r="AP7" i="5" s="1"/>
  <c r="AO9" i="6"/>
  <c r="Z10" i="3"/>
  <c r="M11" i="6"/>
  <c r="C12" i="6"/>
  <c r="H11" i="6"/>
  <c r="F11" i="6"/>
  <c r="AG8" i="4"/>
  <c r="W8" i="4"/>
  <c r="F11" i="4"/>
  <c r="AW6" i="6"/>
  <c r="C12" i="3"/>
  <c r="M11" i="3"/>
  <c r="F11" i="3"/>
  <c r="F27" i="3" s="1"/>
  <c r="C27" i="3"/>
  <c r="H11" i="3"/>
  <c r="N11" i="5"/>
  <c r="AA11" i="5" s="1"/>
  <c r="D12" i="5"/>
  <c r="I11" i="5"/>
  <c r="V11" i="5" s="1"/>
  <c r="W10" i="6"/>
  <c r="S23" i="3"/>
  <c r="S34" i="3" s="1"/>
  <c r="AO7" i="3"/>
  <c r="AI8" i="3"/>
  <c r="AW8" i="4"/>
  <c r="BC8" i="4" s="1"/>
  <c r="BD6" i="4"/>
  <c r="BL6" i="4" s="1"/>
  <c r="AA10" i="5"/>
  <c r="O11" i="6"/>
  <c r="AB11" i="6" s="1"/>
  <c r="E12" i="6"/>
  <c r="J11" i="6"/>
  <c r="W11" i="6" s="1"/>
  <c r="Q10" i="4"/>
  <c r="E11" i="3"/>
  <c r="O10" i="3"/>
  <c r="AB10" i="3" s="1"/>
  <c r="E26" i="3"/>
  <c r="J10" i="3"/>
  <c r="K10" i="3" s="1"/>
  <c r="R10" i="3" s="1"/>
  <c r="AE8" i="4"/>
  <c r="L8" i="4"/>
  <c r="BB9" i="4"/>
  <c r="AP8" i="6"/>
  <c r="AG9" i="6" a="1"/>
  <c r="AG9" i="6" s="1"/>
  <c r="X9" i="6"/>
  <c r="AC9" i="6"/>
  <c r="AH9" i="6" a="1"/>
  <c r="AH9" i="6" s="1"/>
  <c r="AH7" i="4"/>
  <c r="BJ7" i="4" s="1"/>
  <c r="BM7" i="4" s="1"/>
  <c r="E24" i="4" s="1"/>
  <c r="AC7" i="4"/>
  <c r="S24" i="3"/>
  <c r="S35" i="3" s="1"/>
  <c r="AT9" i="4"/>
  <c r="BB8" i="4"/>
  <c r="J9" i="4"/>
  <c r="AL9" i="4" s="1"/>
  <c r="AA9" i="4"/>
  <c r="U9" i="4"/>
  <c r="W9" i="3"/>
  <c r="J25" i="3"/>
  <c r="AV6" i="6"/>
  <c r="AR6" i="6"/>
  <c r="AC8" i="4" l="1"/>
  <c r="X9" i="3"/>
  <c r="N11" i="4"/>
  <c r="C12" i="4"/>
  <c r="AU9" i="6"/>
  <c r="AO9" i="3"/>
  <c r="R26" i="3"/>
  <c r="R37" i="3" s="1"/>
  <c r="BB10" i="4"/>
  <c r="AO8" i="5"/>
  <c r="AJ10" i="4"/>
  <c r="D13" i="4"/>
  <c r="O12" i="4"/>
  <c r="AP12" i="4" s="1"/>
  <c r="Z10" i="4"/>
  <c r="I10" i="4"/>
  <c r="AK10" i="4" s="1"/>
  <c r="I26" i="3"/>
  <c r="V10" i="3"/>
  <c r="T10" i="4"/>
  <c r="AU10" i="4" s="1"/>
  <c r="AQ8" i="3"/>
  <c r="BA8" i="4"/>
  <c r="AU9" i="4"/>
  <c r="H11" i="5"/>
  <c r="F11" i="5"/>
  <c r="M11" i="5"/>
  <c r="C12" i="5"/>
  <c r="H12" i="3"/>
  <c r="C28" i="3"/>
  <c r="C13" i="3"/>
  <c r="M12" i="3"/>
  <c r="C14" i="3"/>
  <c r="K10" i="5"/>
  <c r="U10" i="5"/>
  <c r="AK9" i="4"/>
  <c r="D12" i="3"/>
  <c r="F12" i="3" s="1"/>
  <c r="F28" i="3" s="1"/>
  <c r="N11" i="3"/>
  <c r="AA11" i="3" s="1"/>
  <c r="D27" i="3"/>
  <c r="I11" i="3"/>
  <c r="K11" i="3" s="1"/>
  <c r="R11" i="3" s="1"/>
  <c r="Z10" i="5"/>
  <c r="P10" i="5"/>
  <c r="K11" i="6"/>
  <c r="R11" i="6" s="1"/>
  <c r="U11" i="6"/>
  <c r="AV7" i="5"/>
  <c r="AI8" i="5"/>
  <c r="AH10" i="6" a="1"/>
  <c r="AH10" i="6" s="1"/>
  <c r="AC10" i="6"/>
  <c r="AO10" i="6"/>
  <c r="AR7" i="3"/>
  <c r="E12" i="3"/>
  <c r="O11" i="3"/>
  <c r="AB11" i="3" s="1"/>
  <c r="E27" i="3"/>
  <c r="J11" i="3"/>
  <c r="AT8" i="5"/>
  <c r="AE8" i="5"/>
  <c r="AP8" i="5" s="1"/>
  <c r="X10" i="6"/>
  <c r="AG10" i="6" a="1"/>
  <c r="AG10" i="6" s="1"/>
  <c r="AA10" i="4"/>
  <c r="AB10" i="4" s="1"/>
  <c r="J10" i="4"/>
  <c r="J26" i="3"/>
  <c r="U10" i="4"/>
  <c r="AV10" i="4" s="1"/>
  <c r="W10" i="3"/>
  <c r="X10" i="3" s="1"/>
  <c r="H12" i="6"/>
  <c r="F12" i="6"/>
  <c r="C13" i="6"/>
  <c r="M12" i="6"/>
  <c r="P11" i="6"/>
  <c r="S11" i="6" s="1"/>
  <c r="Z11" i="6"/>
  <c r="J11" i="5"/>
  <c r="W11" i="5" s="1"/>
  <c r="E12" i="5"/>
  <c r="O11" i="5"/>
  <c r="BM6" i="4"/>
  <c r="E23" i="4" s="1"/>
  <c r="E13" i="4"/>
  <c r="P12" i="4"/>
  <c r="AQ12" i="4" s="1"/>
  <c r="AZ6" i="6"/>
  <c r="AU7" i="5"/>
  <c r="AR7" i="5"/>
  <c r="AC9" i="4"/>
  <c r="AH9" i="4"/>
  <c r="AQ8" i="6"/>
  <c r="AC9" i="5"/>
  <c r="AH9" i="5" a="1"/>
  <c r="AH9" i="5" s="1"/>
  <c r="I12" i="6"/>
  <c r="V12" i="6" s="1"/>
  <c r="D13" i="6"/>
  <c r="N12" i="6"/>
  <c r="AA12" i="6" s="1"/>
  <c r="AG9" i="3" a="1"/>
  <c r="AG9" i="3" s="1"/>
  <c r="AI9" i="3" s="1"/>
  <c r="AQ9" i="3" s="1"/>
  <c r="BA6" i="6"/>
  <c r="W10" i="5"/>
  <c r="BB5" i="6"/>
  <c r="AV9" i="4"/>
  <c r="AT10" i="4"/>
  <c r="AO9" i="5"/>
  <c r="Z11" i="3"/>
  <c r="AV8" i="6"/>
  <c r="AZ8" i="6" s="1"/>
  <c r="AI9" i="6"/>
  <c r="AQ9" i="6" s="1"/>
  <c r="BJ8" i="4"/>
  <c r="BD8" i="4"/>
  <c r="BL8" i="4" s="1"/>
  <c r="AE9" i="6"/>
  <c r="AE8" i="3"/>
  <c r="F12" i="4"/>
  <c r="AU6" i="5"/>
  <c r="X9" i="5"/>
  <c r="AG9" i="5" a="1"/>
  <c r="AG9" i="5" s="1"/>
  <c r="AE9" i="3"/>
  <c r="I12" i="5"/>
  <c r="V12" i="5" s="1"/>
  <c r="D13" i="5"/>
  <c r="N12" i="5"/>
  <c r="AA12" i="5" s="1"/>
  <c r="AY8" i="4"/>
  <c r="BM4" i="4"/>
  <c r="AF10" i="4"/>
  <c r="Y11" i="4"/>
  <c r="U11" i="3"/>
  <c r="S11" i="4"/>
  <c r="H11" i="4"/>
  <c r="H27" i="3"/>
  <c r="AC10" i="3"/>
  <c r="AH10" i="3" a="1"/>
  <c r="AH10" i="3" s="1"/>
  <c r="AM9" i="4"/>
  <c r="AR8" i="6"/>
  <c r="E13" i="6"/>
  <c r="J12" i="6"/>
  <c r="W12" i="6" s="1"/>
  <c r="O12" i="6"/>
  <c r="AB12" i="6" s="1"/>
  <c r="V9" i="4"/>
  <c r="P10" i="3"/>
  <c r="K9" i="4"/>
  <c r="AG10" i="3" l="1" a="1"/>
  <c r="AG10" i="3" s="1"/>
  <c r="AU8" i="5"/>
  <c r="AO11" i="6"/>
  <c r="AU10" i="6"/>
  <c r="AE10" i="3"/>
  <c r="N12" i="4"/>
  <c r="C13" i="4"/>
  <c r="F13" i="4" s="1"/>
  <c r="F14" i="4" s="1"/>
  <c r="Q11" i="4"/>
  <c r="AF11" i="4" s="1"/>
  <c r="AO11" i="4"/>
  <c r="AR11" i="4" s="1"/>
  <c r="BB11" i="4" s="1"/>
  <c r="P11" i="3"/>
  <c r="S11" i="3" s="1"/>
  <c r="S27" i="3" s="1"/>
  <c r="S38" i="3" s="1"/>
  <c r="O13" i="6"/>
  <c r="J13" i="6"/>
  <c r="E14" i="6"/>
  <c r="E28" i="6"/>
  <c r="AP9" i="6"/>
  <c r="D24" i="4"/>
  <c r="S10" i="5"/>
  <c r="D28" i="6"/>
  <c r="AP9" i="3"/>
  <c r="AR9" i="3" s="1"/>
  <c r="D26" i="4" s="1"/>
  <c r="V10" i="4"/>
  <c r="Z12" i="6"/>
  <c r="P12" i="6"/>
  <c r="S12" i="6" s="1"/>
  <c r="AC10" i="5"/>
  <c r="AH10" i="5" a="1"/>
  <c r="AH10" i="5" s="1"/>
  <c r="AW10" i="4"/>
  <c r="BC10" i="4" s="1"/>
  <c r="BB6" i="6"/>
  <c r="M13" i="6"/>
  <c r="H13" i="6"/>
  <c r="F13" i="6"/>
  <c r="F14" i="6" s="1"/>
  <c r="C14" i="6"/>
  <c r="Z11" i="4"/>
  <c r="AB11" i="4" s="1"/>
  <c r="I11" i="4"/>
  <c r="AK11" i="4" s="1"/>
  <c r="T11" i="4"/>
  <c r="V11" i="3"/>
  <c r="I27" i="3"/>
  <c r="O13" i="4"/>
  <c r="D14" i="4"/>
  <c r="N13" i="6"/>
  <c r="I13" i="6"/>
  <c r="D14" i="6"/>
  <c r="Z12" i="3"/>
  <c r="AJ11" i="4"/>
  <c r="BA9" i="4"/>
  <c r="P13" i="4"/>
  <c r="E14" i="4"/>
  <c r="U12" i="6"/>
  <c r="K12" i="6"/>
  <c r="R12" i="6" s="1"/>
  <c r="AO12" i="6" s="1"/>
  <c r="AE10" i="6"/>
  <c r="H13" i="3"/>
  <c r="C29" i="3"/>
  <c r="M13" i="3"/>
  <c r="K10" i="4"/>
  <c r="AI9" i="5"/>
  <c r="AQ9" i="5" s="1"/>
  <c r="AA11" i="4"/>
  <c r="J11" i="4"/>
  <c r="AL11" i="4" s="1"/>
  <c r="U11" i="4"/>
  <c r="AV11" i="4" s="1"/>
  <c r="J27" i="3"/>
  <c r="W11" i="3"/>
  <c r="AG11" i="3" s="1" a="1"/>
  <c r="AG11" i="3" s="1"/>
  <c r="AI10" i="6"/>
  <c r="AQ10" i="6" s="1"/>
  <c r="D28" i="3"/>
  <c r="D13" i="3"/>
  <c r="I12" i="3"/>
  <c r="N12" i="3"/>
  <c r="AA12" i="3" s="1"/>
  <c r="E21" i="4"/>
  <c r="AE9" i="4"/>
  <c r="L9" i="4"/>
  <c r="AE9" i="5"/>
  <c r="AP9" i="5" s="1"/>
  <c r="AT9" i="5"/>
  <c r="S10" i="3"/>
  <c r="AI10" i="3"/>
  <c r="AQ10" i="3" s="1"/>
  <c r="AB11" i="5"/>
  <c r="AQ8" i="5"/>
  <c r="Y12" i="4"/>
  <c r="H12" i="4"/>
  <c r="U12" i="3"/>
  <c r="S12" i="4"/>
  <c r="H28" i="3"/>
  <c r="D29" i="6"/>
  <c r="AP10" i="3"/>
  <c r="J12" i="5"/>
  <c r="E13" i="5"/>
  <c r="O12" i="5"/>
  <c r="AB12" i="5" s="1"/>
  <c r="AL10" i="4"/>
  <c r="AM10" i="4" s="1"/>
  <c r="F12" i="5"/>
  <c r="M12" i="5"/>
  <c r="C13" i="5"/>
  <c r="H12" i="5"/>
  <c r="AT11" i="4"/>
  <c r="AW9" i="6"/>
  <c r="BA9" i="6" s="1"/>
  <c r="AC10" i="4"/>
  <c r="AH10" i="4"/>
  <c r="BK8" i="4"/>
  <c r="AW8" i="6"/>
  <c r="BA8" i="6" s="1"/>
  <c r="E28" i="3"/>
  <c r="E13" i="3"/>
  <c r="O12" i="3"/>
  <c r="AB12" i="3" s="1"/>
  <c r="J12" i="3"/>
  <c r="AG9" i="4"/>
  <c r="W9" i="4"/>
  <c r="I13" i="5"/>
  <c r="N13" i="5"/>
  <c r="D14" i="5"/>
  <c r="AH11" i="3" a="1"/>
  <c r="AH11" i="3" s="1"/>
  <c r="AC11" i="3"/>
  <c r="Z11" i="5"/>
  <c r="P11" i="5"/>
  <c r="S11" i="5" s="1"/>
  <c r="R27" i="3"/>
  <c r="R38" i="3" s="1"/>
  <c r="AO11" i="3"/>
  <c r="D27" i="6"/>
  <c r="AP8" i="3"/>
  <c r="AC11" i="6"/>
  <c r="AH11" i="6" a="1"/>
  <c r="AH11" i="6" s="1"/>
  <c r="AG11" i="6" a="1"/>
  <c r="AG11" i="6" s="1"/>
  <c r="X11" i="6"/>
  <c r="X10" i="5"/>
  <c r="AG10" i="5" a="1"/>
  <c r="AG10" i="5" s="1"/>
  <c r="R10" i="5"/>
  <c r="K11" i="5"/>
  <c r="R11" i="5" s="1"/>
  <c r="AO11" i="5" s="1"/>
  <c r="U11" i="5"/>
  <c r="AW9" i="4"/>
  <c r="AI11" i="6" l="1"/>
  <c r="AQ11" i="6" s="1"/>
  <c r="F13" i="3"/>
  <c r="F29" i="3" s="1"/>
  <c r="X11" i="3"/>
  <c r="AO12" i="4"/>
  <c r="AR12" i="4" s="1"/>
  <c r="BB12" i="4" s="1"/>
  <c r="Q12" i="4"/>
  <c r="AF12" i="4" s="1"/>
  <c r="V11" i="4"/>
  <c r="W11" i="4" s="1"/>
  <c r="N13" i="4"/>
  <c r="AO13" i="4" s="1"/>
  <c r="C14" i="4"/>
  <c r="C15" i="4" s="1"/>
  <c r="BC9" i="4"/>
  <c r="AE11" i="6"/>
  <c r="AE11" i="3"/>
  <c r="BA10" i="6"/>
  <c r="AW10" i="6"/>
  <c r="AV9" i="6"/>
  <c r="AZ9" i="6" s="1"/>
  <c r="AR9" i="6"/>
  <c r="X11" i="5"/>
  <c r="AG11" i="5" a="1"/>
  <c r="AG11" i="5" s="1"/>
  <c r="AJ12" i="4"/>
  <c r="BB8" i="6"/>
  <c r="AV9" i="5"/>
  <c r="Y13" i="4"/>
  <c r="H13" i="4"/>
  <c r="S13" i="4"/>
  <c r="H29" i="3"/>
  <c r="U13" i="3"/>
  <c r="H14" i="3"/>
  <c r="AP10" i="6"/>
  <c r="E29" i="6"/>
  <c r="AH12" i="3" a="1"/>
  <c r="AH12" i="3" s="1"/>
  <c r="AC12" i="3"/>
  <c r="H13" i="5"/>
  <c r="M13" i="5"/>
  <c r="F13" i="5"/>
  <c r="F14" i="5" s="1"/>
  <c r="C14" i="5"/>
  <c r="C15" i="5" s="1"/>
  <c r="P12" i="3"/>
  <c r="S12" i="3" s="1"/>
  <c r="S28" i="3" s="1"/>
  <c r="S39" i="3" s="1"/>
  <c r="AU11" i="4"/>
  <c r="AW11" i="4" s="1"/>
  <c r="BC11" i="4" s="1"/>
  <c r="W13" i="6"/>
  <c r="W14" i="6" s="1"/>
  <c r="J14" i="6"/>
  <c r="AA13" i="5"/>
  <c r="AA14" i="5" s="1"/>
  <c r="N14" i="5"/>
  <c r="Z12" i="5"/>
  <c r="P12" i="5"/>
  <c r="S12" i="5" s="1"/>
  <c r="AH11" i="4"/>
  <c r="AC11" i="4"/>
  <c r="X12" i="6"/>
  <c r="AG12" i="6" a="1"/>
  <c r="AG12" i="6" s="1"/>
  <c r="AI10" i="5"/>
  <c r="AB13" i="6"/>
  <c r="AB14" i="6" s="1"/>
  <c r="O14" i="6"/>
  <c r="AI11" i="3"/>
  <c r="AG11" i="4"/>
  <c r="AR8" i="3"/>
  <c r="AU9" i="5"/>
  <c r="AV8" i="5"/>
  <c r="AE10" i="5"/>
  <c r="AP10" i="5" s="1"/>
  <c r="AT10" i="5"/>
  <c r="AQ13" i="4"/>
  <c r="AQ14" i="4" s="1"/>
  <c r="P14" i="4"/>
  <c r="BA10" i="4"/>
  <c r="BD10" i="4" s="1"/>
  <c r="BL10" i="4" s="1"/>
  <c r="AY10" i="4"/>
  <c r="BK10" i="4" s="1"/>
  <c r="U12" i="5"/>
  <c r="K12" i="5"/>
  <c r="R12" i="5" s="1"/>
  <c r="AO10" i="5"/>
  <c r="AA12" i="4"/>
  <c r="J12" i="4"/>
  <c r="AL12" i="4" s="1"/>
  <c r="U12" i="4"/>
  <c r="AV12" i="4" s="1"/>
  <c r="W12" i="3"/>
  <c r="J28" i="3"/>
  <c r="BJ9" i="4"/>
  <c r="AY9" i="4"/>
  <c r="V13" i="6"/>
  <c r="V14" i="6" s="1"/>
  <c r="I14" i="6"/>
  <c r="AW11" i="6"/>
  <c r="BA11" i="6" s="1"/>
  <c r="S26" i="3"/>
  <c r="S37" i="3" s="1"/>
  <c r="AO10" i="3"/>
  <c r="AP13" i="4"/>
  <c r="AP14" i="4" s="1"/>
  <c r="O14" i="4"/>
  <c r="V13" i="5"/>
  <c r="V14" i="5" s="1"/>
  <c r="I14" i="5"/>
  <c r="AU11" i="6"/>
  <c r="AH11" i="5" a="1"/>
  <c r="AH11" i="5" s="1"/>
  <c r="AC11" i="5"/>
  <c r="K12" i="3"/>
  <c r="R12" i="3" s="1"/>
  <c r="Z12" i="4"/>
  <c r="I12" i="4"/>
  <c r="AK12" i="4" s="1"/>
  <c r="V12" i="3"/>
  <c r="T12" i="4"/>
  <c r="AU12" i="4" s="1"/>
  <c r="I28" i="3"/>
  <c r="AE10" i="4"/>
  <c r="L10" i="4"/>
  <c r="BD9" i="4"/>
  <c r="AA13" i="6"/>
  <c r="AA14" i="6" s="1"/>
  <c r="N14" i="6"/>
  <c r="AH12" i="6" a="1"/>
  <c r="AH12" i="6" s="1"/>
  <c r="AI12" i="6" s="1"/>
  <c r="AQ12" i="6" s="1"/>
  <c r="AC12" i="6"/>
  <c r="J13" i="3"/>
  <c r="E29" i="3"/>
  <c r="O13" i="3"/>
  <c r="E14" i="3"/>
  <c r="E15" i="4" s="1"/>
  <c r="O13" i="5"/>
  <c r="J13" i="5"/>
  <c r="W13" i="5" s="1"/>
  <c r="E14" i="5"/>
  <c r="I13" i="3"/>
  <c r="D29" i="3"/>
  <c r="N13" i="3"/>
  <c r="D14" i="3"/>
  <c r="D15" i="5" s="1"/>
  <c r="AM11" i="4"/>
  <c r="K13" i="6"/>
  <c r="U13" i="6"/>
  <c r="H14" i="6"/>
  <c r="AG10" i="4"/>
  <c r="W10" i="4"/>
  <c r="W12" i="5"/>
  <c r="AT12" i="4"/>
  <c r="AR8" i="5"/>
  <c r="Z13" i="3"/>
  <c r="M14" i="3"/>
  <c r="K11" i="4"/>
  <c r="BM8" i="4"/>
  <c r="P13" i="6"/>
  <c r="Z13" i="6"/>
  <c r="Z14" i="6" s="1"/>
  <c r="M14" i="6"/>
  <c r="AR9" i="5"/>
  <c r="F14" i="3" l="1"/>
  <c r="F15" i="4" s="1"/>
  <c r="W14" i="5"/>
  <c r="AU10" i="5"/>
  <c r="AO14" i="4"/>
  <c r="K12" i="4"/>
  <c r="N14" i="4"/>
  <c r="N15" i="4" s="1"/>
  <c r="AB12" i="4"/>
  <c r="AH12" i="4" s="1"/>
  <c r="AE12" i="6"/>
  <c r="AP12" i="6" s="1"/>
  <c r="Q13" i="4"/>
  <c r="AG12" i="3" a="1"/>
  <c r="AG12" i="3" s="1"/>
  <c r="AI12" i="3" s="1"/>
  <c r="AQ12" i="3" s="1"/>
  <c r="J14" i="5"/>
  <c r="E15" i="5"/>
  <c r="AI11" i="5"/>
  <c r="AQ11" i="5" s="1"/>
  <c r="BB9" i="6"/>
  <c r="AA13" i="3"/>
  <c r="AA14" i="3" s="1"/>
  <c r="AA15" i="5" s="1"/>
  <c r="N14" i="3"/>
  <c r="O15" i="4" s="1"/>
  <c r="D25" i="4"/>
  <c r="AR13" i="4"/>
  <c r="AV10" i="6"/>
  <c r="AZ10" i="6" s="1"/>
  <c r="BB10" i="6" s="1"/>
  <c r="AR10" i="6"/>
  <c r="D15" i="4"/>
  <c r="I13" i="4"/>
  <c r="T13" i="4"/>
  <c r="I29" i="3"/>
  <c r="V13" i="3"/>
  <c r="V14" i="3" s="1"/>
  <c r="V15" i="5" s="1"/>
  <c r="Z13" i="4"/>
  <c r="Z14" i="4" s="1"/>
  <c r="I14" i="3"/>
  <c r="I15" i="5" s="1"/>
  <c r="S13" i="6"/>
  <c r="S14" i="6" s="1"/>
  <c r="P14" i="6"/>
  <c r="AR10" i="3"/>
  <c r="D27" i="4" s="1"/>
  <c r="AH12" i="5" a="1"/>
  <c r="AH12" i="5" s="1"/>
  <c r="AC12" i="5"/>
  <c r="K13" i="3"/>
  <c r="E25" i="4"/>
  <c r="AQ11" i="3"/>
  <c r="AM12" i="4"/>
  <c r="U14" i="3"/>
  <c r="L12" i="4"/>
  <c r="AE12" i="4"/>
  <c r="X12" i="3"/>
  <c r="AE12" i="3" s="1"/>
  <c r="L11" i="4"/>
  <c r="AE11" i="4"/>
  <c r="BJ11" i="4" s="1"/>
  <c r="BA12" i="6"/>
  <c r="AW12" i="6"/>
  <c r="AT11" i="5"/>
  <c r="AV11" i="5" s="1"/>
  <c r="AE11" i="5"/>
  <c r="AP11" i="5" s="1"/>
  <c r="AT13" i="4"/>
  <c r="S14" i="4"/>
  <c r="AG13" i="6" a="1"/>
  <c r="AG13" i="6" s="1"/>
  <c r="AG14" i="6" s="1"/>
  <c r="X13" i="6"/>
  <c r="U14" i="6"/>
  <c r="P13" i="3"/>
  <c r="R13" i="6"/>
  <c r="K14" i="6"/>
  <c r="AB13" i="3"/>
  <c r="AB14" i="3" s="1"/>
  <c r="O14" i="3"/>
  <c r="P15" i="4" s="1"/>
  <c r="F15" i="5"/>
  <c r="AJ13" i="4"/>
  <c r="H14" i="4"/>
  <c r="AC13" i="6"/>
  <c r="AH13" i="6" a="1"/>
  <c r="AH13" i="6" s="1"/>
  <c r="AB13" i="5"/>
  <c r="AB14" i="5" s="1"/>
  <c r="O14" i="5"/>
  <c r="R28" i="3"/>
  <c r="R39" i="3" s="1"/>
  <c r="AO12" i="3"/>
  <c r="Z14" i="3"/>
  <c r="BL9" i="4"/>
  <c r="AO12" i="5"/>
  <c r="AQ10" i="5"/>
  <c r="AV10" i="5" s="1"/>
  <c r="P13" i="5"/>
  <c r="Z13" i="5"/>
  <c r="M14" i="5"/>
  <c r="M15" i="5" s="1"/>
  <c r="Y14" i="4"/>
  <c r="X12" i="5"/>
  <c r="AG12" i="5" a="1"/>
  <c r="AG12" i="5" s="1"/>
  <c r="U13" i="5"/>
  <c r="K13" i="5"/>
  <c r="H14" i="5"/>
  <c r="H15" i="5" s="1"/>
  <c r="D30" i="6"/>
  <c r="AP11" i="3"/>
  <c r="BJ10" i="4"/>
  <c r="BM10" i="4" s="1"/>
  <c r="E27" i="4" s="1"/>
  <c r="BK9" i="4"/>
  <c r="BA11" i="4"/>
  <c r="BD11" i="4" s="1"/>
  <c r="BL11" i="4" s="1"/>
  <c r="AY11" i="4"/>
  <c r="BK11" i="4" s="1"/>
  <c r="J13" i="4"/>
  <c r="U13" i="4"/>
  <c r="W13" i="3"/>
  <c r="W14" i="3" s="1"/>
  <c r="W15" i="5" s="1"/>
  <c r="AA13" i="4"/>
  <c r="AA14" i="4" s="1"/>
  <c r="J29" i="3"/>
  <c r="J14" i="3"/>
  <c r="AW12" i="4"/>
  <c r="BC12" i="4" s="1"/>
  <c r="V12" i="4"/>
  <c r="AU12" i="6"/>
  <c r="AP11" i="6"/>
  <c r="E30" i="6"/>
  <c r="O15" i="5" l="1"/>
  <c r="AC12" i="4"/>
  <c r="E31" i="6"/>
  <c r="N15" i="5"/>
  <c r="J15" i="5"/>
  <c r="AR10" i="5"/>
  <c r="AH13" i="3" a="1"/>
  <c r="AH13" i="3" s="1"/>
  <c r="AH14" i="3" s="1"/>
  <c r="AI12" i="5"/>
  <c r="AQ12" i="5" s="1"/>
  <c r="AF13" i="4"/>
  <c r="AF14" i="4" s="1"/>
  <c r="Q14" i="4"/>
  <c r="BM9" i="4"/>
  <c r="E26" i="4" s="1"/>
  <c r="AC13" i="3"/>
  <c r="AE13" i="3" s="1"/>
  <c r="W12" i="4"/>
  <c r="AG12" i="4"/>
  <c r="BJ12" i="4" s="1"/>
  <c r="S13" i="3"/>
  <c r="P14" i="3"/>
  <c r="AE12" i="5"/>
  <c r="AP12" i="5" s="1"/>
  <c r="AT12" i="5"/>
  <c r="AK13" i="4"/>
  <c r="AK14" i="4" s="1"/>
  <c r="I14" i="4"/>
  <c r="K13" i="4"/>
  <c r="AR11" i="3"/>
  <c r="AU13" i="6"/>
  <c r="AU14" i="6" s="1"/>
  <c r="X14" i="6"/>
  <c r="BM11" i="4"/>
  <c r="E28" i="4" s="1"/>
  <c r="AV11" i="6"/>
  <c r="AZ11" i="6" s="1"/>
  <c r="AR11" i="6"/>
  <c r="AB13" i="4"/>
  <c r="AV13" i="4"/>
  <c r="AV14" i="4" s="1"/>
  <c r="U14" i="4"/>
  <c r="AV12" i="6"/>
  <c r="AZ12" i="6" s="1"/>
  <c r="BB12" i="6" s="1"/>
  <c r="AR12" i="6"/>
  <c r="AL13" i="4"/>
  <c r="AL14" i="4" s="1"/>
  <c r="J14" i="4"/>
  <c r="AH13" i="5" a="1"/>
  <c r="AH13" i="5" s="1"/>
  <c r="AC13" i="5"/>
  <c r="Z14" i="5"/>
  <c r="Z15" i="5" s="1"/>
  <c r="AT14" i="4"/>
  <c r="S13" i="5"/>
  <c r="S14" i="5" s="1"/>
  <c r="P14" i="5"/>
  <c r="V13" i="4"/>
  <c r="R13" i="5"/>
  <c r="K14" i="5"/>
  <c r="D31" i="6"/>
  <c r="AP12" i="3"/>
  <c r="AR12" i="3" s="1"/>
  <c r="X13" i="5"/>
  <c r="X14" i="5" s="1"/>
  <c r="AG13" i="5" a="1"/>
  <c r="AG13" i="5" s="1"/>
  <c r="AG14" i="5" s="1"/>
  <c r="U14" i="5"/>
  <c r="U15" i="5" s="1"/>
  <c r="AB15" i="5"/>
  <c r="AJ14" i="4"/>
  <c r="AI13" i="6"/>
  <c r="AH14" i="6"/>
  <c r="AU11" i="5"/>
  <c r="AR11" i="5"/>
  <c r="BA12" i="4"/>
  <c r="BD12" i="4" s="1"/>
  <c r="BL12" i="4" s="1"/>
  <c r="AY12" i="4"/>
  <c r="BK12" i="4" s="1"/>
  <c r="BB13" i="4"/>
  <c r="AR14" i="4"/>
  <c r="AE13" i="6"/>
  <c r="AC14" i="6"/>
  <c r="AG13" i="3" a="1"/>
  <c r="AG13" i="3" s="1"/>
  <c r="AG14" i="3" s="1"/>
  <c r="AO13" i="6"/>
  <c r="R14" i="6"/>
  <c r="X13" i="3"/>
  <c r="X14" i="3" s="1"/>
  <c r="R13" i="3"/>
  <c r="K14" i="3"/>
  <c r="AU13" i="4"/>
  <c r="AU14" i="4" s="1"/>
  <c r="T14" i="4"/>
  <c r="AV12" i="5" l="1"/>
  <c r="AC14" i="3"/>
  <c r="C5" i="7" s="1"/>
  <c r="E87" i="9" s="1"/>
  <c r="AR12" i="5"/>
  <c r="Q15" i="4"/>
  <c r="P15" i="5"/>
  <c r="BB11" i="6"/>
  <c r="BM12" i="4"/>
  <c r="D29" i="4"/>
  <c r="D32" i="6"/>
  <c r="AP13" i="3"/>
  <c r="AP17" i="3" s="1"/>
  <c r="S29" i="3"/>
  <c r="S40" i="3" s="1"/>
  <c r="S14" i="3"/>
  <c r="S15" i="5" s="1"/>
  <c r="AI13" i="5"/>
  <c r="AH14" i="5"/>
  <c r="AH15" i="5" s="1"/>
  <c r="AO13" i="5"/>
  <c r="R14" i="5"/>
  <c r="AQ13" i="6"/>
  <c r="AR13" i="6" s="1"/>
  <c r="AI14" i="6"/>
  <c r="AH13" i="4"/>
  <c r="AH14" i="4" s="1"/>
  <c r="AC13" i="4"/>
  <c r="AB14" i="4"/>
  <c r="K15" i="5"/>
  <c r="AE13" i="5"/>
  <c r="AT13" i="5"/>
  <c r="AC14" i="5"/>
  <c r="AC15" i="5" s="1"/>
  <c r="AE14" i="3"/>
  <c r="AE16" i="3" s="1"/>
  <c r="AO13" i="3"/>
  <c r="R29" i="3"/>
  <c r="R40" i="3" s="1"/>
  <c r="R14" i="3"/>
  <c r="BB14" i="4"/>
  <c r="AI13" i="3"/>
  <c r="AE13" i="4"/>
  <c r="L13" i="4"/>
  <c r="K14" i="4"/>
  <c r="W13" i="4"/>
  <c r="AG13" i="4"/>
  <c r="AG14" i="4" s="1"/>
  <c r="V14" i="4"/>
  <c r="AO14" i="6"/>
  <c r="AO16" i="6"/>
  <c r="F3" i="7" s="1"/>
  <c r="H85" i="9" s="1"/>
  <c r="AW13" i="4"/>
  <c r="AM13" i="4"/>
  <c r="AU12" i="5"/>
  <c r="E32" i="6"/>
  <c r="AP13" i="6"/>
  <c r="AE14" i="6"/>
  <c r="AG15" i="5"/>
  <c r="X15" i="5"/>
  <c r="D28" i="4"/>
  <c r="AP14" i="3" l="1"/>
  <c r="AP16" i="3" s="1"/>
  <c r="BJ13" i="4"/>
  <c r="AE14" i="4"/>
  <c r="BA13" i="4"/>
  <c r="AM14" i="4"/>
  <c r="AY13" i="4"/>
  <c r="AQ13" i="3"/>
  <c r="AI14" i="3"/>
  <c r="BC13" i="4"/>
  <c r="BC14" i="4" s="1"/>
  <c r="AW14" i="4"/>
  <c r="AW13" i="6"/>
  <c r="AW14" i="6" s="1"/>
  <c r="AQ14" i="6"/>
  <c r="AQ16" i="6"/>
  <c r="AR14" i="6"/>
  <c r="AR16" i="6"/>
  <c r="AO14" i="3"/>
  <c r="AO17" i="3"/>
  <c r="C3" i="7" s="1"/>
  <c r="E85" i="9" s="1"/>
  <c r="R15" i="5"/>
  <c r="E29" i="4"/>
  <c r="AO14" i="5"/>
  <c r="AO16" i="5"/>
  <c r="E3" i="7" s="1"/>
  <c r="G85" i="9" s="1"/>
  <c r="F6" i="7"/>
  <c r="H88" i="9" s="1"/>
  <c r="F5" i="7"/>
  <c r="H87" i="9" s="1"/>
  <c r="AV13" i="6"/>
  <c r="AV14" i="6" s="1"/>
  <c r="AP14" i="6"/>
  <c r="AP16" i="6"/>
  <c r="AT14" i="5"/>
  <c r="AT16" i="5"/>
  <c r="AQ13" i="5"/>
  <c r="AV13" i="5" s="1"/>
  <c r="AI14" i="5"/>
  <c r="AP13" i="5"/>
  <c r="AR13" i="5" s="1"/>
  <c r="AE14" i="5"/>
  <c r="AV14" i="5" l="1"/>
  <c r="AV16" i="5"/>
  <c r="E4" i="7" s="1"/>
  <c r="G86" i="9" s="1"/>
  <c r="AR14" i="5"/>
  <c r="AR16" i="5"/>
  <c r="AQ17" i="3"/>
  <c r="AQ14" i="3"/>
  <c r="BA13" i="6"/>
  <c r="BK13" i="4"/>
  <c r="AY14" i="4"/>
  <c r="D5" i="7" s="1"/>
  <c r="F87" i="9" s="1"/>
  <c r="AZ13" i="6"/>
  <c r="AR13" i="3"/>
  <c r="BA14" i="4"/>
  <c r="BD13" i="4"/>
  <c r="E5" i="7"/>
  <c r="G87" i="9" s="1"/>
  <c r="AE15" i="5"/>
  <c r="AQ16" i="5"/>
  <c r="AQ14" i="5"/>
  <c r="BJ16" i="4"/>
  <c r="D3" i="7" s="1"/>
  <c r="F85" i="9" s="1"/>
  <c r="BJ14" i="4"/>
  <c r="AU13" i="5"/>
  <c r="AP14" i="5"/>
  <c r="AP15" i="5" s="1"/>
  <c r="AP16" i="5"/>
  <c r="AI15" i="5"/>
  <c r="AO15" i="5"/>
  <c r="AQ15" i="5" l="1"/>
  <c r="BK16" i="4"/>
  <c r="BK14" i="4"/>
  <c r="BB13" i="6"/>
  <c r="AZ16" i="6"/>
  <c r="AZ14" i="6"/>
  <c r="BA14" i="6"/>
  <c r="BA16" i="6"/>
  <c r="D30" i="4"/>
  <c r="AR17" i="3"/>
  <c r="C4" i="7" s="1"/>
  <c r="E86" i="9" s="1"/>
  <c r="AR14" i="3"/>
  <c r="AR16" i="3" s="1"/>
  <c r="AU14" i="5"/>
  <c r="AU16" i="5"/>
  <c r="BL13" i="4"/>
  <c r="BD14" i="4"/>
  <c r="AR15" i="5" l="1"/>
  <c r="BB14" i="6"/>
  <c r="BB16" i="6"/>
  <c r="F4" i="7" s="1"/>
  <c r="H86" i="9" s="1"/>
  <c r="BL16" i="4"/>
  <c r="BL14" i="4"/>
  <c r="BM13" i="4"/>
  <c r="E30" i="4" l="1"/>
  <c r="BM16" i="4"/>
  <c r="D4" i="7" s="1"/>
  <c r="F86" i="9" s="1"/>
  <c r="BM14" i="4"/>
</calcChain>
</file>

<file path=xl/sharedStrings.xml><?xml version="1.0" encoding="utf-8"?>
<sst xmlns="http://schemas.openxmlformats.org/spreadsheetml/2006/main" count="484" uniqueCount="302">
  <si>
    <t>INPUTS</t>
  </si>
  <si>
    <t>SECTION 1: Production Inputs</t>
  </si>
  <si>
    <t>Year 1 Production – Facility 1 (Pune) [tonnes]</t>
  </si>
  <si>
    <t>tonnes</t>
  </si>
  <si>
    <t>Year 1 Production – Facility 2 (Chennai) [tonnes]</t>
  </si>
  <si>
    <t>Year 1 Production – Facility 3 (Jaipur) [tonnes]</t>
  </si>
  <si>
    <t>Base Production Growth Rate p.a.</t>
  </si>
  <si>
    <t>p.a.</t>
  </si>
  <si>
    <t>Export Proportion – Facility 1 (to Europe)</t>
  </si>
  <si>
    <t>Export Proportion – Facility 2 (to Europe)</t>
  </si>
  <si>
    <t>Export Proportion – Facility 3 (to Europe)</t>
  </si>
  <si>
    <t>SECTION 2: Energy Inputs</t>
  </si>
  <si>
    <t>Diesel Intensity – Facility 1 (litres per tonne of production)</t>
  </si>
  <si>
    <t>L/tonne</t>
  </si>
  <si>
    <t>Diesel Intensity – Facility 2 (litres per tonne of production)</t>
  </si>
  <si>
    <t>Diesel Intensity – Facility 3 (litres per tonne of production)</t>
  </si>
  <si>
    <t>Grid Electricity Intensity – Facility 1 (kWh per tonne)</t>
  </si>
  <si>
    <t>kWh/tonne</t>
  </si>
  <si>
    <t>Grid Electricity Intensity – Facility 2 (kWh per tonne)</t>
  </si>
  <si>
    <t>Grid Electricity Intensity – Facility 3 (kWh per tonne)</t>
  </si>
  <si>
    <t>Diesel Price – Year 1 (INR per litre)</t>
  </si>
  <si>
    <t>INR/litre</t>
  </si>
  <si>
    <t>Diesel Price Annual Escalation Rate</t>
  </si>
  <si>
    <t>Grid Electricity Tariff – Year 1 (INR per kWh)</t>
  </si>
  <si>
    <t>INR/kWh</t>
  </si>
  <si>
    <t>Grid Electricity Tariff Annual Escalation Rate</t>
  </si>
  <si>
    <t>SECTION 3: Emission Factors</t>
  </si>
  <si>
    <t>Diesel Emission Factor (kg CO2e per litre)</t>
  </si>
  <si>
    <t>kg CO2e/L</t>
  </si>
  <si>
    <t>Grid Electricity Emission Factor (kg CO2e per kWh)</t>
  </si>
  <si>
    <t>kg CO2e/kWh</t>
  </si>
  <si>
    <t>SECTION 4: Carbon Tax and Penalty Inputs (Base)</t>
  </si>
  <si>
    <t>India Carbon Tax – Base Rate (INR per tonne CO2e)</t>
  </si>
  <si>
    <t>INR/tonne</t>
  </si>
  <si>
    <t>CBAM Penalty – Base Rate (EUR per tonne CO2e)</t>
  </si>
  <si>
    <t>EUR/tonne</t>
  </si>
  <si>
    <t>INR / EUR Exchange Rate</t>
  </si>
  <si>
    <t>INR per EUR</t>
  </si>
  <si>
    <t>Discount Rate for NPV Calculation</t>
  </si>
  <si>
    <t>SECTION 5: Input Checks</t>
  </si>
  <si>
    <t>All emission factors &gt; 0? (TRUE = OK):</t>
  </si>
  <si>
    <t>COLOUR LEGEND:</t>
  </si>
  <si>
    <t>Blue text / yellow background = Input (hardcoded)</t>
  </si>
  <si>
    <t>Black text = Formula / calculated</t>
  </si>
  <si>
    <t>Green text = Link from another sheet</t>
  </si>
  <si>
    <t>OTHER INPUTS – SCENARIO PARAMETERS</t>
  </si>
  <si>
    <t>SCENARIO A</t>
  </si>
  <si>
    <t>Green Energy Transition</t>
  </si>
  <si>
    <t>Parameter</t>
  </si>
  <si>
    <t>Value</t>
  </si>
  <si>
    <t>CNG Share from Year 3 onwards</t>
  </si>
  <si>
    <t>Applied to total diesel litres from Year 3</t>
  </si>
  <si>
    <t>Solar/Electric Share from Year 6 onwards (additional)</t>
  </si>
  <si>
    <t xml:space="preserve">Applied to total diesel litres from Year 6; </t>
  </si>
  <si>
    <t>CNG Emission Factor (kg CO2e per litre-equivalent)</t>
  </si>
  <si>
    <t>kg CO2e per litre-equivalent of CNG</t>
  </si>
  <si>
    <t>CNG Price – Year 1 (INR per litre-equivalent)</t>
  </si>
  <si>
    <t>INR per litre-equivalent; escalates at 4% p.a. (same as diesel)</t>
  </si>
  <si>
    <t>Solar/Electric Cost (INR per kWh-equivalent)</t>
  </si>
  <si>
    <t xml:space="preserve">INR per kWh-equivalent; flat (no escalation). </t>
  </si>
  <si>
    <t>CBAM Exported Emission (Scenario A only)</t>
  </si>
  <si>
    <t>35% of combined diesel+CNG+grid emissions assumed to be from exported goods (simplifying assumption, replaces facility-weighted approach used in base case)</t>
  </si>
  <si>
    <t>SCENARIO B</t>
  </si>
  <si>
    <t>Carbon Credit Purchase</t>
  </si>
  <si>
    <t>Years</t>
  </si>
  <si>
    <t>Carbon Credit Price
(INR per tonne CO2e)</t>
  </si>
  <si>
    <t>Years 1-5</t>
  </si>
  <si>
    <t>Years 6-10</t>
  </si>
  <si>
    <t>SCENARIO C</t>
  </si>
  <si>
    <t>Nature-Based Carbon Offsetting (Afforestation &amp; Wetland Restoration)</t>
  </si>
  <si>
    <t>Notes</t>
  </si>
  <si>
    <t>Maximum offset target (% of total annual emissions)</t>
  </si>
  <si>
    <t>At full capacity the programme offsets 50% of total CO2 emissions per year via sequestration</t>
  </si>
  <si>
    <t>Annual capex — Years 1–3 (INR lacs)</t>
  </si>
  <si>
    <t>Land acquisition, planting and restoration. INR 400 lacs/yr × 3 years = INR 1,200 lacs total</t>
  </si>
  <si>
    <t>Annual maintenance — Year 4 onwards (INR lacs)</t>
  </si>
  <si>
    <t>Ongoing upkeep of planted areas and wetland management from Year 4 onwards</t>
  </si>
  <si>
    <t>Sequestration Ramp Schedule</t>
  </si>
  <si>
    <t>Year</t>
  </si>
  <si>
    <t>Ramp (% of target achieved)</t>
  </si>
  <si>
    <t>Effective offset (% of total emissions)</t>
  </si>
  <si>
    <t>Production Output (tonnes)</t>
  </si>
  <si>
    <t>Energy Consumption (Diesel)</t>
  </si>
  <si>
    <t>Energy Consumption (Grid Elec.)</t>
  </si>
  <si>
    <t>Energy Cost (INR lacs)</t>
  </si>
  <si>
    <t>Diesel Carbon Emissions (tCO2e)</t>
  </si>
  <si>
    <t>Grid Carbon Emissions (tCO2e)</t>
  </si>
  <si>
    <t>Total Emissions Released (tCO2e)</t>
  </si>
  <si>
    <t>Exported Emissions (tCO2e)</t>
  </si>
  <si>
    <t>Total Carbon Cost (INR lacs)</t>
  </si>
  <si>
    <t>Facility 1
(Pune)</t>
  </si>
  <si>
    <t>Facility 2
(Chennai)</t>
  </si>
  <si>
    <t>Facility 3
(Jaipur)</t>
  </si>
  <si>
    <t>Total</t>
  </si>
  <si>
    <t>Diesel
Facility 1
(litres)</t>
  </si>
  <si>
    <t>Diesel
Facility 2
(litres)</t>
  </si>
  <si>
    <t>Diesel
Facility 3
(litres)</t>
  </si>
  <si>
    <t>Grid Elec.
Facility 1
(kWh)</t>
  </si>
  <si>
    <t>Grid Elec.
Facility 2
(kWh)</t>
  </si>
  <si>
    <t>Grid Elec.
Facility 3
(kWh)</t>
  </si>
  <si>
    <t>Grid Elec.
Total
(kWh)</t>
  </si>
  <si>
    <t>Diesel
Cost</t>
  </si>
  <si>
    <t>Electricity
Cost</t>
  </si>
  <si>
    <t>Facility 1</t>
  </si>
  <si>
    <t>Facility 2</t>
  </si>
  <si>
    <t>Facility 3</t>
  </si>
  <si>
    <t>Total
Diesel</t>
  </si>
  <si>
    <t>Total
Grid</t>
  </si>
  <si>
    <t>Diesel</t>
  </si>
  <si>
    <t>Grid</t>
  </si>
  <si>
    <t>Tax Rate
(INR/tonne)</t>
  </si>
  <si>
    <t>CBAM Penalty – (EUR per tonne CO2e)</t>
  </si>
  <si>
    <t>Energy
Cost</t>
  </si>
  <si>
    <t>India
Tax</t>
  </si>
  <si>
    <t>CBAM
Penalty</t>
  </si>
  <si>
    <t>NPV of Total Carbon Cost</t>
  </si>
  <si>
    <t>Year-on-Year Growth %</t>
  </si>
  <si>
    <t>Yr1→Yr2</t>
  </si>
  <si>
    <t>Yr2→Yr3</t>
  </si>
  <si>
    <t>Yr3→Yr4</t>
  </si>
  <si>
    <t>Yr4→Yr5</t>
  </si>
  <si>
    <t>Yr5→Yr6</t>
  </si>
  <si>
    <t>Yr6→Yr7</t>
  </si>
  <si>
    <t>Yr7→Yr8</t>
  </si>
  <si>
    <t>Yr8→Yr9</t>
  </si>
  <si>
    <t>Yr9→Yr10</t>
  </si>
  <si>
    <t>Real Energy Cost Growth (net of volume growth)</t>
  </si>
  <si>
    <t>CNG</t>
  </si>
  <si>
    <t>Solar</t>
  </si>
  <si>
    <t>CNG Carbon Emissions (tCO2e)</t>
  </si>
  <si>
    <t>Check 1</t>
  </si>
  <si>
    <t>CNG
Facility 1
(litres)</t>
  </si>
  <si>
    <t>CNG
Facility 2
(litres)</t>
  </si>
  <si>
    <t>CNG
Facility 3
(litres)</t>
  </si>
  <si>
    <t>Check 2</t>
  </si>
  <si>
    <t>Solar
Facility 1
(litres)</t>
  </si>
  <si>
    <t>Solar
Facility 2
(litres)</t>
  </si>
  <si>
    <t>Solar
Facility 3
(litres)</t>
  </si>
  <si>
    <t>Check 3</t>
  </si>
  <si>
    <t>CNG  Cost</t>
  </si>
  <si>
    <t>Solar Cost</t>
  </si>
  <si>
    <t>Check</t>
  </si>
  <si>
    <t>Graph</t>
  </si>
  <si>
    <t>Graph Data</t>
  </si>
  <si>
    <t>Base</t>
  </si>
  <si>
    <t>Scenario A</t>
  </si>
  <si>
    <t>Carbon Offset (INR lacs)</t>
  </si>
  <si>
    <t>Annual carbon credit purchase cost</t>
  </si>
  <si>
    <t>Net savings</t>
  </si>
  <si>
    <t>Total cost</t>
  </si>
  <si>
    <t>Sequestration
Offset</t>
  </si>
  <si>
    <t>Penalty Savings
from Offsets
(INR lacs)</t>
  </si>
  <si>
    <t>Capex /
Maintenance
(INR lacs)</t>
  </si>
  <si>
    <t>Net Carbon Cost
(INR lacs)</t>
  </si>
  <si>
    <t>Ramp %
(of target)</t>
  </si>
  <si>
    <t>Offset
(tCO2e)</t>
  </si>
  <si>
    <t>India Tax
Saving
(INR lacs)</t>
  </si>
  <si>
    <t>CBAM
Saving
(INR lacs)</t>
  </si>
  <si>
    <t>Capex /
Maint
(INR lacs)</t>
  </si>
  <si>
    <t>Net
India Tax
(INR lacs)</t>
  </si>
  <si>
    <t>Net
CBAM
(INR lacs)</t>
  </si>
  <si>
    <t>Net Total
Cost
(INR lacs)</t>
  </si>
  <si>
    <t>SCENARIO SUMMARY</t>
  </si>
  <si>
    <t>Metric</t>
  </si>
  <si>
    <t>Scenario A
(Green Energy)</t>
  </si>
  <si>
    <t>Scenario B
(Carbon Credits)</t>
  </si>
  <si>
    <t>Scenario C
(Nature-Based Offsetting)</t>
  </si>
  <si>
    <t>Best Case</t>
  </si>
  <si>
    <t>Comments</t>
  </si>
  <si>
    <t>NPV of Energy cost</t>
  </si>
  <si>
    <t>A</t>
  </si>
  <si>
    <t>Sc A reduces energy cost: CNG cheaper than diesel (INR 65 vs INR 92/L) + solar at INR 40/L-eq flat. Sc B and Sc C: same fuel mix as base, energy cost identical.</t>
  </si>
  <si>
    <t>NPV of Total cost</t>
  </si>
  <si>
    <t>Ranking: Sc A cheapest — only strategy that cuts NPV below base. Sc C saves modestly (offset savings partly offset by capex INR 1,200 lacs + maintenance). Sc B most expensive — credits at INR 800–1,100/t cost 4–5.5× the INR 200 tax rate.</t>
  </si>
  <si>
    <t>Total CO2 Released
(tCO2e, 10-yr gross)</t>
  </si>
  <si>
    <t>C</t>
  </si>
  <si>
    <t>Gross CO2 physically released from facilities. Sc A genuinely reduces emissions via cleaner fuel mix (CNG lower volume, solar zero-emission). Sc B and Sc C: gross emissions identical to base — no change in fuel or energy.</t>
  </si>
  <si>
    <t>Net CO2 after Sequestration
(tCO2e — Sc C only)</t>
  </si>
  <si>
    <t>—</t>
  </si>
  <si>
    <t>Gross emissions unchanged (same fuel mix as base). Sequestration offsets ~151,700 tCO2 over 10 years (10%→50% ramp). Net = gross − cumulative offset. This is an ESG reporting metric; financial impact shown in NPV Total cost row.</t>
  </si>
  <si>
    <t>Graphs</t>
  </si>
  <si>
    <t>MANAGEMENT SUMMARY</t>
  </si>
  <si>
    <t>Pune (F1)</t>
  </si>
  <si>
    <t>Chennai (F2)</t>
  </si>
  <si>
    <t>Jaipur (F3)</t>
  </si>
  <si>
    <t>Diesel intensity (L/tonne)*</t>
  </si>
  <si>
    <t>Grid electricity intensity (kWh/tonne)*</t>
  </si>
  <si>
    <t>Export proportion to Europe*</t>
  </si>
  <si>
    <t>Scenario C delivers a genuine but modest saving of INR 298 lacs vs base (0.7%). The programme offsets both India tax and CBAM proportionally, and the certified offsets are EU-recognised, unlike the domestic credits in Scenario B. However, the sequestration ramp (reaching full 50% offset capacity only in Year 5) means early years incur high capex (INR 400 lacs/yr) while savings are limited — Year 1 net cost is actually higher than base due to the INR 400 lacs investment. From Year 5 onwards, the programme generates meaningful annual savings. An important distinction: gross CO2 physically released is unchanged from base (same fuel mix); the 205,083 tCO2 net figure reflects sequestration elsewhere, not actual emission reduction at the facilities.</t>
  </si>
  <si>
    <t>7. Conclusions</t>
  </si>
  <si>
    <t>Scenario A (Green Energy Transition) is the recommended strategy. It is the only option that reduces both actual emissions and total financial cost, delivering INR 2,930 lacs NPV saving. The financial benefit grows materially from Year 6 when solar is introduced.</t>
  </si>
  <si>
    <t>Scenario C (Nature-Based Offsetting) provides a secondary benefit of INR 298 lacs NPV saving, but does not reduce actual facility emissions and depends on the continued EU recognition of Indian nature-based offsets — a regulatory risk.</t>
  </si>
  <si>
    <t>Scenario B (Carbon Credit Purchase) is not recommended at current market prices. Credits at INR 800–1,100/t cost far more than the INR 200 tax they replace, and provide no CBAM relief.</t>
  </si>
  <si>
    <t>The actual outcome will depend on future production volumes, fuel prices, carbon tax trajectories and INR/EUR exchange rates. A sensitivity analysis is recommended before committing capital.</t>
  </si>
  <si>
    <t>8. Suggested Next Steps</t>
  </si>
  <si>
    <t>Engage a regulatory adviser to monitor EU CBAM methodology changes — proposed scope expansions or changes to the certificate recognition rules could materially alter the scenario rankings.</t>
  </si>
  <si>
    <t>Scenario C</t>
  </si>
  <si>
    <t>Scenario A is the only strategy that genuinely reduces gross CO2 physically released (348,583 vs 356,805 tCO2 base — a real reduction of 8,222 tCO2). Scenarios B and C leave gross emissions unchanged from base. The green bar for Scenario C shows net CO2 after deducting ~151,700 tCO2 of sequestration offsets — this is an ESG reporting metric. The sequestration occurs elsewhere (afforestation/wetland restoration); it does not reduce actual CO2 released at the facilities.</t>
  </si>
  <si>
    <t xml:space="preserve">Emissions </t>
  </si>
  <si>
    <t>1.  Purpose of the Exercise</t>
  </si>
  <si>
    <t>2.  Data Inputs</t>
  </si>
  <si>
    <t>The following data inputs were used in the model. Data marked with an asterisk (*) were provided by Vidyut Bharat management and have not been independently verified.</t>
  </si>
  <si>
    <t>Production and Energy Data</t>
  </si>
  <si>
    <t>Year 1 production (000 tonnes)*</t>
  </si>
  <si>
    <t>Economic and Regulatory Parameters</t>
  </si>
  <si>
    <t>Source</t>
  </si>
  <si>
    <t>Base production growth rate p.a.</t>
  </si>
  <si>
    <t>Management*</t>
  </si>
  <si>
    <t>Diesel price Year 1 / escalation</t>
  </si>
  <si>
    <t>INR 92/L / 4% p.a.</t>
  </si>
  <si>
    <t>Grid electricity tariff Year 1 / escalation</t>
  </si>
  <si>
    <t>INR 7.50/kWh / 3% p.a.</t>
  </si>
  <si>
    <t>Diesel emission factor</t>
  </si>
  <si>
    <t>2.68 kg CO2e / litre</t>
  </si>
  <si>
    <t>Standard EF</t>
  </si>
  <si>
    <t>Grid electricity emission factor</t>
  </si>
  <si>
    <t>0.82 kg CO2e / kWh</t>
  </si>
  <si>
    <t>CEA India avg.</t>
  </si>
  <si>
    <t>India carbon tax rate (base)</t>
  </si>
  <si>
    <t>INR 200 / tonne CO2e</t>
  </si>
  <si>
    <t>Regulatory</t>
  </si>
  <si>
    <t>CBAM penalty rate (base)</t>
  </si>
  <si>
    <t>EUR 50 / tonne CO2e</t>
  </si>
  <si>
    <t>EU CBAM Reg.</t>
  </si>
  <si>
    <t>INR / EUR exchange rate</t>
  </si>
  <si>
    <t>Market rate*</t>
  </si>
  <si>
    <t>Discount rate for NPV</t>
  </si>
  <si>
    <t>9% p.a.</t>
  </si>
  <si>
    <t>3.  Methodology</t>
  </si>
  <si>
    <t>The model projects annual production, energy consumption, carbon emissions and associated financial costs for each of the 10 projection years. All cashflows are assumed to occur at year-end and are discounted at 9% p.a. to calculate net present values.</t>
  </si>
  <si>
    <t>The key calculation steps are as follows:</t>
  </si>
  <si>
    <t>Step 1 - Production Projection:</t>
  </si>
  <si>
    <t>Year 1 production for each facility is taken directly from the inputs. Production in subsequent years is grown at the base rate of 8% p.a., applied uniformly across all three facilities.</t>
  </si>
  <si>
    <t>Step 2 - Energy Consumption:</t>
  </si>
  <si>
    <t>Annual diesel consumption per facility is calculated as production volume multiplied by the facility-specific diesel intensity. Annual grid electricity consumption is calculated similarly using the electricity intensity. Total diesel and electricity volumes are the sum across all three facilities.</t>
  </si>
  <si>
    <t>Step 3 - Energy Costs:</t>
  </si>
  <si>
    <t>Diesel cost is calculated as total diesel volume multiplied by the diesel price, which is escalated at 4% p.a. from Year 2 onwards. Electricity cost is total grid volume multiplied by the electricity tariff, escalated at 3% p.a. All costs are expressed in INR lacs (1 lac = INR 100,000).</t>
  </si>
  <si>
    <t>Step 4 - Carbon Emissions:</t>
  </si>
  <si>
    <t>Diesel emissions (tonnes CO2e) are calculated as total diesel volume (litres) multiplied by the emission factor of 2.68 kg CO2e/L, divided by 1,000. Grid emissions are calculated as total electricity volume (kWh) multiplied by 0.82 kg CO2e/kWh, divided by 1,000. Total emissions are the sum of diesel and grid emissions. Exported emissions are the proportion of each facility's total emissions corresponding to its export share, summed across facilities.</t>
  </si>
  <si>
    <t>Step 5 - India Carbon Tax:</t>
  </si>
  <si>
    <t>Under the base case, India carbon tax is calculated as total annual emissions multiplied by the base rate of INR 200 per tonne CO2e. Under Scenario C, year-specific rates from the time-varying rate table are used in place of the flat base rate.</t>
  </si>
  <si>
    <t>Step 6 - CBAM Penalty:</t>
  </si>
  <si>
    <t>CBAM is levied on the embedded carbon in exported goods. The CBAM penalty is calculated as exported emissions multiplied by the CBAM rate (EUR per tonne CO2e) multiplied by the INR/EUR exchange rate of 90. Under the base case, a flat rate of EUR 50 per tonne is applied; under Scenario C, year-specific rates are used.</t>
  </si>
  <si>
    <t>Step 7 - Net Present Value:</t>
  </si>
  <si>
    <t>The NPV of each cost component (energy, India tax, CBAM) is calculated using the Excel NPV function at a discount rate of 9% p.a., assuming year-end cashflows. The NPV of total carbon cost equals the sum of the NPV of each component.</t>
  </si>
  <si>
    <t>Scenario-Specific Modifications:</t>
  </si>
  <si>
    <t>•       Scenario A (Green Energy Transition): From Year 3, 30% of diesel is replaced by CNG (emission factor 2.74 kg CO2e/L-eq; price INR 65/L-eq escalating at 4% p.a.). From Year 6, a further 20% of diesel is replaced by solar/electric energy (zero direct emissions; cost INR 4/kWh-eq, where 1L diesel = 10 kWh-eq). Energy costs and carbon emissions are recalculated using the adjusted fuel mix.</t>
  </si>
  <si>
    <t>•       Scenario B (Carbon Credit Purchase): Production and emissions are unchanged from the base case. India carbon tax liability is replaced by carbon credit purchases at INR 800 per tonne CO2e in Years 1-5 and INR 1,100 per tonne CO2e in Years 6-10. The CBAM penalty is unaffected, as EU CBAM does not currently recognise Indian domestic carbon credits as a qualifying offset.</t>
  </si>
  <si>
    <t>4.  Key Assumptions</t>
  </si>
  <si>
    <t>Production growth is constant at 8% p.a. across all three facilities throughout the projection period.</t>
  </si>
  <si>
    <t>The INR/EUR exchange rate is held constant at 90 throughout the 10-year period.</t>
  </si>
  <si>
    <t>The Indian grid electricity emission factor remains constant at 0.82 kg CO2e/kWh throughout.</t>
  </si>
  <si>
    <t>CBAM is assessed on the exported proportion of total facility emissions, allocated pro-rata by production share.</t>
  </si>
  <si>
    <t>Capital costs of the green energy transition (Scenario A) are excluded from the analysis.</t>
  </si>
  <si>
    <t>Carbon credits in Scenario B fully offset the India carbon tax liability; regulatory offset approval is assumed to be granted.</t>
  </si>
  <si>
    <t>Solar and electric displacement in Scenario A carries zero direct emissions; upstream Scope 3 emissions from manufacturing solar equipment are excluded.</t>
  </si>
  <si>
    <t>There are no other costs of production beyond energy costs, India carbon tax and CBAM.</t>
  </si>
  <si>
    <t>The model is deterministic. All future production, energy and carbon variables are treated as known with certainty.</t>
  </si>
  <si>
    <t>5.  Results</t>
  </si>
  <si>
    <t>The table below summarises the NPV of key financial metrics across the base case and all three scenarios. All figures are in INR lacs, discounted at 9% p.a.</t>
  </si>
  <si>
    <t>6. Observation</t>
  </si>
  <si>
    <t>6.1  Base Case</t>
  </si>
  <si>
    <t>Total carbon costs grow from INR 3,979 lacs in Year 1 to INR 10,503 lacs in Year 10 (a 164% increase), driven by compounding 8% p.a. production growth and energy price escalation. CBAM dominates carbon penalty costs, accounting for ~89% of NPV penalties (INR 3,654 lacs out of INR 4,088 lacs). This reflects the effective CBAM rate of EUR 50 × INR 90 = INR 4,500 per tonne - 22.5 times the India carbon tax rate of INR 200 per tonne. Any meaningful reduction in carbon liability therefore requires a reduction in actual emissions, not merely a financial offset.</t>
  </si>
  <si>
    <t>6.2  Scenario A - Green Energy Transition</t>
  </si>
  <si>
    <t>Scenario A is the only strategy that reduces total costs below the base, with an NPV saving of INR 3,550 lacs (8.8%). Importantly, CNG substitution from Year 3 does not reduce emissions - the CNG emission factor (2.74 kg CO2e/L-eq) is marginally higher than diesel (2.68), so Years 3-5 savings come purely from the lower CNG unit price. From Year 6, solar displacement (20% of diesel, zero direct emissions) drives a genuine step-down in both emissions and costs; Year 6 total cost falls INR 847 lacs (12%) below base. Capital costs of CNG conversion and solar installation are excluded and must be quantified before a net investment decision can be made.</t>
  </si>
  <si>
    <t>6.3  Scenario B - Carbon Credit Purchase</t>
  </si>
  <si>
    <t>Scenario B is more expensive than the base case in every year, with an NPV total cost of INR 41,910 lacs - INR 1,619 lacs (4.0%) above base. The credit price (INR 800-1,100/t) is 4-5.5 times the India tax rate (INR 200/t), making credit purchase consistently more expensive than paying the tax. Credits also have no impact on CBAM, which remains at NPV INR 3,654 lacs, as EU CBAM does not recognise Indian domestic credits as a qualifying offset. A further cost step-change occurs in Year 6 when the credit price rises from INR 800 to INR 1,100, compounding with growing production volumes.</t>
  </si>
  <si>
    <t>The analysis leads to three clear conclusions:</t>
  </si>
  <si>
    <t>•      Scenario C — phased investment in afforestation and wetland restoration; offsets 10% of total emissions in Year 1 ramping linearly to 50% by Year 5; capex INR 400 lacs/yr Years 1–3; maintenance INR 80 lacs/yr from Year 4; offsets reduce both India tax and CBAM proportionally.</t>
  </si>
  <si>
    <t>6.4  Scenario C - Nature-Based Carbon Offsetting</t>
  </si>
  <si>
    <t>Get the model independently reviewed by a qualified actuary not involved in its preparation, to provide assurance on the methodology and calculations before results are presented to the Board.</t>
  </si>
  <si>
    <t>Model alternative production growth scenarios (e.g. 5%, 8% and 12% p.a.) to test whether Scenario A remains the preferred option under different volume trajectories.</t>
  </si>
  <si>
    <t>Extend the model to facility-level CBAM tracking rather than a pro-rata production-share allocation, to identify where CBAM exposure is most concentrated across Pune, Chennai and Jaipur.</t>
  </si>
  <si>
    <t>Monitor India's Carbon Credit Trading Scheme (CCTS) development and define a credit price threshold at which Scenario B would become financially viable relative to paying the India carbon tax directly.</t>
  </si>
  <si>
    <t>Evaluate EU CBAM scope expansion and monitor whether Indian domestic carbon credits may be accepted as qualifying CBAM offsets in future regulatory updates.</t>
  </si>
  <si>
    <t>Incorporate FX sensitivity analysis at INR/EUR rates of 80, 90 and 100 to quantify the financial impact of rupee depreciation on the INR cost of CBAM penalties.</t>
  </si>
  <si>
    <t>Benchmark Vidyut Bharat's emission intensity (kg CO2e per tonne of production) against Indian manufacturing sector peers and international best-practice comparators to identify additional emission reduction opportunities.</t>
  </si>
  <si>
    <t>Obtain independent assurance on the energy intensity inputs (diesel litres/tonne and grid kWh/tonne by facility), which are currently management-provided and have not been independently verified.</t>
  </si>
  <si>
    <t>Perform tests on the demand regression residuals to validate the statistical assumptions underlying the linear demand model used for production forecasting.</t>
  </si>
  <si>
    <t>Back-test the model annually against actual production volumes, energy consumption and carbon penalty payments to recalibrate assumptions and improve the accuracy of future projections.</t>
  </si>
  <si>
    <t>Incorporate corporate income tax on profits into a fuller financial model to assess the post-tax NPV of each scenario and determine whether the scenario rankings change on an after-tax basis.</t>
  </si>
  <si>
    <t>Extend the projection horizon beyond 10 years (e.g. to 15 or 20 years) to capture the full benefit of Scenario A capital investment, which may not be fully reflected within the current 10-year window.</t>
  </si>
  <si>
    <t>Produce a stochastic (Monte Carlo) model to generate a probability distribution of NPV outcomes, providing management with confidence intervals and tail-risk estimates rather than single point estimates.</t>
  </si>
  <si>
    <t>Allow for depreciation, maintenance costs and potential resale value of existing Plant A assets in a fuller financial comparison of maintaining the existing plant versus transitioning to green energy.</t>
  </si>
  <si>
    <t>Engage a regulatory adviser to monitor proposed changes to EU CBAM methodology, India carbon tax escalation paths, and any bilateral carbon or trade treaty developments between India and the EU.</t>
  </si>
  <si>
    <t>Allow for the possibility of defective or unsaleable production in the revenue model, as quality issues could reduce units sold below the level assumed and therefore overstate revenues and understate per-unit carbon costs.</t>
  </si>
  <si>
    <t>Consider facility-specific production growth rates rather than a single uniform rate, as Pune (heavy manufacturing) and Jaipur (light processing) may have structurally different capacity constraints and demand drivers.</t>
  </si>
  <si>
    <t>Model a partial green energy transition scenario - for example, prioritising solar installation at Chennai (50% export share, highest CBAM exposure) before rolling out to other facilities - to identify the highest-return sequence of investment.</t>
  </si>
  <si>
    <t>Allow for storage and warehousing costs that may arise if production exceeds demand in any year, to ensure the cost comparison between scenarios is fully comprehensive.</t>
  </si>
  <si>
    <t>Vidyut Bharat Manufacturing Ltd operates three energy-intensive production facilities in India, generating significant CO2 emissions from diesel and coal-powered grid electricity. These emissions expose the company to two growing financial obligations: India's domestic carbon tax (INR 200 per tonne CO2e on all facility emissions) and the EU Carbon Border Adjustment Mechanism (CBAM — EUR 50 per tonne CO2e on the carbon embedded in goods exported to Europe via its parent, EuroPower Components GmbH).
The purpose of this analysis is to quantify that financial risk and evaluate three carbon management strategies against the base case:
Scenario A — Green Energy Transition: phased replacement of diesel with CNG and solar energy
Scenario B — Carbon Credit Purchase: purchasing certified credits to offset the India carbon tax liability
Scenario C — Nature-Based Carbon Offsetting: investing in afforestation and wetland restoration to generate sequestration offsets recognised under both India's Green Credit Programme and EU CBAM
The analysis projects carbon emissions and total carbon-related costs over a 10-year horizon under each strategy, calculates the NPV of costs at a 9% discount rate, and provides the CSO and Finance Director with the quantitative evidence needed to select a preferred strategy and seek Board approval for capital investment.</t>
  </si>
  <si>
    <t>Scope 3 emissions are indirect emissions that occur in a company's value chain but outside its own operations</t>
  </si>
  <si>
    <t xml:space="preserve">All cashflows are assumed to occur at year-end for discounting purposes (as opposed to mid-year or continuous discounting). </t>
  </si>
  <si>
    <t>Penalty remains same throughout the projection period.</t>
  </si>
  <si>
    <t>There are no alternative source of energy, and/ or not innovation to replace these energy sources will be done during the projection period</t>
  </si>
  <si>
    <t>Demand and production variables are consistent</t>
  </si>
  <si>
    <t>There is no additional taxation from respective state legislations, given three facilities operate in different states.</t>
  </si>
  <si>
    <t>There is no incentive from governments on moving to green sources of energy.</t>
  </si>
  <si>
    <t>All other input parameters (inflation, price, etc.) are correct and likely to hold true in future</t>
  </si>
  <si>
    <t>Scenario A cost tracks the base until Year 3 when cheaper CNG reduces energy spend, then falls sharply from Year 6 as zero-cost solar displaces a further 20% of diesel — widening the saving to INR 683 lacs by Year 10.</t>
  </si>
  <si>
    <t>Scenario B - Carbon credit purchase cost exceeds the India tax it replaces in every year — by 4× in Years 1–5 (INR 800/t vs INR 200/t) and 5.5× from Year 6 (INR 1,100/t) — making Scenario B the most expensive strategy in every single year of the projection.</t>
  </si>
  <si>
    <t>Scenario C net emissions (gross CO2 released less sequestration offset) fall steadily from 22,154 tCO2 in Year 1 to a low of 16,754 tCO2 in Year 5 as the afforestation programme ramps up to full 50% offset capacity; from Year 6 the net figure rises as 8% annual production growth continuously expands the gross emission base while the sequestration ceiling remains fixed — highlighting that nature-based offsetting alone cannot keep pace with unconstrained production growth over the long term.</t>
  </si>
  <si>
    <t>Comparison of all scenarios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</si>
</sst>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_);_(@_)"/>
    <numFmt numFmtId="165" formatCode="0.0%"/>
    <numFmt numFmtId="166" formatCode="0.000"/>
    <numFmt numFmtId="167" formatCode="#,##0.0"/>
    <numFmt numFmtId="168" formatCode="#,##0.0000"/>
    <numFmt numFmtId="169" formatCode="[$₹-4009]\ #,##0.00;[Red][$₹-4009]&quot; -&quot;#,##0.00"/>
    <numFmt numFmtId="170" formatCode="_(* #,##0_);_(* \(#,##0\);_(* \-??_);_(@_)"/>
  </numFmts>
  <fonts count="21" x14ac:knownFonts="1">
    <font>
      <sz val="11"/>
      <color theme="1"/>
      <name val="Calibri"/>
      <family val="2"/>
      <charset val="1"/>
    </font>
    <font>
      <sz val="10"/>
      <color theme="1"/>
      <name val="Arial"/>
      <family val="2"/>
    </font>
    <font>
      <sz val="10"/>
      <name val="Arial"/>
      <family val="2"/>
    </font>
    <font>
      <b/>
      <sz val="12"/>
      <color rgb="FFFFFFFF"/>
      <name val="Arial"/>
      <family val="2"/>
    </font>
    <font>
      <b/>
      <sz val="10"/>
      <color rgb="FF000000"/>
      <name val="Arial"/>
      <family val="2"/>
    </font>
    <font>
      <sz val="10"/>
      <color rgb="FF000000"/>
      <name val="Arial"/>
      <family val="2"/>
    </font>
    <font>
      <sz val="10"/>
      <color rgb="FF0000FF"/>
      <name val="Arial"/>
      <family val="2"/>
    </font>
    <font>
      <sz val="10"/>
      <color rgb="FF008000"/>
      <name val="Arial"/>
      <family val="2"/>
    </font>
    <font>
      <i/>
      <sz val="9"/>
      <color rgb="FF595959"/>
      <name val="Arial"/>
      <family val="2"/>
    </font>
    <font>
      <b/>
      <sz val="10"/>
      <color rgb="FFFFFFFF"/>
      <name val="Arial"/>
      <family val="2"/>
      <charset val="1"/>
    </font>
    <font>
      <sz val="10"/>
      <color rgb="FF0070C0"/>
      <name val="Arial"/>
      <family val="2"/>
      <charset val="1"/>
    </font>
    <font>
      <b/>
      <sz val="10"/>
      <name val="Arial"/>
      <family val="2"/>
      <charset val="1"/>
    </font>
    <font>
      <b/>
      <sz val="11"/>
      <color theme="1"/>
      <name val="Calibri"/>
      <family val="2"/>
      <charset val="1"/>
    </font>
    <font>
      <b/>
      <sz val="10"/>
      <color rgb="FF1F4E79"/>
      <name val="Arial"/>
      <family val="2"/>
      <charset val="1"/>
    </font>
    <font>
      <sz val="11"/>
      <color theme="1"/>
      <name val="Arial"/>
      <family val="2"/>
      <charset val="1"/>
    </font>
    <font>
      <b/>
      <sz val="11"/>
      <color rgb="FF00B050"/>
      <name val="Calibri"/>
      <family val="2"/>
    </font>
    <font>
      <b/>
      <sz val="10"/>
      <color rgb="FF00B050"/>
      <name val="Arial"/>
      <family val="2"/>
      <charset val="1"/>
    </font>
    <font>
      <b/>
      <u/>
      <sz val="10"/>
      <color theme="1"/>
      <name val="Arial"/>
      <family val="2"/>
      <charset val="1"/>
    </font>
    <font>
      <b/>
      <sz val="10"/>
      <color theme="1"/>
      <name val="Arial"/>
      <family val="2"/>
      <charset val="1"/>
    </font>
    <font>
      <sz val="11"/>
      <color rgb="FF222222"/>
      <name val="Arial"/>
      <family val="2"/>
    </font>
    <font>
      <i/>
      <sz val="8"/>
      <color rgb="FF222222"/>
      <name val="Arial"/>
      <family val="2"/>
    </font>
  </fonts>
  <fills count="15">
    <fill>
      <patternFill patternType="none"/>
    </fill>
    <fill>
      <patternFill patternType="gray125"/>
    </fill>
    <fill>
      <patternFill patternType="solid">
        <fgColor rgb="FF4472C4"/>
        <bgColor indexed="64"/>
      </patternFill>
    </fill>
    <fill>
      <patternFill patternType="solid">
        <fgColor rgb="FFD9E1F2"/>
        <bgColor indexed="64"/>
      </patternFill>
    </fill>
    <fill>
      <patternFill patternType="solid">
        <fgColor rgb="FFFFFF00"/>
        <bgColor indexed="64"/>
      </patternFill>
    </fill>
    <fill>
      <patternFill patternType="solid">
        <fgColor rgb="FFFCE4D6"/>
        <bgColor indexed="64"/>
      </patternFill>
    </fill>
    <fill>
      <patternFill patternType="solid">
        <fgColor rgb="FF1F4E79"/>
        <bgColor indexed="64"/>
      </patternFill>
    </fill>
    <fill>
      <patternFill patternType="solid">
        <fgColor rgb="FFFFF2CC"/>
        <bgColor indexed="64"/>
      </patternFill>
    </fill>
    <fill>
      <patternFill patternType="solid">
        <fgColor rgb="FFDDEBF7"/>
        <bgColor indexed="64"/>
      </patternFill>
    </fill>
    <fill>
      <patternFill patternType="solid">
        <fgColor rgb="FFE2EFDA"/>
        <bgColor indexed="64"/>
      </patternFill>
    </fill>
    <fill>
      <patternFill patternType="solid">
        <fgColor rgb="FF92D050"/>
        <bgColor indexed="64"/>
      </patternFill>
    </fill>
    <fill>
      <patternFill patternType="solid">
        <fgColor rgb="FFFFFF00"/>
        <bgColor indexed="64"/>
      </patternFill>
    </fill>
    <fill>
      <patternFill patternType="solid">
        <fgColor rgb="FFFFFFFF"/>
        <bgColor indexed="64"/>
      </patternFill>
    </fill>
    <fill>
      <patternFill patternType="solid">
        <fgColor rgb="FFF2F2F2"/>
        <bgColor indexed="64"/>
      </patternFill>
    </fill>
    <fill>
      <patternFill patternType="solid">
        <fgColor rgb="FF4472C4"/>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AAAAAA"/>
      </left>
      <right style="thin">
        <color rgb="FFAAAAAA"/>
      </right>
      <top style="thin">
        <color rgb="FFAAAAAA"/>
      </top>
      <bottom style="thin">
        <color rgb="FFAAAAAA"/>
      </bottom>
      <diagonal/>
    </border>
    <border>
      <left/>
      <right/>
      <top/>
      <bottom style="thin">
        <color auto="1"/>
      </bottom>
      <diagonal/>
    </border>
  </borders>
  <cellStyleXfs count="2">
    <xf numFmtId="0" fontId="0" fillId="0" borderId="0"/>
    <xf numFmtId="164" fontId="2" fillId="0" borderId="0"/>
  </cellStyleXfs>
  <cellXfs count="116">
    <xf numFmtId="0" fontId="0" fillId="0" borderId="0" xfId="0"/>
    <xf numFmtId="0" fontId="5" fillId="1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9" fillId="6" borderId="1" xfId="0" applyFont="1" applyFill="1" applyBorder="1" applyAlignment="1">
      <alignment horizontal="center" vertical="center" wrapText="1"/>
    </xf>
    <xf numFmtId="0" fontId="4" fillId="0" borderId="0" xfId="0" applyFont="1" applyAlignment="1">
      <alignment horizontal="left" vertical="center" wrapText="1"/>
    </xf>
    <xf numFmtId="0" fontId="13" fillId="0" borderId="1" xfId="0" applyFont="1" applyBorder="1" applyAlignment="1">
      <alignment horizontal="center" vertical="center" wrapText="1"/>
    </xf>
    <xf numFmtId="0" fontId="9" fillId="2" borderId="0" xfId="0" applyFont="1" applyFill="1" applyAlignment="1">
      <alignment horizontal="center" vertical="center" wrapText="1"/>
    </xf>
    <xf numFmtId="0" fontId="0" fillId="0" borderId="0" xfId="0" applyAlignment="1">
      <alignment vertical="center"/>
    </xf>
    <xf numFmtId="0" fontId="3" fillId="2" borderId="0" xfId="0" applyFont="1" applyFill="1" applyAlignment="1">
      <alignment horizontal="center" vertical="center" wrapText="1"/>
    </xf>
    <xf numFmtId="0" fontId="4" fillId="3" borderId="0" xfId="0" applyFont="1" applyFill="1" applyAlignment="1">
      <alignment horizontal="left" vertical="center" wrapText="1"/>
    </xf>
    <xf numFmtId="0" fontId="5" fillId="0" borderId="0" xfId="0" applyFont="1" applyAlignment="1">
      <alignment horizontal="left" vertical="center" wrapText="1"/>
    </xf>
    <xf numFmtId="3" fontId="6" fillId="4" borderId="0" xfId="0" applyNumberFormat="1" applyFont="1" applyFill="1" applyAlignment="1">
      <alignment horizontal="center" vertical="center" wrapText="1"/>
    </xf>
    <xf numFmtId="165" fontId="6" fillId="4" borderId="0" xfId="0" applyNumberFormat="1" applyFont="1" applyFill="1" applyAlignment="1">
      <alignment horizontal="center" vertical="center" wrapText="1"/>
    </xf>
    <xf numFmtId="4" fontId="6" fillId="4" borderId="0" xfId="0" applyNumberFormat="1" applyFont="1" applyFill="1" applyAlignment="1">
      <alignment horizontal="center" vertical="center" wrapText="1"/>
    </xf>
    <xf numFmtId="166" fontId="6" fillId="4" borderId="0" xfId="0" applyNumberFormat="1" applyFont="1" applyFill="1" applyAlignment="1">
      <alignment horizontal="center" vertical="center" wrapText="1"/>
    </xf>
    <xf numFmtId="0" fontId="5" fillId="0" borderId="0" xfId="0" applyFont="1" applyAlignment="1">
      <alignment horizontal="center" vertical="center" wrapText="1"/>
    </xf>
    <xf numFmtId="0" fontId="6" fillId="4" borderId="0" xfId="0" applyFont="1" applyFill="1" applyAlignment="1">
      <alignment vertical="center"/>
    </xf>
    <xf numFmtId="0" fontId="5" fillId="0" borderId="0" xfId="0" applyFont="1" applyAlignment="1">
      <alignment vertical="center"/>
    </xf>
    <xf numFmtId="0" fontId="7" fillId="0" borderId="0" xfId="0" applyFont="1" applyAlignment="1">
      <alignment vertical="center"/>
    </xf>
    <xf numFmtId="0" fontId="4" fillId="5" borderId="0" xfId="0" applyFont="1" applyFill="1" applyAlignment="1">
      <alignment horizontal="center" vertical="center" wrapText="1"/>
    </xf>
    <xf numFmtId="0" fontId="4" fillId="3" borderId="0" xfId="0" applyFont="1" applyFill="1" applyAlignment="1">
      <alignment horizontal="center" vertical="center" wrapText="1"/>
    </xf>
    <xf numFmtId="0" fontId="8" fillId="0" borderId="0" xfId="0" applyFont="1" applyAlignment="1">
      <alignment vertical="top" wrapText="1"/>
    </xf>
    <xf numFmtId="0" fontId="4" fillId="0" borderId="2" xfId="0" applyFont="1" applyBorder="1" applyAlignment="1">
      <alignment horizontal="left" vertical="center"/>
    </xf>
    <xf numFmtId="0" fontId="9" fillId="6" borderId="2" xfId="0" applyFont="1" applyFill="1" applyBorder="1" applyAlignment="1">
      <alignment horizontal="center" vertical="center" wrapText="1"/>
    </xf>
    <xf numFmtId="0" fontId="5" fillId="0" borderId="2" xfId="0" applyFont="1" applyBorder="1" applyAlignment="1">
      <alignment horizontal="left" vertical="center" wrapText="1"/>
    </xf>
    <xf numFmtId="9" fontId="10" fillId="7" borderId="2" xfId="0" applyNumberFormat="1" applyFont="1" applyFill="1" applyBorder="1" applyAlignment="1">
      <alignment horizontal="center" vertical="center" wrapText="1"/>
    </xf>
    <xf numFmtId="3" fontId="8" fillId="4" borderId="2" xfId="0" applyNumberFormat="1" applyFont="1" applyFill="1" applyBorder="1" applyAlignment="1">
      <alignment vertical="top" wrapText="1"/>
    </xf>
    <xf numFmtId="3" fontId="10" fillId="7" borderId="2" xfId="0" applyNumberFormat="1" applyFont="1" applyFill="1" applyBorder="1" applyAlignment="1">
      <alignment horizontal="center" vertical="center" wrapText="1"/>
    </xf>
    <xf numFmtId="0" fontId="4" fillId="8" borderId="2" xfId="0" applyFont="1" applyFill="1" applyBorder="1" applyAlignment="1">
      <alignment horizontal="left" vertical="center" wrapText="1"/>
    </xf>
    <xf numFmtId="3" fontId="9" fillId="6" borderId="2" xfId="0" applyNumberFormat="1" applyFont="1" applyFill="1" applyBorder="1" applyAlignment="1">
      <alignment horizontal="center" vertical="center"/>
    </xf>
    <xf numFmtId="3" fontId="9" fillId="6"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9" fontId="5" fillId="4" borderId="2" xfId="0"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9" fontId="5" fillId="9" borderId="2" xfId="0" applyNumberFormat="1" applyFont="1" applyFill="1" applyBorder="1" applyAlignment="1">
      <alignment horizontal="center" vertical="center" wrapText="1"/>
    </xf>
    <xf numFmtId="0" fontId="0" fillId="0" borderId="0" xfId="0" applyAlignment="1">
      <alignment horizontal="center"/>
    </xf>
    <xf numFmtId="3" fontId="5" fillId="0" borderId="0" xfId="0" applyNumberFormat="1" applyFont="1" applyAlignment="1">
      <alignment horizontal="center" vertical="center" wrapText="1"/>
    </xf>
    <xf numFmtId="167" fontId="5" fillId="0" borderId="0" xfId="0" applyNumberFormat="1" applyFont="1" applyAlignment="1">
      <alignment horizontal="center" vertical="center" wrapText="1"/>
    </xf>
    <xf numFmtId="3" fontId="0" fillId="0" borderId="0" xfId="0" applyNumberFormat="1" applyAlignment="1">
      <alignment horizontal="center"/>
    </xf>
    <xf numFmtId="3" fontId="7" fillId="0" borderId="0" xfId="0" applyNumberFormat="1" applyFont="1" applyAlignment="1">
      <alignment horizontal="center" vertical="center" wrapText="1"/>
    </xf>
    <xf numFmtId="4" fontId="5" fillId="0" borderId="0" xfId="0" applyNumberFormat="1" applyFont="1" applyAlignment="1">
      <alignment horizontal="center"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168" fontId="4" fillId="0" borderId="0" xfId="0" applyNumberFormat="1" applyFont="1" applyAlignment="1">
      <alignment horizontal="center" vertical="center" wrapText="1"/>
    </xf>
    <xf numFmtId="0" fontId="4" fillId="0" borderId="0" xfId="0" applyFont="1" applyAlignment="1">
      <alignment horizontal="left"/>
    </xf>
    <xf numFmtId="169" fontId="0" fillId="0" borderId="0" xfId="0" applyNumberFormat="1" applyAlignment="1">
      <alignment horizontal="center"/>
    </xf>
    <xf numFmtId="0" fontId="4" fillId="0" borderId="0" xfId="0" applyFont="1" applyAlignment="1">
      <alignment horizontal="center"/>
    </xf>
    <xf numFmtId="0" fontId="4" fillId="8" borderId="0" xfId="0" applyFont="1" applyFill="1" applyAlignment="1">
      <alignment horizontal="center"/>
    </xf>
    <xf numFmtId="165" fontId="5" fillId="0" borderId="0" xfId="0" applyNumberFormat="1" applyFont="1" applyAlignment="1">
      <alignment horizontal="center"/>
    </xf>
    <xf numFmtId="4" fontId="4" fillId="0" borderId="0" xfId="0" applyNumberFormat="1" applyFont="1" applyAlignment="1">
      <alignment horizontal="center" vertical="center" wrapText="1"/>
    </xf>
    <xf numFmtId="0" fontId="5" fillId="0" borderId="0" xfId="0" applyFont="1" applyAlignment="1">
      <alignment horizontal="center"/>
    </xf>
    <xf numFmtId="0" fontId="4" fillId="7" borderId="0" xfId="0" applyFont="1" applyFill="1" applyAlignment="1">
      <alignment horizontal="center"/>
    </xf>
    <xf numFmtId="0" fontId="9" fillId="10" borderId="0" xfId="0" applyFont="1" applyFill="1" applyAlignment="1">
      <alignment horizontal="center" vertical="center" wrapText="1"/>
    </xf>
    <xf numFmtId="9" fontId="5" fillId="0" borderId="0" xfId="0" applyNumberFormat="1" applyFont="1" applyAlignment="1">
      <alignment horizontal="center" vertical="center" wrapText="1"/>
    </xf>
    <xf numFmtId="0" fontId="12" fillId="0" borderId="0" xfId="0" applyFont="1" applyAlignment="1">
      <alignment horizontal="center"/>
    </xf>
    <xf numFmtId="167" fontId="4" fillId="0" borderId="0" xfId="0" applyNumberFormat="1" applyFont="1" applyAlignment="1">
      <alignment horizontal="center" vertical="center" wrapText="1"/>
    </xf>
    <xf numFmtId="3" fontId="12" fillId="0" borderId="0" xfId="0" applyNumberFormat="1" applyFont="1" applyAlignment="1">
      <alignment horizontal="center"/>
    </xf>
    <xf numFmtId="0" fontId="12" fillId="0" borderId="0" xfId="0" applyFont="1"/>
    <xf numFmtId="0" fontId="9" fillId="2" borderId="1" xfId="0" applyFont="1" applyFill="1" applyBorder="1" applyAlignment="1">
      <alignment horizontal="center" vertical="center" wrapText="1"/>
    </xf>
    <xf numFmtId="0" fontId="0" fillId="0" borderId="1" xfId="0" applyBorder="1" applyAlignment="1">
      <alignment horizontal="center"/>
    </xf>
    <xf numFmtId="4" fontId="5" fillId="0" borderId="1" xfId="0" applyNumberFormat="1" applyFont="1" applyBorder="1" applyAlignment="1">
      <alignment horizontal="center" vertical="center" wrapText="1"/>
    </xf>
    <xf numFmtId="4" fontId="0" fillId="0" borderId="1" xfId="0" applyNumberFormat="1" applyBorder="1" applyAlignment="1">
      <alignment horizontal="center"/>
    </xf>
    <xf numFmtId="4" fontId="0" fillId="0" borderId="0" xfId="0" applyNumberFormat="1" applyAlignment="1">
      <alignment horizontal="center"/>
    </xf>
    <xf numFmtId="4" fontId="12" fillId="0" borderId="0" xfId="0" applyNumberFormat="1" applyFont="1" applyAlignment="1">
      <alignment horizontal="center"/>
    </xf>
    <xf numFmtId="169" fontId="12" fillId="0" borderId="0" xfId="0" applyNumberFormat="1" applyFont="1" applyAlignment="1">
      <alignment horizontal="center"/>
    </xf>
    <xf numFmtId="169" fontId="0" fillId="0" borderId="0" xfId="0" applyNumberFormat="1" applyAlignment="1">
      <alignment horizontal="center" vertical="center"/>
    </xf>
    <xf numFmtId="169" fontId="0" fillId="0" borderId="0" xfId="0" applyNumberFormat="1"/>
    <xf numFmtId="0" fontId="0" fillId="0" borderId="1" xfId="0" applyBorder="1"/>
    <xf numFmtId="170" fontId="2" fillId="0" borderId="1" xfId="0" applyNumberFormat="1" applyFont="1" applyBorder="1"/>
    <xf numFmtId="0" fontId="14" fillId="0" borderId="1" xfId="0" applyFont="1" applyBorder="1"/>
    <xf numFmtId="0" fontId="14" fillId="0" borderId="1" xfId="0" applyFont="1" applyBorder="1" applyAlignment="1">
      <alignment wrapText="1"/>
    </xf>
    <xf numFmtId="0" fontId="14" fillId="0" borderId="0" xfId="0" applyFont="1"/>
    <xf numFmtId="170" fontId="2" fillId="0" borderId="0" xfId="0" applyNumberFormat="1" applyFont="1"/>
    <xf numFmtId="0" fontId="0" fillId="0" borderId="0" xfId="0" applyAlignment="1">
      <alignment wrapText="1"/>
    </xf>
    <xf numFmtId="3" fontId="15" fillId="0" borderId="0" xfId="0" applyNumberFormat="1" applyFont="1" applyAlignment="1">
      <alignment horizontal="center"/>
    </xf>
    <xf numFmtId="3" fontId="16" fillId="0" borderId="0" xfId="0" applyNumberFormat="1" applyFont="1" applyAlignment="1">
      <alignment horizontal="center" vertical="center" wrapText="1"/>
    </xf>
    <xf numFmtId="0" fontId="2" fillId="0" borderId="1" xfId="0" applyFont="1" applyBorder="1" applyAlignment="1">
      <alignment vertical="top" wrapText="1"/>
    </xf>
    <xf numFmtId="0" fontId="0" fillId="0" borderId="1" xfId="0" applyBorder="1" applyAlignment="1">
      <alignment horizontal="center" vertical="center"/>
    </xf>
    <xf numFmtId="0" fontId="2" fillId="0" borderId="1" xfId="0" applyFont="1" applyBorder="1" applyAlignment="1">
      <alignment horizontal="left" vertical="center" wrapText="1"/>
    </xf>
    <xf numFmtId="170"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70" fontId="2" fillId="11" borderId="1" xfId="0" applyNumberFormat="1" applyFont="1" applyFill="1" applyBorder="1"/>
    <xf numFmtId="170" fontId="2" fillId="11" borderId="1" xfId="0" applyNumberFormat="1" applyFont="1" applyFill="1" applyBorder="1" applyAlignment="1">
      <alignment horizontal="center" vertical="center" wrapText="1"/>
    </xf>
    <xf numFmtId="0" fontId="1" fillId="0" borderId="0" xfId="0" applyFont="1"/>
    <xf numFmtId="0" fontId="17" fillId="0" borderId="0" xfId="0" applyFont="1"/>
    <xf numFmtId="0" fontId="1" fillId="0" borderId="0" xfId="0" applyFont="1" applyAlignment="1">
      <alignment vertical="top" wrapText="1"/>
    </xf>
    <xf numFmtId="0" fontId="1" fillId="0" borderId="0" xfId="0" applyFont="1" applyAlignment="1">
      <alignment wrapText="1"/>
    </xf>
    <xf numFmtId="0" fontId="18" fillId="0" borderId="0" xfId="0" applyFont="1"/>
    <xf numFmtId="0" fontId="5" fillId="0" borderId="1" xfId="0" applyFont="1" applyBorder="1" applyAlignment="1">
      <alignment vertical="center" wrapText="1"/>
    </xf>
    <xf numFmtId="0" fontId="5" fillId="12" borderId="1" xfId="0" applyFont="1" applyFill="1" applyBorder="1" applyAlignment="1">
      <alignment horizontal="center" vertical="center" wrapText="1"/>
    </xf>
    <xf numFmtId="9" fontId="5" fillId="13" borderId="1" xfId="0" applyNumberFormat="1" applyFont="1" applyFill="1" applyBorder="1" applyAlignment="1">
      <alignment horizontal="center" vertical="center" wrapText="1"/>
    </xf>
    <xf numFmtId="10" fontId="5" fillId="0" borderId="1" xfId="0" applyNumberFormat="1" applyFont="1" applyBorder="1" applyAlignment="1">
      <alignment horizontal="center" vertical="center" wrapText="1"/>
    </xf>
    <xf numFmtId="0" fontId="5"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horizontal="left" vertical="center" wrapText="1"/>
    </xf>
    <xf numFmtId="0" fontId="9" fillId="14" borderId="1" xfId="0" applyFont="1" applyFill="1" applyBorder="1" applyAlignment="1">
      <alignment horizontal="center" vertical="center" wrapText="1"/>
    </xf>
    <xf numFmtId="170" fontId="9" fillId="14"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67" fontId="5" fillId="0" borderId="1" xfId="0" applyNumberFormat="1" applyFont="1" applyBorder="1" applyAlignment="1">
      <alignment horizontal="center" vertical="center" wrapText="1"/>
    </xf>
    <xf numFmtId="167" fontId="4" fillId="9"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11" fillId="0" borderId="0" xfId="0" applyFont="1" applyAlignment="1">
      <alignment vertical="center" wrapText="1"/>
    </xf>
    <xf numFmtId="0" fontId="2" fillId="0" borderId="0" xfId="0" applyFont="1" applyAlignment="1">
      <alignment vertical="center" wrapText="1"/>
    </xf>
    <xf numFmtId="0" fontId="20" fillId="0" borderId="0" xfId="0" applyFont="1" applyAlignment="1">
      <alignment wrapText="1"/>
    </xf>
    <xf numFmtId="0" fontId="19" fillId="0" borderId="0" xfId="0" applyFont="1" applyAlignment="1">
      <alignment vertical="center" wrapText="1"/>
    </xf>
    <xf numFmtId="0" fontId="4" fillId="0" borderId="0" xfId="0" applyFont="1" applyAlignment="1">
      <alignment horizontal="left" vertical="center" wrapText="1"/>
    </xf>
    <xf numFmtId="0" fontId="9" fillId="14" borderId="0" xfId="0" applyFont="1" applyFill="1" applyAlignment="1">
      <alignment horizontal="center" vertical="center" wrapText="1"/>
    </xf>
    <xf numFmtId="0" fontId="9" fillId="6"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13"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0" fillId="0" borderId="3" xfId="0" applyBorder="1" applyAlignment="1">
      <alignment horizontal="center"/>
    </xf>
    <xf numFmtId="0" fontId="11" fillId="4" borderId="0" xfId="0" applyFont="1" applyFill="1" applyAlignment="1">
      <alignment horizontal="center" vertical="center" wrapText="1"/>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3" fillId="2" borderId="1" xfId="0" applyFont="1" applyFill="1" applyBorder="1" applyAlignment="1">
      <alignment horizontal="center" vertical="center" wrapText="1"/>
    </xf>
  </cellXfs>
  <cellStyles count="2">
    <cellStyle name="Comma 2" xfId="1" xr:uid="{00000000-0005-0000-0000-000006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9BBB59"/>
      <rgbColor rgb="00800080"/>
      <rgbColor rgb="002E75B6"/>
      <rgbColor rgb="00CCCCCC"/>
      <rgbColor rgb="004F81BD"/>
      <rgbColor rgb="009999FF"/>
      <rgbColor rgb="00C0504D"/>
      <rgbColor rgb="00FFF2CC"/>
      <rgbColor rgb="00DDEBF7"/>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D9E1F2"/>
      <rgbColor rgb="00E2EFDA"/>
      <rgbColor rgb="00FFFF99"/>
      <rgbColor rgb="00B3B3B3"/>
      <rgbColor rgb="00FF99CC"/>
      <rgbColor rgb="00CC99FF"/>
      <rgbColor rgb="00FCE4D6"/>
      <rgbColor rgb="004472C4"/>
      <rgbColor rgb="0033CCCC"/>
      <rgbColor rgb="0092D050"/>
      <rgbColor rgb="00FFCC00"/>
      <rgbColor rgb="00FF9900"/>
      <rgbColor rgb="00ED7D31"/>
      <rgbColor rgb="008064A2"/>
      <rgbColor rgb="00AAAAAA"/>
      <rgbColor rgb="00003366"/>
      <rgbColor rgb="0070AD47"/>
      <rgbColor rgb="00003300"/>
      <rgbColor rgb="00333300"/>
      <rgbColor rgb="00993300"/>
      <rgbColor rgb="00993366"/>
      <rgbColor rgb="001F4E79"/>
      <rgbColor rgb="00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wrap="square"/>
          <a:lstStyle/>
          <a:p>
            <a:pPr>
              <a:defRPr lang="en-IN" sz="1400" b="1" u="none" spc="-1" baseline="0">
                <a:solidFill>
                  <a:srgbClr val="000000"/>
                </a:solidFill>
                <a:latin typeface="Calibri"/>
                <a:ea typeface="Calibri"/>
              </a:defRPr>
            </a:pPr>
            <a:r>
              <a:rPr lang="en-IN"/>
              <a:t>Scenario A vs Base: Total Carbon Cost (INR lacs)</a:t>
            </a:r>
          </a:p>
        </c:rich>
      </c:tx>
      <c:overlay val="0"/>
      <c:spPr>
        <a:noFill/>
        <a:ln w="0">
          <a:noFill/>
        </a:ln>
        <a:effectLst/>
      </c:spPr>
    </c:title>
    <c:autoTitleDeleted val="0"/>
    <c:plotArea>
      <c:layout/>
      <c:barChart>
        <c:barDir val="col"/>
        <c:grouping val="clustered"/>
        <c:varyColors val="0"/>
        <c:ser>
          <c:idx val="0"/>
          <c:order val="0"/>
          <c:tx>
            <c:strRef>
              <c:f>'Projection - ScenarioA'!$C$20</c:f>
              <c:strCache>
                <c:ptCount val="1"/>
                <c:pt idx="0">
                  <c:v>Year</c:v>
                </c:pt>
              </c:strCache>
            </c:strRef>
          </c:tx>
          <c:spPr>
            <a:solidFill>
              <a:srgbClr val="4F81BD"/>
            </a:solidFill>
            <a:ln w="0">
              <a:noFill/>
            </a:ln>
            <a:effectLst/>
          </c:spPr>
          <c:invertIfNegative val="0"/>
          <c:val>
            <c:numRef>
              <c:f>'Projection - ScenarioA'!$C$21:$C$30</c:f>
              <c:numCache>
                <c:formatCode>General</c:formatCode>
                <c:ptCount val="10"/>
                <c:pt idx="0">
                  <c:v>1</c:v>
                </c:pt>
                <c:pt idx="1">
                  <c:v>2</c:v>
                </c:pt>
                <c:pt idx="2">
                  <c:v>3</c:v>
                </c:pt>
                <c:pt idx="3">
                  <c:v>4</c:v>
                </c:pt>
                <c:pt idx="4">
                  <c:v>5</c:v>
                </c:pt>
                <c:pt idx="5">
                  <c:v>6</c:v>
                </c:pt>
                <c:pt idx="6">
                  <c:v>7</c:v>
                </c:pt>
                <c:pt idx="7">
                  <c:v>8</c:v>
                </c:pt>
                <c:pt idx="8">
                  <c:v>9</c:v>
                </c:pt>
                <c:pt idx="9">
                  <c:v>10</c:v>
                </c:pt>
              </c:numCache>
            </c:numRef>
          </c:val>
          <c:extLst>
            <c:ext xmlns:c16="http://schemas.microsoft.com/office/drawing/2014/chart" uri="{C3380CC4-5D6E-409C-BE32-E72D297353CC}">
              <c16:uniqueId val="{00000000-EF94-49C9-8384-ED60A7874B30}"/>
            </c:ext>
          </c:extLst>
        </c:ser>
        <c:ser>
          <c:idx val="1"/>
          <c:order val="1"/>
          <c:tx>
            <c:strRef>
              <c:f>'Projection - ScenarioA'!$D$20</c:f>
              <c:strCache>
                <c:ptCount val="1"/>
                <c:pt idx="0">
                  <c:v>Base</c:v>
                </c:pt>
              </c:strCache>
            </c:strRef>
          </c:tx>
          <c:spPr>
            <a:solidFill>
              <a:srgbClr val="C0504D"/>
            </a:solidFill>
            <a:ln w="0">
              <a:noFill/>
            </a:ln>
            <a:effectLst/>
          </c:spPr>
          <c:invertIfNegative val="0"/>
          <c:val>
            <c:numRef>
              <c:f>'Projection - ScenarioA'!$D$21:$D$30</c:f>
              <c:numCache>
                <c:formatCode>#,##0.00</c:formatCode>
                <c:ptCount val="10"/>
                <c:pt idx="0">
                  <c:v>3979.0166500000005</c:v>
                </c:pt>
                <c:pt idx="1">
                  <c:v>4429.797012</c:v>
                </c:pt>
                <c:pt idx="2">
                  <c:v>4932.3308677560017</c:v>
                </c:pt>
                <c:pt idx="3">
                  <c:v>5492.6210613738676</c:v>
                </c:pt>
                <c:pt idx="4">
                  <c:v>6117.3721998648143</c:v>
                </c:pt>
                <c:pt idx="5">
                  <c:v>6814.0731957139815</c:v>
                </c:pt>
                <c:pt idx="6">
                  <c:v>7591.0895653054195</c:v>
                </c:pt>
                <c:pt idx="7">
                  <c:v>8457.7666407893921</c:v>
                </c:pt>
                <c:pt idx="8">
                  <c:v>9424.5449907795228</c:v>
                </c:pt>
                <c:pt idx="9">
                  <c:v>10503.089499518745</c:v>
                </c:pt>
              </c:numCache>
            </c:numRef>
          </c:val>
          <c:extLst>
            <c:ext xmlns:c16="http://schemas.microsoft.com/office/drawing/2014/chart" uri="{C3380CC4-5D6E-409C-BE32-E72D297353CC}">
              <c16:uniqueId val="{00000001-EF94-49C9-8384-ED60A7874B30}"/>
            </c:ext>
          </c:extLst>
        </c:ser>
        <c:ser>
          <c:idx val="2"/>
          <c:order val="2"/>
          <c:tx>
            <c:strRef>
              <c:f>'Projection - ScenarioA'!$E$20</c:f>
              <c:strCache>
                <c:ptCount val="1"/>
                <c:pt idx="0">
                  <c:v>Scenario A</c:v>
                </c:pt>
              </c:strCache>
            </c:strRef>
          </c:tx>
          <c:spPr>
            <a:solidFill>
              <a:srgbClr val="9BBB59"/>
            </a:solidFill>
            <a:ln w="0">
              <a:noFill/>
            </a:ln>
            <a:effectLst/>
          </c:spPr>
          <c:invertIfNegative val="0"/>
          <c:val>
            <c:numRef>
              <c:f>'Projection - ScenarioA'!$E$21:$E$30</c:f>
              <c:numCache>
                <c:formatCode>#,##0.00</c:formatCode>
                <c:ptCount val="10"/>
                <c:pt idx="0">
                  <c:v>3951.9592750000002</c:v>
                </c:pt>
                <c:pt idx="1">
                  <c:v>4400.5750470000003</c:v>
                </c:pt>
                <c:pt idx="2">
                  <c:v>4710.3767727192017</c:v>
                </c:pt>
                <c:pt idx="3">
                  <c:v>5244.6554964743718</c:v>
                </c:pt>
                <c:pt idx="4">
                  <c:v>5840.2972139872036</c:v>
                </c:pt>
                <c:pt idx="5">
                  <c:v>6082.9892695270046</c:v>
                </c:pt>
                <c:pt idx="6">
                  <c:v>6763.2490802030425</c:v>
                </c:pt>
                <c:pt idx="7">
                  <c:v>7520.7142271765015</c:v>
                </c:pt>
                <c:pt idx="8">
                  <c:v>8364.2479806039591</c:v>
                </c:pt>
                <c:pt idx="9">
                  <c:v>9303.740179347531</c:v>
                </c:pt>
              </c:numCache>
            </c:numRef>
          </c:val>
          <c:extLst>
            <c:ext xmlns:c16="http://schemas.microsoft.com/office/drawing/2014/chart" uri="{C3380CC4-5D6E-409C-BE32-E72D297353CC}">
              <c16:uniqueId val="{00000002-EF94-49C9-8384-ED60A7874B30}"/>
            </c:ext>
          </c:extLst>
        </c:ser>
        <c:dLbls>
          <c:showLegendKey val="0"/>
          <c:showVal val="0"/>
          <c:showCatName val="0"/>
          <c:showSerName val="0"/>
          <c:showPercent val="0"/>
          <c:showBubbleSize val="0"/>
        </c:dLbls>
        <c:gapWidth val="219"/>
        <c:overlap val="-27"/>
        <c:axId val="-1543144067"/>
        <c:axId val="-1503883259"/>
      </c:barChart>
      <c:catAx>
        <c:axId val="-1543144067"/>
        <c:scaling>
          <c:orientation val="minMax"/>
        </c:scaling>
        <c:delete val="0"/>
        <c:axPos val="b"/>
        <c:numFmt formatCode="General" sourceLinked="0"/>
        <c:majorTickMark val="none"/>
        <c:minorTickMark val="none"/>
        <c:tickLblPos val="nextTo"/>
        <c:spPr>
          <a:ln w="9360" cap="flat" cmpd="sng">
            <a:solidFill>
              <a:srgbClr val="D9D9D9"/>
            </a:solidFill>
            <a:round/>
          </a:ln>
          <a:effectLst/>
        </c:spPr>
        <c:txPr>
          <a:bodyPr wrap="square"/>
          <a:lstStyle/>
          <a:p>
            <a:pPr>
              <a:defRPr lang="en-US" sz="900" b="0" u="none" spc="-1" baseline="0">
                <a:solidFill>
                  <a:srgbClr val="595959"/>
                </a:solidFill>
                <a:latin typeface="Calibri"/>
              </a:defRPr>
            </a:pPr>
            <a:endParaRPr lang="en-US"/>
          </a:p>
        </c:txPr>
        <c:crossAx val="-1503883259"/>
        <c:crosses val="autoZero"/>
        <c:auto val="1"/>
        <c:lblAlgn val="ctr"/>
        <c:lblOffset val="100"/>
        <c:noMultiLvlLbl val="0"/>
      </c:catAx>
      <c:valAx>
        <c:axId val="-1503883259"/>
        <c:scaling>
          <c:orientation val="minMax"/>
        </c:scaling>
        <c:delete val="0"/>
        <c:axPos val="l"/>
        <c:majorGridlines>
          <c:spPr>
            <a:ln w="9360" cap="flat" cmpd="sng">
              <a:solidFill>
                <a:srgbClr val="D9D9D9"/>
              </a:solidFill>
              <a:round/>
            </a:ln>
            <a:effectLst/>
          </c:spPr>
        </c:majorGridlines>
        <c:numFmt formatCode="General" sourceLinked="0"/>
        <c:majorTickMark val="none"/>
        <c:minorTickMark val="none"/>
        <c:tickLblPos val="nextTo"/>
        <c:spPr>
          <a:ln w="9360">
            <a:noFill/>
          </a:ln>
          <a:effectLst/>
        </c:spPr>
        <c:txPr>
          <a:bodyPr wrap="square"/>
          <a:lstStyle/>
          <a:p>
            <a:pPr>
              <a:defRPr lang="en-US" sz="900" b="0" u="none" spc="-1" baseline="0">
                <a:solidFill>
                  <a:srgbClr val="595959"/>
                </a:solidFill>
                <a:latin typeface="Calibri"/>
              </a:defRPr>
            </a:pPr>
            <a:endParaRPr lang="en-US"/>
          </a:p>
        </c:txPr>
        <c:crossAx val="-1543144067"/>
        <c:crosses val="autoZero"/>
        <c:crossBetween val="between"/>
      </c:valAx>
      <c:spPr>
        <a:noFill/>
        <a:ln w="0">
          <a:noFill/>
        </a:ln>
        <a:effectLst/>
      </c:spPr>
    </c:plotArea>
    <c:legend>
      <c:legendPos val="b"/>
      <c:overlay val="0"/>
      <c:spPr>
        <a:noFill/>
        <a:ln w="0">
          <a:noFill/>
        </a:ln>
        <a:effectLst/>
      </c:spPr>
      <c:txPr>
        <a:bodyPr wrap="square"/>
        <a:lstStyle/>
        <a:p>
          <a:pPr>
            <a:defRPr lang="en-US" sz="900" b="0" u="none" spc="-1" baseline="0">
              <a:solidFill>
                <a:srgbClr val="595959"/>
              </a:solidFill>
              <a:latin typeface="Calibri"/>
            </a:defRPr>
          </a:pPr>
          <a:endParaRPr lang="en-US"/>
        </a:p>
      </c:txPr>
    </c:legend>
    <c:plotVisOnly val="1"/>
    <c:dispBlanksAs val="gap"/>
    <c:showDLblsOverMax val="1"/>
  </c:chart>
  <c:spPr>
    <a:solidFill>
      <a:srgbClr val="FFFFFF"/>
    </a:solidFill>
    <a:ln w="9360" cap="flat" cmpd="sng">
      <a:solidFill>
        <a:srgbClr val="D9D9D9"/>
      </a:solidFill>
      <a:round/>
    </a:ln>
    <a:effectLst/>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wrap="square"/>
          <a:lstStyle/>
          <a:p>
            <a:pPr>
              <a:defRPr lang="en-IN" sz="1800" b="1" u="none" spc="-1" baseline="0">
                <a:solidFill>
                  <a:srgbClr val="000000"/>
                </a:solidFill>
                <a:latin typeface="Calibri"/>
                <a:ea typeface="Calibri"/>
              </a:defRPr>
            </a:pPr>
            <a:r>
              <a:rPr lang="en-IN"/>
              <a:t>Scenario B: India Carbon Tax vs Carbon Credit Cost by Year (INR lacs)</a:t>
            </a:r>
          </a:p>
        </c:rich>
      </c:tx>
      <c:overlay val="0"/>
      <c:spPr>
        <a:noFill/>
        <a:ln w="0">
          <a:noFill/>
        </a:ln>
        <a:effectLst/>
      </c:spPr>
    </c:title>
    <c:autoTitleDeleted val="0"/>
    <c:plotArea>
      <c:layout>
        <c:manualLayout>
          <c:layoutTarget val="inner"/>
          <c:xMode val="edge"/>
          <c:yMode val="edge"/>
          <c:x val="0.12939420738447899"/>
          <c:y val="0.205987488829312"/>
          <c:w val="0.60861154101260195"/>
          <c:h val="0.64512957998212705"/>
        </c:manualLayout>
      </c:layout>
      <c:barChart>
        <c:barDir val="col"/>
        <c:grouping val="clustered"/>
        <c:varyColors val="0"/>
        <c:ser>
          <c:idx val="0"/>
          <c:order val="0"/>
          <c:tx>
            <c:strRef>
              <c:f>'Projection - ScenarioB'!$AT$3</c:f>
              <c:strCache>
                <c:ptCount val="1"/>
                <c:pt idx="0">
                  <c:v>Annual carbon credit purchase cost</c:v>
                </c:pt>
              </c:strCache>
            </c:strRef>
          </c:tx>
          <c:spPr>
            <a:solidFill>
              <a:srgbClr val="C0504D"/>
            </a:solidFill>
            <a:ln w="0" cap="flat" cmpd="sng">
              <a:solidFill>
                <a:srgbClr val="000000"/>
              </a:solidFill>
            </a:ln>
            <a:effectLst/>
          </c:spPr>
          <c:invertIfNegative val="0"/>
          <c:cat>
            <c:strRef>
              <c:f>'Projection - ScenarioB'!$B$3:$B$13</c:f>
              <c:strCache>
                <c:ptCount val="11"/>
                <c:pt idx="0">
                  <c:v>Year</c:v>
                </c:pt>
                <c:pt idx="1">
                  <c:v>1</c:v>
                </c:pt>
                <c:pt idx="2">
                  <c:v>2</c:v>
                </c:pt>
                <c:pt idx="3">
                  <c:v>3</c:v>
                </c:pt>
                <c:pt idx="4">
                  <c:v>4</c:v>
                </c:pt>
                <c:pt idx="5">
                  <c:v>5</c:v>
                </c:pt>
                <c:pt idx="6">
                  <c:v>6</c:v>
                </c:pt>
                <c:pt idx="7">
                  <c:v>7</c:v>
                </c:pt>
                <c:pt idx="8">
                  <c:v>8</c:v>
                </c:pt>
                <c:pt idx="9">
                  <c:v>9</c:v>
                </c:pt>
                <c:pt idx="10">
                  <c:v>10</c:v>
                </c:pt>
              </c:strCache>
            </c:strRef>
          </c:cat>
          <c:val>
            <c:numRef>
              <c:f>'Projection - ScenarioB'!$AT$3:$AT$13</c:f>
              <c:numCache>
                <c:formatCode>#,##0.00</c:formatCode>
                <c:ptCount val="11"/>
                <c:pt idx="0" formatCode="General">
                  <c:v>0</c:v>
                </c:pt>
                <c:pt idx="1">
                  <c:v>197.04079999999999</c:v>
                </c:pt>
                <c:pt idx="2">
                  <c:v>212.80406400000001</c:v>
                </c:pt>
                <c:pt idx="3">
                  <c:v>229.82838912000005</c:v>
                </c:pt>
                <c:pt idx="4">
                  <c:v>248.21466024960006</c:v>
                </c:pt>
                <c:pt idx="5">
                  <c:v>268.07183306956807</c:v>
                </c:pt>
                <c:pt idx="6">
                  <c:v>398.08667210830856</c:v>
                </c:pt>
                <c:pt idx="7">
                  <c:v>429.93360587697327</c:v>
                </c:pt>
                <c:pt idx="8">
                  <c:v>464.32829434713119</c:v>
                </c:pt>
                <c:pt idx="9">
                  <c:v>501.47455789490169</c:v>
                </c:pt>
                <c:pt idx="10">
                  <c:v>541.59252252649389</c:v>
                </c:pt>
              </c:numCache>
            </c:numRef>
          </c:val>
          <c:extLst>
            <c:ext xmlns:c16="http://schemas.microsoft.com/office/drawing/2014/chart" uri="{C3380CC4-5D6E-409C-BE32-E72D297353CC}">
              <c16:uniqueId val="{00000000-B2E6-4B32-9A22-B82C4506AE6C}"/>
            </c:ext>
          </c:extLst>
        </c:ser>
        <c:ser>
          <c:idx val="1"/>
          <c:order val="1"/>
          <c:tx>
            <c:strRef>
              <c:f>'Projection - ScenarioB'!$AP$3</c:f>
              <c:strCache>
                <c:ptCount val="1"/>
                <c:pt idx="0">
                  <c:v>India
Tax</c:v>
                </c:pt>
              </c:strCache>
            </c:strRef>
          </c:tx>
          <c:spPr>
            <a:solidFill>
              <a:srgbClr val="9BBB59"/>
            </a:solidFill>
            <a:ln w="0">
              <a:noFill/>
            </a:ln>
            <a:effectLst/>
          </c:spPr>
          <c:invertIfNegative val="0"/>
          <c:cat>
            <c:strRef>
              <c:f>'Projection - ScenarioB'!$B$3:$B$13</c:f>
              <c:strCache>
                <c:ptCount val="11"/>
                <c:pt idx="0">
                  <c:v>Year</c:v>
                </c:pt>
                <c:pt idx="1">
                  <c:v>1</c:v>
                </c:pt>
                <c:pt idx="2">
                  <c:v>2</c:v>
                </c:pt>
                <c:pt idx="3">
                  <c:v>3</c:v>
                </c:pt>
                <c:pt idx="4">
                  <c:v>4</c:v>
                </c:pt>
                <c:pt idx="5">
                  <c:v>5</c:v>
                </c:pt>
                <c:pt idx="6">
                  <c:v>6</c:v>
                </c:pt>
                <c:pt idx="7">
                  <c:v>7</c:v>
                </c:pt>
                <c:pt idx="8">
                  <c:v>8</c:v>
                </c:pt>
                <c:pt idx="9">
                  <c:v>9</c:v>
                </c:pt>
                <c:pt idx="10">
                  <c:v>10</c:v>
                </c:pt>
              </c:strCache>
            </c:strRef>
          </c:cat>
          <c:val>
            <c:numRef>
              <c:f>'Projection - ScenarioB'!$AP$3:$AP$13</c:f>
              <c:numCache>
                <c:formatCode>#,##0.00</c:formatCode>
                <c:ptCount val="11"/>
                <c:pt idx="0" formatCode="General">
                  <c:v>0</c:v>
                </c:pt>
                <c:pt idx="1">
                  <c:v>49.260199999999998</c:v>
                </c:pt>
                <c:pt idx="2">
                  <c:v>53.201016000000003</c:v>
                </c:pt>
                <c:pt idx="3">
                  <c:v>57.457097280000013</c:v>
                </c:pt>
                <c:pt idx="4">
                  <c:v>62.053665062400007</c:v>
                </c:pt>
                <c:pt idx="5">
                  <c:v>67.017958267392018</c:v>
                </c:pt>
                <c:pt idx="6">
                  <c:v>72.379394928783384</c:v>
                </c:pt>
                <c:pt idx="7">
                  <c:v>78.169746523086062</c:v>
                </c:pt>
                <c:pt idx="8">
                  <c:v>84.423326244932952</c:v>
                </c:pt>
                <c:pt idx="9">
                  <c:v>91.177192344527597</c:v>
                </c:pt>
                <c:pt idx="10">
                  <c:v>98.471367732089817</c:v>
                </c:pt>
              </c:numCache>
            </c:numRef>
          </c:val>
          <c:extLst>
            <c:ext xmlns:c16="http://schemas.microsoft.com/office/drawing/2014/chart" uri="{C3380CC4-5D6E-409C-BE32-E72D297353CC}">
              <c16:uniqueId val="{00000001-B2E6-4B32-9A22-B82C4506AE6C}"/>
            </c:ext>
          </c:extLst>
        </c:ser>
        <c:dLbls>
          <c:showLegendKey val="0"/>
          <c:showVal val="0"/>
          <c:showCatName val="0"/>
          <c:showSerName val="0"/>
          <c:showPercent val="0"/>
          <c:showBubbleSize val="0"/>
        </c:dLbls>
        <c:gapWidth val="150"/>
        <c:axId val="1545326259"/>
        <c:axId val="631485684"/>
      </c:barChart>
      <c:catAx>
        <c:axId val="1545326259"/>
        <c:scaling>
          <c:orientation val="minMax"/>
        </c:scaling>
        <c:delete val="0"/>
        <c:axPos val="b"/>
        <c:title>
          <c:tx>
            <c:rich>
              <a:bodyPr rot="0" vert="horz" wrap="square"/>
              <a:lstStyle/>
              <a:p>
                <a:pPr>
                  <a:defRPr lang="en-IN" sz="1000" b="1" u="none" spc="-1" baseline="0">
                    <a:solidFill>
                      <a:srgbClr val="000000"/>
                    </a:solidFill>
                    <a:latin typeface="Calibri"/>
                    <a:ea typeface="Calibri"/>
                  </a:defRPr>
                </a:pPr>
                <a:r>
                  <a:rPr lang="en-IN"/>
                  <a:t>Year</a:t>
                </a:r>
              </a:p>
            </c:rich>
          </c:tx>
          <c:overlay val="0"/>
          <c:spPr>
            <a:noFill/>
            <a:ln w="0">
              <a:noFill/>
            </a:ln>
            <a:effectLst/>
          </c:spPr>
        </c:title>
        <c:numFmt formatCode="General" sourceLinked="0"/>
        <c:majorTickMark val="none"/>
        <c:minorTickMark val="none"/>
        <c:tickLblPos val="nextTo"/>
        <c:spPr>
          <a:ln w="0" cap="flat" cmpd="sng">
            <a:solidFill>
              <a:srgbClr val="B3B3B3"/>
            </a:solidFill>
          </a:ln>
          <a:effectLst/>
        </c:spPr>
        <c:txPr>
          <a:bodyPr wrap="square"/>
          <a:lstStyle/>
          <a:p>
            <a:pPr>
              <a:defRPr lang="en-US" sz="1000" b="0" u="none" spc="-1" baseline="0">
                <a:solidFill>
                  <a:srgbClr val="000000"/>
                </a:solidFill>
                <a:latin typeface="Calibri"/>
              </a:defRPr>
            </a:pPr>
            <a:endParaRPr lang="en-US"/>
          </a:p>
        </c:txPr>
        <c:crossAx val="631485684"/>
        <c:crosses val="autoZero"/>
        <c:auto val="1"/>
        <c:lblAlgn val="ctr"/>
        <c:lblOffset val="100"/>
        <c:noMultiLvlLbl val="0"/>
      </c:catAx>
      <c:valAx>
        <c:axId val="631485684"/>
        <c:scaling>
          <c:orientation val="minMax"/>
        </c:scaling>
        <c:delete val="0"/>
        <c:axPos val="l"/>
        <c:majorGridlines>
          <c:spPr>
            <a:ln w="0" cap="flat" cmpd="sng">
              <a:solidFill>
                <a:srgbClr val="B3B3B3"/>
              </a:solidFill>
            </a:ln>
            <a:effectLst/>
          </c:spPr>
        </c:majorGridlines>
        <c:title>
          <c:tx>
            <c:rich>
              <a:bodyPr rot="-5400000" vert="horz" wrap="square"/>
              <a:lstStyle/>
              <a:p>
                <a:pPr>
                  <a:defRPr lang="en-IN" sz="1000" b="1" u="none" spc="-1" baseline="0">
                    <a:solidFill>
                      <a:srgbClr val="000000"/>
                    </a:solidFill>
                    <a:latin typeface="Calibri"/>
                    <a:ea typeface="Calibri"/>
                  </a:defRPr>
                </a:pPr>
                <a:r>
                  <a:rPr lang="en-IN"/>
                  <a:t>INR lacs</a:t>
                </a:r>
              </a:p>
            </c:rich>
          </c:tx>
          <c:overlay val="0"/>
          <c:spPr>
            <a:noFill/>
            <a:ln w="0">
              <a:noFill/>
            </a:ln>
            <a:effectLst/>
          </c:spPr>
        </c:title>
        <c:numFmt formatCode="General" sourceLinked="0"/>
        <c:majorTickMark val="none"/>
        <c:minorTickMark val="none"/>
        <c:tickLblPos val="nextTo"/>
        <c:spPr>
          <a:ln w="0" cap="flat" cmpd="sng">
            <a:solidFill>
              <a:srgbClr val="B3B3B3"/>
            </a:solidFill>
          </a:ln>
          <a:effectLst/>
        </c:spPr>
        <c:txPr>
          <a:bodyPr wrap="square"/>
          <a:lstStyle/>
          <a:p>
            <a:pPr>
              <a:defRPr lang="en-US" sz="1000" b="0" u="none" spc="-1" baseline="0">
                <a:solidFill>
                  <a:srgbClr val="000000"/>
                </a:solidFill>
                <a:latin typeface="Calibri"/>
              </a:defRPr>
            </a:pPr>
            <a:endParaRPr lang="en-US"/>
          </a:p>
        </c:txPr>
        <c:crossAx val="1545326259"/>
        <c:crosses val="autoZero"/>
        <c:crossBetween val="between"/>
      </c:valAx>
      <c:spPr>
        <a:noFill/>
        <a:ln w="0">
          <a:noFill/>
        </a:ln>
        <a:effectLst/>
      </c:spPr>
    </c:plotArea>
    <c:legend>
      <c:legendPos val="r"/>
      <c:layout>
        <c:manualLayout>
          <c:xMode val="edge"/>
          <c:yMode val="edge"/>
          <c:x val="0.80792779872896903"/>
          <c:y val="0.48813046348509898"/>
          <c:w val="0.192072201271031"/>
          <c:h val="0.30843667970413302"/>
        </c:manualLayout>
      </c:layout>
      <c:overlay val="0"/>
      <c:spPr>
        <a:noFill/>
        <a:ln w="0">
          <a:noFill/>
        </a:ln>
        <a:effectLst/>
      </c:spPr>
      <c:txPr>
        <a:bodyPr wrap="square"/>
        <a:lstStyle/>
        <a:p>
          <a:pPr>
            <a:defRPr lang="en-US" sz="1000" b="0" u="none" spc="-1" baseline="0">
              <a:solidFill>
                <a:srgbClr val="000000"/>
              </a:solidFill>
              <a:latin typeface="Calibri"/>
            </a:defRPr>
          </a:pPr>
          <a:endParaRPr lang="en-US"/>
        </a:p>
      </c:txPr>
    </c:legend>
    <c:plotVisOnly val="1"/>
    <c:dispBlanksAs val="gap"/>
    <c:showDLblsOverMax val="1"/>
  </c:chart>
  <c:spPr>
    <a:solidFill>
      <a:srgbClr val="FFFFFF"/>
    </a:solidFill>
    <a:ln w="9360" cap="flat" cmpd="sng">
      <a:solidFill>
        <a:srgbClr val="D9D9D9"/>
      </a:solidFill>
      <a:round/>
    </a:ln>
    <a:effec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IN" sz="1400" b="0" i="0" u="none" strike="noStrike" kern="1200" spc="0" baseline="0">
                <a:solidFill>
                  <a:schemeClr val="tx1">
                    <a:lumMod val="65000"/>
                    <a:lumOff val="35000"/>
                  </a:schemeClr>
                </a:solidFill>
                <a:latin typeface="+mn-lt"/>
                <a:ea typeface="+mn-ea"/>
                <a:cs typeface="+mn-cs"/>
              </a:defRPr>
            </a:pPr>
            <a:r>
              <a:rPr lang="en-IN"/>
              <a:t>Emissions</a:t>
            </a:r>
          </a:p>
        </c:rich>
      </c:tx>
      <c:overlay val="0"/>
      <c:spPr>
        <a:noFill/>
        <a:ln w="9525">
          <a:noFill/>
        </a:ln>
        <a:effectLst/>
      </c:spPr>
      <c:txPr>
        <a:bodyPr rot="0" spcFirstLastPara="1" vertOverflow="ellipsis" vert="horz" wrap="square" anchor="ctr" anchorCtr="1"/>
        <a:lstStyle/>
        <a:p>
          <a:pPr>
            <a:defRPr lang="en-IN"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'Projection - ScenarioC'!$D$22</c:f>
              <c:strCache>
                <c:ptCount val="1"/>
                <c:pt idx="0">
                  <c:v>Base</c:v>
                </c:pt>
              </c:strCache>
            </c:strRef>
          </c:tx>
          <c:spPr>
            <a:ln w="28575" cap="rnd" cmpd="sng">
              <a:solidFill>
                <a:schemeClr val="accent1"/>
              </a:solidFill>
              <a:round/>
            </a:ln>
            <a:effectLst/>
          </c:spPr>
          <c:marker>
            <c:symbol val="none"/>
          </c:marker>
          <c:cat>
            <c:numRef>
              <c:f>'Projection - ScenarioC'!$C$23:$C$32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'Projection - ScenarioC'!$D$23:$D$32</c:f>
              <c:numCache>
                <c:formatCode>#,##0.00</c:formatCode>
                <c:ptCount val="10"/>
                <c:pt idx="0">
                  <c:v>24630.1</c:v>
                </c:pt>
                <c:pt idx="1">
                  <c:v>26600.508000000002</c:v>
                </c:pt>
                <c:pt idx="2">
                  <c:v>28728.548640000005</c:v>
                </c:pt>
                <c:pt idx="3">
                  <c:v>31026.832531200005</c:v>
                </c:pt>
                <c:pt idx="4">
                  <c:v>33508.979133696012</c:v>
                </c:pt>
                <c:pt idx="5">
                  <c:v>36189.697464391691</c:v>
                </c:pt>
                <c:pt idx="6">
                  <c:v>39084.873261543027</c:v>
                </c:pt>
                <c:pt idx="7">
                  <c:v>42211.663122466474</c:v>
                </c:pt>
                <c:pt idx="8">
                  <c:v>45588.596172263795</c:v>
                </c:pt>
                <c:pt idx="9">
                  <c:v>49235.683866044907</c:v>
                </c:pt>
              </c:numCache>
            </c:numRef>
          </c:val>
          <c:smooth val="0"/>
          <c:extLst>
            <c:ext xmlns:c16="http://schemas.microsoft.com/office/drawing/2014/chart" uri="{C3380CC4-5D6E-409C-BE32-E72D297353CC}">
              <c16:uniqueId val="{00000000-40AC-4F86-8565-5815226761C7}"/>
            </c:ext>
          </c:extLst>
        </c:ser>
        <c:ser>
          <c:idx val="1"/>
          <c:order val="1"/>
          <c:tx>
            <c:strRef>
              <c:f>'Projection - ScenarioC'!$E$22</c:f>
              <c:strCache>
                <c:ptCount val="1"/>
                <c:pt idx="0">
                  <c:v>Scenario C</c:v>
                </c:pt>
              </c:strCache>
            </c:strRef>
          </c:tx>
          <c:spPr>
            <a:ln w="28575" cap="rnd" cmpd="sng">
              <a:solidFill>
                <a:schemeClr val="accent2"/>
              </a:solidFill>
              <a:round/>
            </a:ln>
            <a:effectLst/>
          </c:spPr>
          <c:marker>
            <c:symbol val="none"/>
          </c:marker>
          <c:cat>
            <c:numRef>
              <c:f>'Projection - ScenarioC'!$C$23:$C$32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'Projection - ScenarioC'!$E$23:$E$32</c:f>
              <c:numCache>
                <c:formatCode>#,##0.00</c:formatCode>
                <c:ptCount val="10"/>
                <c:pt idx="0">
                  <c:v>22167.089999999997</c:v>
                </c:pt>
                <c:pt idx="1">
                  <c:v>21280.4064</c:v>
                </c:pt>
                <c:pt idx="2">
                  <c:v>20109.984048000006</c:v>
                </c:pt>
                <c:pt idx="3">
                  <c:v>18616.099518720002</c:v>
                </c:pt>
                <c:pt idx="4">
                  <c:v>16754.489566848006</c:v>
                </c:pt>
                <c:pt idx="5">
                  <c:v>18094.848732195846</c:v>
                </c:pt>
                <c:pt idx="6">
                  <c:v>19542.436630771514</c:v>
                </c:pt>
                <c:pt idx="7">
                  <c:v>21105.831561233237</c:v>
                </c:pt>
                <c:pt idx="8">
                  <c:v>22794.298086131897</c:v>
                </c:pt>
                <c:pt idx="9">
                  <c:v>24617.841933022453</c:v>
                </c:pt>
              </c:numCache>
            </c:numRef>
          </c:val>
          <c:smooth val="0"/>
          <c:extLst>
            <c:ext xmlns:c16="http://schemas.microsoft.com/office/drawing/2014/chart" uri="{C3380CC4-5D6E-409C-BE32-E72D297353CC}">
              <c16:uniqueId val="{00000001-40AC-4F86-8565-5815226761C7}"/>
            </c:ext>
          </c:extLst>
        </c:ser>
        <c:dLbls>
          <c:showLegendKey val="0"/>
          <c:showVal val="0"/>
          <c:showCatName val="0"/>
          <c:showSerName val="0"/>
          <c:showPercent val="0"/>
          <c:showBubbleSize val="0"/>
        </c:dLbls>
        <c:smooth val="0"/>
        <c:axId val="-2117734808"/>
        <c:axId val="-1631775856"/>
      </c:lineChart>
      <c:catAx>
        <c:axId val="-2117734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1631775856"/>
        <c:crosses val="autoZero"/>
        <c:auto val="1"/>
        <c:lblAlgn val="ctr"/>
        <c:lblOffset val="100"/>
        <c:noMultiLvlLbl val="0"/>
      </c:catAx>
      <c:valAx>
        <c:axId val="-16317758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2117734808"/>
        <c:crosses val="autoZero"/>
        <c:crossBetween val="between"/>
      </c:valAx>
      <c:spPr>
        <a:noFill/>
        <a:ln w="9525">
          <a:noFill/>
        </a:ln>
        <a:effectLst/>
      </c:spPr>
    </c:plotArea>
    <c:legend>
      <c:legendPos val="b"/>
      <c:overlay val="0"/>
      <c:spPr>
        <a:noFill/>
        <a:ln w="9525">
          <a:noFill/>
        </a:ln>
        <a:effectLst/>
      </c:spPr>
      <c:txPr>
        <a:bodyPr rot="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IN"/>
              <a:t>NPV Total Carbon Cost by Scenario (INR lacs)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'Scenario Summary'!$B$3</c:f>
              <c:strCache>
                <c:ptCount val="1"/>
                <c:pt idx="0">
                  <c:v>NPV of Energy cost</c:v>
                </c:pt>
              </c:strCache>
            </c:strRef>
          </c:tx>
          <c:spPr>
            <a:gradFill>
              <a:gsLst>
                <a:gs pos="0">
                  <a:schemeClr val="accent1">
                    <a:shade val="51000"/>
                  </a:schemeClr>
                </a:gs>
                <a:gs pos="80000">
                  <a:schemeClr val="accent1">
                    <a:shade val="93000"/>
                  </a:schemeClr>
                </a:gs>
                <a:gs pos="100000">
                  <a:schemeClr val="accent1">
                    <a:shade val="94000"/>
                  </a:schemeClr>
                </a:gs>
              </a:gsLst>
              <a:lin ang="16200000" scaled="0"/>
              <a:tileRect/>
            </a:gradFill>
            <a:ln>
              <a:noFill/>
            </a:ln>
            <a:effectLst/>
          </c:spPr>
          <c:invertIfNegative val="0"/>
          <c:cat>
            <c:strRef>
              <c:f>'Scenario Summary'!$C$2:$F$2</c:f>
              <c:strCache>
                <c:ptCount val="4"/>
                <c:pt idx="0">
                  <c:v>Base</c:v>
                </c:pt>
                <c:pt idx="1">
                  <c:v>Scenario A
(Green Energy)</c:v>
                </c:pt>
                <c:pt idx="2">
                  <c:v>Scenario B
(Carbon Credits)</c:v>
                </c:pt>
                <c:pt idx="3">
                  <c:v>Scenario C
(Nature-Based Offsetting)</c:v>
                </c:pt>
              </c:strCache>
            </c:strRef>
          </c:cat>
          <c:val>
            <c:numRef>
              <c:f>'Scenario Summary'!$C$3:$F$3</c:f>
              <c:numCache>
                <c:formatCode>_(* #,##0_);_(* \(#,##0\);_(* \-??_);_(@_)</c:formatCode>
                <c:ptCount val="4"/>
                <c:pt idx="0">
                  <c:v>36203.300378763794</c:v>
                </c:pt>
                <c:pt idx="1">
                  <c:v>33583.466167043414</c:v>
                </c:pt>
                <c:pt idx="2">
                  <c:v>36203.300378763794</c:v>
                </c:pt>
                <c:pt idx="3">
                  <c:v>36203.300378763794</c:v>
                </c:pt>
              </c:numCache>
            </c:numRef>
          </c:val>
          <c:extLst>
            <c:ext xmlns:c16="http://schemas.microsoft.com/office/drawing/2014/chart" uri="{C3380CC4-5D6E-409C-BE32-E72D297353CC}">
              <c16:uniqueId val="{00000000-FED1-45EA-99CC-47717C6C51F0}"/>
            </c:ext>
          </c:extLst>
        </c:ser>
        <c:ser>
          <c:idx val="1"/>
          <c:order val="1"/>
          <c:tx>
            <c:strRef>
              <c:f>'Scenario Summary'!$B$4</c:f>
              <c:strCache>
                <c:ptCount val="1"/>
                <c:pt idx="0">
                  <c:v>NPV of Total cost</c:v>
                </c:pt>
              </c:strCache>
            </c:strRef>
          </c:tx>
          <c:spPr>
            <a:gradFill>
              <a:gsLst>
                <a:gs pos="0">
                  <a:schemeClr val="accent2">
                    <a:shade val="51000"/>
                  </a:schemeClr>
                </a:gs>
                <a:gs pos="80000">
                  <a:schemeClr val="accent2">
                    <a:shade val="93000"/>
                  </a:schemeClr>
                </a:gs>
                <a:gs pos="100000">
                  <a:schemeClr val="accent2">
                    <a:shade val="94000"/>
                  </a:schemeClr>
                </a:gs>
              </a:gsLst>
              <a:lin ang="16200000" scaled="0"/>
              <a:tileRect/>
            </a:gradFill>
            <a:ln>
              <a:noFill/>
            </a:ln>
            <a:effectLst/>
          </c:spPr>
          <c:invertIfNegative val="0"/>
          <c:cat>
            <c:strRef>
              <c:f>'Scenario Summary'!$C$2:$F$2</c:f>
              <c:strCache>
                <c:ptCount val="4"/>
                <c:pt idx="0">
                  <c:v>Base</c:v>
                </c:pt>
                <c:pt idx="1">
                  <c:v>Scenario A
(Green Energy)</c:v>
                </c:pt>
                <c:pt idx="2">
                  <c:v>Scenario B
(Carbon Credits)</c:v>
                </c:pt>
                <c:pt idx="3">
                  <c:v>Scenario C
(Nature-Based Offsetting)</c:v>
                </c:pt>
              </c:strCache>
            </c:strRef>
          </c:cat>
          <c:val>
            <c:numRef>
              <c:f>'Scenario Summary'!$C$4:$F$4</c:f>
              <c:numCache>
                <c:formatCode>_(* #,##0_);_(* \(#,##0\);_(* \-??_);_(@_)</c:formatCode>
                <c:ptCount val="4"/>
                <c:pt idx="0">
                  <c:v>40290.797222661917</c:v>
                </c:pt>
                <c:pt idx="1">
                  <c:v>37360.382452895705</c:v>
                </c:pt>
                <c:pt idx="2">
                  <c:v>41909.753524167463</c:v>
                </c:pt>
                <c:pt idx="3">
                  <c:v>39992.495942574133</c:v>
                </c:pt>
              </c:numCache>
            </c:numRef>
          </c:val>
          <c:extLst>
            <c:ext xmlns:c16="http://schemas.microsoft.com/office/drawing/2014/chart" uri="{C3380CC4-5D6E-409C-BE32-E72D297353CC}">
              <c16:uniqueId val="{00000001-FED1-45EA-99CC-47717C6C51F0}"/>
            </c:ext>
          </c:extLst>
        </c:ser>
        <c:dLbls>
          <c:showLegendKey val="0"/>
          <c:showVal val="0"/>
          <c:showCatName val="0"/>
          <c:showSerName val="0"/>
          <c:showPercent val="0"/>
          <c:showBubbleSize val="0"/>
        </c:dLbls>
        <c:gapWidth val="269"/>
        <c:axId val="1606463412"/>
        <c:axId val="-1602000899"/>
      </c:barChart>
      <c:lineChart>
        <c:grouping val="standard"/>
        <c:varyColors val="0"/>
        <c:ser>
          <c:idx val="2"/>
          <c:order val="2"/>
          <c:tx>
            <c:strRef>
              <c:f>'Scenario Summary'!$B$5</c:f>
              <c:strCache>
                <c:ptCount val="1"/>
                <c:pt idx="0">
                  <c:v>Total CO2 Released
(tCO2e, 10-yr gross)</c:v>
                </c:pt>
              </c:strCache>
            </c:strRef>
          </c:tx>
          <c:spPr>
            <a:ln w="31750" cap="rnd">
              <a:solidFill>
                <a:schemeClr val="accent3"/>
              </a:solidFill>
              <a:round/>
            </a:ln>
            <a:effectLst/>
          </c:spPr>
          <c:marker>
            <c:symbol val="circle"/>
            <c:size val="6"/>
            <c:spPr>
              <a:gradFill>
                <a:gsLst>
                  <a:gs pos="0">
                    <a:schemeClr val="accent3">
                      <a:shade val="51000"/>
                    </a:schemeClr>
                  </a:gs>
                  <a:gs pos="80000">
                    <a:schemeClr val="accent3">
                      <a:shade val="93000"/>
                    </a:schemeClr>
                  </a:gs>
                  <a:gs pos="100000">
                    <a:schemeClr val="accent3">
                      <a:shade val="94000"/>
                    </a:schemeClr>
                  </a:gs>
                </a:gsLst>
                <a:lin ang="16200000" scaled="0"/>
                <a:tileRect/>
              </a:gradFill>
              <a:ln w="12700">
                <a:solidFill>
                  <a:schemeClr val="lt2"/>
                </a:solidFill>
                <a:round/>
              </a:ln>
              <a:effectLst/>
            </c:spPr>
          </c:marker>
          <c:cat>
            <c:strRef>
              <c:f>'Scenario Summary'!$C$2:$F$2</c:f>
              <c:strCache>
                <c:ptCount val="4"/>
                <c:pt idx="0">
                  <c:v>Base</c:v>
                </c:pt>
                <c:pt idx="1">
                  <c:v>Scenario A
(Green Energy)</c:v>
                </c:pt>
                <c:pt idx="2">
                  <c:v>Scenario B
(Carbon Credits)</c:v>
                </c:pt>
                <c:pt idx="3">
                  <c:v>Scenario C
(Nature-Based Offsetting)</c:v>
                </c:pt>
              </c:strCache>
            </c:strRef>
          </c:cat>
          <c:val>
            <c:numRef>
              <c:f>'Scenario Summary'!$C$5:$F$5</c:f>
              <c:numCache>
                <c:formatCode>_(* #,##0_);_(* \(#,##0\);_(* \-??_);_(@_)</c:formatCode>
                <c:ptCount val="4"/>
                <c:pt idx="0">
                  <c:v>356805.48219160584</c:v>
                </c:pt>
                <c:pt idx="1">
                  <c:v>348583.12726760487</c:v>
                </c:pt>
                <c:pt idx="2">
                  <c:v>356805.48219160596</c:v>
                </c:pt>
                <c:pt idx="3">
                  <c:v>356805.48219160596</c:v>
                </c:pt>
              </c:numCache>
            </c:numRef>
          </c:val>
          <c:smooth val="0"/>
          <c:extLst>
            <c:ext xmlns:c16="http://schemas.microsoft.com/office/drawing/2014/chart" uri="{C3380CC4-5D6E-409C-BE32-E72D297353CC}">
              <c16:uniqueId val="{00000002-FED1-45EA-99CC-47717C6C51F0}"/>
            </c:ext>
          </c:extLst>
        </c:ser>
        <c:dLbls>
          <c:showLegendKey val="0"/>
          <c:showVal val="0"/>
          <c:showCatName val="0"/>
          <c:showSerName val="0"/>
          <c:showPercent val="0"/>
          <c:showBubbleSize val="0"/>
        </c:dLbls>
        <c:marker val="1"/>
        <c:smooth val="0"/>
        <c:axId val="1606463412"/>
        <c:axId val="-1602000899"/>
      </c:lineChart>
      <c:catAx>
        <c:axId val="1606463412"/>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IN"/>
                  <a:t>Scenario</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602000899"/>
        <c:crosses val="autoZero"/>
        <c:auto val="1"/>
        <c:lblAlgn val="ctr"/>
        <c:lblOffset val="100"/>
        <c:noMultiLvlLbl val="0"/>
      </c:catAx>
      <c:valAx>
        <c:axId val="-1602000899"/>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IN"/>
                  <a:t>INR lacs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6064634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IN"/>
              <a:t>NPV Total Carbon Cost by Scenario (INR lacs)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'Scenario Summary'!$B$3</c:f>
              <c:strCache>
                <c:ptCount val="1"/>
                <c:pt idx="0">
                  <c:v>NPV of Energy cost</c:v>
                </c:pt>
              </c:strCache>
            </c:strRef>
          </c:tx>
          <c:spPr>
            <a:gradFill>
              <a:gsLst>
                <a:gs pos="0">
                  <a:schemeClr val="accent1">
                    <a:shade val="51000"/>
                  </a:schemeClr>
                </a:gs>
                <a:gs pos="80000">
                  <a:schemeClr val="accent1">
                    <a:shade val="93000"/>
                  </a:schemeClr>
                </a:gs>
                <a:gs pos="100000">
                  <a:schemeClr val="accent1">
                    <a:shade val="94000"/>
                  </a:schemeClr>
                </a:gs>
              </a:gsLst>
              <a:lin ang="16200000" scaled="0"/>
              <a:tileRect/>
            </a:gradFill>
            <a:ln>
              <a:noFill/>
            </a:ln>
            <a:effectLst/>
          </c:spPr>
          <c:invertIfNegative val="0"/>
          <c:cat>
            <c:strRef>
              <c:f>'Scenario Summary'!$C$2:$F$2</c:f>
              <c:strCache>
                <c:ptCount val="4"/>
                <c:pt idx="0">
                  <c:v>Base</c:v>
                </c:pt>
                <c:pt idx="1">
                  <c:v>Scenario A
(Green Energy)</c:v>
                </c:pt>
                <c:pt idx="2">
                  <c:v>Scenario B
(Carbon Credits)</c:v>
                </c:pt>
                <c:pt idx="3">
                  <c:v>Scenario C
(Nature-Based Offsetting)</c:v>
                </c:pt>
              </c:strCache>
            </c:strRef>
          </c:cat>
          <c:val>
            <c:numRef>
              <c:f>'Scenario Summary'!$C$3:$F$3</c:f>
              <c:numCache>
                <c:formatCode>_(* #,##0_);_(* \(#,##0\);_(* \-??_);_(@_)</c:formatCode>
                <c:ptCount val="4"/>
                <c:pt idx="0">
                  <c:v>36203.300378763794</c:v>
                </c:pt>
                <c:pt idx="1">
                  <c:v>33583.466167043414</c:v>
                </c:pt>
                <c:pt idx="2">
                  <c:v>36203.300378763794</c:v>
                </c:pt>
                <c:pt idx="3">
                  <c:v>36203.300378763794</c:v>
                </c:pt>
              </c:numCache>
            </c:numRef>
          </c:val>
          <c:extLst>
            <c:ext xmlns:c16="http://schemas.microsoft.com/office/drawing/2014/chart" uri="{C3380CC4-5D6E-409C-BE32-E72D297353CC}">
              <c16:uniqueId val="{00000000-C205-4E76-B15B-3AE45BE75731}"/>
            </c:ext>
          </c:extLst>
        </c:ser>
        <c:ser>
          <c:idx val="1"/>
          <c:order val="1"/>
          <c:tx>
            <c:strRef>
              <c:f>'Scenario Summary'!$B$4</c:f>
              <c:strCache>
                <c:ptCount val="1"/>
                <c:pt idx="0">
                  <c:v>NPV of Total cost</c:v>
                </c:pt>
              </c:strCache>
            </c:strRef>
          </c:tx>
          <c:spPr>
            <a:gradFill>
              <a:gsLst>
                <a:gs pos="0">
                  <a:schemeClr val="accent2">
                    <a:shade val="51000"/>
                  </a:schemeClr>
                </a:gs>
                <a:gs pos="80000">
                  <a:schemeClr val="accent2">
                    <a:shade val="93000"/>
                  </a:schemeClr>
                </a:gs>
                <a:gs pos="100000">
                  <a:schemeClr val="accent2">
                    <a:shade val="94000"/>
                  </a:schemeClr>
                </a:gs>
              </a:gsLst>
              <a:lin ang="16200000" scaled="0"/>
              <a:tileRect/>
            </a:gradFill>
            <a:ln>
              <a:noFill/>
            </a:ln>
            <a:effectLst/>
          </c:spPr>
          <c:invertIfNegative val="0"/>
          <c:cat>
            <c:strRef>
              <c:f>'Scenario Summary'!$C$2:$F$2</c:f>
              <c:strCache>
                <c:ptCount val="4"/>
                <c:pt idx="0">
                  <c:v>Base</c:v>
                </c:pt>
                <c:pt idx="1">
                  <c:v>Scenario A
(Green Energy)</c:v>
                </c:pt>
                <c:pt idx="2">
                  <c:v>Scenario B
(Carbon Credits)</c:v>
                </c:pt>
                <c:pt idx="3">
                  <c:v>Scenario C
(Nature-Based Offsetting)</c:v>
                </c:pt>
              </c:strCache>
            </c:strRef>
          </c:cat>
          <c:val>
            <c:numRef>
              <c:f>'Scenario Summary'!$C$4:$F$4</c:f>
              <c:numCache>
                <c:formatCode>_(* #,##0_);_(* \(#,##0\);_(* \-??_);_(@_)</c:formatCode>
                <c:ptCount val="4"/>
                <c:pt idx="0">
                  <c:v>40290.797222661917</c:v>
                </c:pt>
                <c:pt idx="1">
                  <c:v>37360.382452895705</c:v>
                </c:pt>
                <c:pt idx="2">
                  <c:v>41909.753524167463</c:v>
                </c:pt>
                <c:pt idx="3">
                  <c:v>39992.495942574133</c:v>
                </c:pt>
              </c:numCache>
            </c:numRef>
          </c:val>
          <c:extLst>
            <c:ext xmlns:c16="http://schemas.microsoft.com/office/drawing/2014/chart" uri="{C3380CC4-5D6E-409C-BE32-E72D297353CC}">
              <c16:uniqueId val="{00000001-C205-4E76-B15B-3AE45BE75731}"/>
            </c:ext>
          </c:extLst>
        </c:ser>
        <c:dLbls>
          <c:showLegendKey val="0"/>
          <c:showVal val="0"/>
          <c:showCatName val="0"/>
          <c:showSerName val="0"/>
          <c:showPercent val="0"/>
          <c:showBubbleSize val="0"/>
        </c:dLbls>
        <c:gapWidth val="269"/>
        <c:axId val="1606463412"/>
        <c:axId val="-1602000899"/>
      </c:barChart>
      <c:lineChart>
        <c:grouping val="standard"/>
        <c:varyColors val="0"/>
        <c:ser>
          <c:idx val="2"/>
          <c:order val="2"/>
          <c:tx>
            <c:strRef>
              <c:f>'Scenario Summary'!$B$5</c:f>
              <c:strCache>
                <c:ptCount val="1"/>
                <c:pt idx="0">
                  <c:v>Total CO2 Released
(tCO2e, 10-yr gross)</c:v>
                </c:pt>
              </c:strCache>
            </c:strRef>
          </c:tx>
          <c:spPr>
            <a:ln w="31750" cap="rnd">
              <a:solidFill>
                <a:schemeClr val="accent3"/>
              </a:solidFill>
              <a:round/>
            </a:ln>
            <a:effectLst/>
          </c:spPr>
          <c:marker>
            <c:symbol val="circle"/>
            <c:size val="6"/>
            <c:spPr>
              <a:gradFill>
                <a:gsLst>
                  <a:gs pos="0">
                    <a:schemeClr val="accent3">
                      <a:shade val="51000"/>
                    </a:schemeClr>
                  </a:gs>
                  <a:gs pos="80000">
                    <a:schemeClr val="accent3">
                      <a:shade val="93000"/>
                    </a:schemeClr>
                  </a:gs>
                  <a:gs pos="100000">
                    <a:schemeClr val="accent3">
                      <a:shade val="94000"/>
                    </a:schemeClr>
                  </a:gs>
                </a:gsLst>
                <a:lin ang="16200000" scaled="0"/>
                <a:tileRect/>
              </a:gradFill>
              <a:ln w="12700">
                <a:solidFill>
                  <a:schemeClr val="lt2"/>
                </a:solidFill>
                <a:round/>
              </a:ln>
              <a:effectLst/>
            </c:spPr>
          </c:marker>
          <c:cat>
            <c:strRef>
              <c:f>'Scenario Summary'!$C$2:$F$2</c:f>
              <c:strCache>
                <c:ptCount val="4"/>
                <c:pt idx="0">
                  <c:v>Base</c:v>
                </c:pt>
                <c:pt idx="1">
                  <c:v>Scenario A
(Green Energy)</c:v>
                </c:pt>
                <c:pt idx="2">
                  <c:v>Scenario B
(Carbon Credits)</c:v>
                </c:pt>
                <c:pt idx="3">
                  <c:v>Scenario C
(Nature-Based Offsetting)</c:v>
                </c:pt>
              </c:strCache>
            </c:strRef>
          </c:cat>
          <c:val>
            <c:numRef>
              <c:f>'Scenario Summary'!$C$5:$F$5</c:f>
              <c:numCache>
                <c:formatCode>_(* #,##0_);_(* \(#,##0\);_(* \-??_);_(@_)</c:formatCode>
                <c:ptCount val="4"/>
                <c:pt idx="0">
                  <c:v>356805.48219160584</c:v>
                </c:pt>
                <c:pt idx="1">
                  <c:v>348583.12726760487</c:v>
                </c:pt>
                <c:pt idx="2">
                  <c:v>356805.48219160596</c:v>
                </c:pt>
                <c:pt idx="3">
                  <c:v>356805.48219160596</c:v>
                </c:pt>
              </c:numCache>
            </c:numRef>
          </c:val>
          <c:smooth val="0"/>
          <c:extLst>
            <c:ext xmlns:c16="http://schemas.microsoft.com/office/drawing/2014/chart" uri="{C3380CC4-5D6E-409C-BE32-E72D297353CC}">
              <c16:uniqueId val="{00000002-C205-4E76-B15B-3AE45BE75731}"/>
            </c:ext>
          </c:extLst>
        </c:ser>
        <c:dLbls>
          <c:showLegendKey val="0"/>
          <c:showVal val="0"/>
          <c:showCatName val="0"/>
          <c:showSerName val="0"/>
          <c:showPercent val="0"/>
          <c:showBubbleSize val="0"/>
        </c:dLbls>
        <c:marker val="1"/>
        <c:smooth val="0"/>
        <c:axId val="1606463412"/>
        <c:axId val="-1602000899"/>
      </c:lineChart>
      <c:catAx>
        <c:axId val="1606463412"/>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IN"/>
                  <a:t>Scenario</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602000899"/>
        <c:crosses val="autoZero"/>
        <c:auto val="1"/>
        <c:lblAlgn val="ctr"/>
        <c:lblOffset val="100"/>
        <c:noMultiLvlLbl val="0"/>
      </c:catAx>
      <c:valAx>
        <c:axId val="-1602000899"/>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IN"/>
                  <a:t>INR lacs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6064634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wrap="square"/>
          <a:lstStyle/>
          <a:p>
            <a:pPr>
              <a:defRPr lang="en-IN" sz="1400" b="1" u="none" spc="-1" baseline="0">
                <a:solidFill>
                  <a:srgbClr val="000000"/>
                </a:solidFill>
                <a:latin typeface="Calibri"/>
                <a:ea typeface="Calibri"/>
              </a:defRPr>
            </a:pPr>
            <a:r>
              <a:rPr lang="en-IN"/>
              <a:t>Scenario A vs Base: Total Carbon Cost (INR lacs)</a:t>
            </a:r>
          </a:p>
        </c:rich>
      </c:tx>
      <c:overlay val="0"/>
      <c:spPr>
        <a:noFill/>
        <a:ln w="0">
          <a:noFill/>
        </a:ln>
        <a:effectLst/>
      </c:spPr>
    </c:title>
    <c:autoTitleDeleted val="0"/>
    <c:plotArea>
      <c:layout/>
      <c:barChart>
        <c:barDir val="col"/>
        <c:grouping val="clustered"/>
        <c:varyColors val="0"/>
        <c:ser>
          <c:idx val="0"/>
          <c:order val="0"/>
          <c:tx>
            <c:strRef>
              <c:f>'Projection - ScenarioA'!$C$20</c:f>
              <c:strCache>
                <c:ptCount val="1"/>
                <c:pt idx="0">
                  <c:v>Year</c:v>
                </c:pt>
              </c:strCache>
            </c:strRef>
          </c:tx>
          <c:spPr>
            <a:solidFill>
              <a:srgbClr val="4F81BD"/>
            </a:solidFill>
            <a:ln w="0">
              <a:noFill/>
            </a:ln>
            <a:effectLst/>
          </c:spPr>
          <c:invertIfNegative val="0"/>
          <c:val>
            <c:numRef>
              <c:f>'Projection - ScenarioA'!$C$21:$C$30</c:f>
              <c:numCache>
                <c:formatCode>General</c:formatCode>
                <c:ptCount val="10"/>
                <c:pt idx="0">
                  <c:v>1</c:v>
                </c:pt>
                <c:pt idx="1">
                  <c:v>2</c:v>
                </c:pt>
                <c:pt idx="2">
                  <c:v>3</c:v>
                </c:pt>
                <c:pt idx="3">
                  <c:v>4</c:v>
                </c:pt>
                <c:pt idx="4">
                  <c:v>5</c:v>
                </c:pt>
                <c:pt idx="5">
                  <c:v>6</c:v>
                </c:pt>
                <c:pt idx="6">
                  <c:v>7</c:v>
                </c:pt>
                <c:pt idx="7">
                  <c:v>8</c:v>
                </c:pt>
                <c:pt idx="8">
                  <c:v>9</c:v>
                </c:pt>
                <c:pt idx="9">
                  <c:v>10</c:v>
                </c:pt>
              </c:numCache>
            </c:numRef>
          </c:val>
          <c:extLst>
            <c:ext xmlns:c16="http://schemas.microsoft.com/office/drawing/2014/chart" uri="{C3380CC4-5D6E-409C-BE32-E72D297353CC}">
              <c16:uniqueId val="{00000000-4D97-4150-BD5B-9D92152F34B1}"/>
            </c:ext>
          </c:extLst>
        </c:ser>
        <c:ser>
          <c:idx val="1"/>
          <c:order val="1"/>
          <c:tx>
            <c:strRef>
              <c:f>'Projection - ScenarioA'!$D$20</c:f>
              <c:strCache>
                <c:ptCount val="1"/>
                <c:pt idx="0">
                  <c:v>Base</c:v>
                </c:pt>
              </c:strCache>
            </c:strRef>
          </c:tx>
          <c:spPr>
            <a:solidFill>
              <a:srgbClr val="C0504D"/>
            </a:solidFill>
            <a:ln w="0">
              <a:noFill/>
            </a:ln>
            <a:effectLst/>
          </c:spPr>
          <c:invertIfNegative val="0"/>
          <c:val>
            <c:numRef>
              <c:f>'Projection - ScenarioA'!$D$21:$D$30</c:f>
              <c:numCache>
                <c:formatCode>#,##0.00</c:formatCode>
                <c:ptCount val="10"/>
                <c:pt idx="0">
                  <c:v>3979.0166500000005</c:v>
                </c:pt>
                <c:pt idx="1">
                  <c:v>4429.797012</c:v>
                </c:pt>
                <c:pt idx="2">
                  <c:v>4932.3308677560017</c:v>
                </c:pt>
                <c:pt idx="3">
                  <c:v>5492.6210613738676</c:v>
                </c:pt>
                <c:pt idx="4">
                  <c:v>6117.3721998648143</c:v>
                </c:pt>
                <c:pt idx="5">
                  <c:v>6814.0731957139815</c:v>
                </c:pt>
                <c:pt idx="6">
                  <c:v>7591.0895653054195</c:v>
                </c:pt>
                <c:pt idx="7">
                  <c:v>8457.7666407893921</c:v>
                </c:pt>
                <c:pt idx="8">
                  <c:v>9424.5449907795228</c:v>
                </c:pt>
                <c:pt idx="9">
                  <c:v>10503.089499518745</c:v>
                </c:pt>
              </c:numCache>
            </c:numRef>
          </c:val>
          <c:extLst>
            <c:ext xmlns:c16="http://schemas.microsoft.com/office/drawing/2014/chart" uri="{C3380CC4-5D6E-409C-BE32-E72D297353CC}">
              <c16:uniqueId val="{00000001-4D97-4150-BD5B-9D92152F34B1}"/>
            </c:ext>
          </c:extLst>
        </c:ser>
        <c:ser>
          <c:idx val="2"/>
          <c:order val="2"/>
          <c:tx>
            <c:strRef>
              <c:f>'Projection - ScenarioA'!$E$20</c:f>
              <c:strCache>
                <c:ptCount val="1"/>
                <c:pt idx="0">
                  <c:v>Scenario A</c:v>
                </c:pt>
              </c:strCache>
            </c:strRef>
          </c:tx>
          <c:spPr>
            <a:solidFill>
              <a:srgbClr val="9BBB59"/>
            </a:solidFill>
            <a:ln w="0">
              <a:noFill/>
            </a:ln>
            <a:effectLst/>
          </c:spPr>
          <c:invertIfNegative val="0"/>
          <c:val>
            <c:numRef>
              <c:f>'Projection - ScenarioA'!$E$21:$E$30</c:f>
              <c:numCache>
                <c:formatCode>#,##0.00</c:formatCode>
                <c:ptCount val="10"/>
                <c:pt idx="0">
                  <c:v>3951.9592750000002</c:v>
                </c:pt>
                <c:pt idx="1">
                  <c:v>4400.5750470000003</c:v>
                </c:pt>
                <c:pt idx="2">
                  <c:v>4710.3767727192017</c:v>
                </c:pt>
                <c:pt idx="3">
                  <c:v>5244.6554964743718</c:v>
                </c:pt>
                <c:pt idx="4">
                  <c:v>5840.2972139872036</c:v>
                </c:pt>
                <c:pt idx="5">
                  <c:v>6082.9892695270046</c:v>
                </c:pt>
                <c:pt idx="6">
                  <c:v>6763.2490802030425</c:v>
                </c:pt>
                <c:pt idx="7">
                  <c:v>7520.7142271765015</c:v>
                </c:pt>
                <c:pt idx="8">
                  <c:v>8364.2479806039591</c:v>
                </c:pt>
                <c:pt idx="9">
                  <c:v>9303.740179347531</c:v>
                </c:pt>
              </c:numCache>
            </c:numRef>
          </c:val>
          <c:extLst>
            <c:ext xmlns:c16="http://schemas.microsoft.com/office/drawing/2014/chart" uri="{C3380CC4-5D6E-409C-BE32-E72D297353CC}">
              <c16:uniqueId val="{00000002-4D97-4150-BD5B-9D92152F34B1}"/>
            </c:ext>
          </c:extLst>
        </c:ser>
        <c:dLbls>
          <c:showLegendKey val="0"/>
          <c:showVal val="0"/>
          <c:showCatName val="0"/>
          <c:showSerName val="0"/>
          <c:showPercent val="0"/>
          <c:showBubbleSize val="0"/>
        </c:dLbls>
        <c:gapWidth val="219"/>
        <c:overlap val="-27"/>
        <c:axId val="-1543144067"/>
        <c:axId val="-1503883259"/>
      </c:barChart>
      <c:catAx>
        <c:axId val="-1543144067"/>
        <c:scaling>
          <c:orientation val="minMax"/>
        </c:scaling>
        <c:delete val="0"/>
        <c:axPos val="b"/>
        <c:numFmt formatCode="General" sourceLinked="0"/>
        <c:majorTickMark val="none"/>
        <c:minorTickMark val="none"/>
        <c:tickLblPos val="nextTo"/>
        <c:spPr>
          <a:ln w="9360" cap="flat" cmpd="sng">
            <a:solidFill>
              <a:srgbClr val="D9D9D9"/>
            </a:solidFill>
            <a:round/>
          </a:ln>
          <a:effectLst/>
        </c:spPr>
        <c:txPr>
          <a:bodyPr wrap="square"/>
          <a:lstStyle/>
          <a:p>
            <a:pPr>
              <a:defRPr lang="en-US" sz="900" b="0" u="none" spc="-1" baseline="0">
                <a:solidFill>
                  <a:srgbClr val="595959"/>
                </a:solidFill>
                <a:latin typeface="Calibri"/>
              </a:defRPr>
            </a:pPr>
            <a:endParaRPr lang="en-US"/>
          </a:p>
        </c:txPr>
        <c:crossAx val="-1503883259"/>
        <c:crosses val="autoZero"/>
        <c:auto val="1"/>
        <c:lblAlgn val="ctr"/>
        <c:lblOffset val="100"/>
        <c:noMultiLvlLbl val="0"/>
      </c:catAx>
      <c:valAx>
        <c:axId val="-1503883259"/>
        <c:scaling>
          <c:orientation val="minMax"/>
        </c:scaling>
        <c:delete val="0"/>
        <c:axPos val="l"/>
        <c:majorGridlines>
          <c:spPr>
            <a:ln w="9360" cap="flat" cmpd="sng">
              <a:solidFill>
                <a:srgbClr val="D9D9D9"/>
              </a:solidFill>
              <a:round/>
            </a:ln>
            <a:effectLst/>
          </c:spPr>
        </c:majorGridlines>
        <c:numFmt formatCode="General" sourceLinked="0"/>
        <c:majorTickMark val="none"/>
        <c:minorTickMark val="none"/>
        <c:tickLblPos val="nextTo"/>
        <c:spPr>
          <a:ln w="9360">
            <a:noFill/>
          </a:ln>
          <a:effectLst/>
        </c:spPr>
        <c:txPr>
          <a:bodyPr wrap="square"/>
          <a:lstStyle/>
          <a:p>
            <a:pPr>
              <a:defRPr lang="en-US" sz="900" b="0" u="none" spc="-1" baseline="0">
                <a:solidFill>
                  <a:srgbClr val="595959"/>
                </a:solidFill>
                <a:latin typeface="Calibri"/>
              </a:defRPr>
            </a:pPr>
            <a:endParaRPr lang="en-US"/>
          </a:p>
        </c:txPr>
        <c:crossAx val="-1543144067"/>
        <c:crosses val="autoZero"/>
        <c:crossBetween val="between"/>
      </c:valAx>
      <c:spPr>
        <a:noFill/>
        <a:ln w="0">
          <a:noFill/>
        </a:ln>
        <a:effectLst/>
      </c:spPr>
    </c:plotArea>
    <c:legend>
      <c:legendPos val="b"/>
      <c:overlay val="0"/>
      <c:spPr>
        <a:noFill/>
        <a:ln w="0">
          <a:noFill/>
        </a:ln>
        <a:effectLst/>
      </c:spPr>
      <c:txPr>
        <a:bodyPr wrap="square"/>
        <a:lstStyle/>
        <a:p>
          <a:pPr>
            <a:defRPr lang="en-US" sz="900" b="0" u="none" spc="-1" baseline="0">
              <a:solidFill>
                <a:srgbClr val="595959"/>
              </a:solidFill>
              <a:latin typeface="Calibri"/>
            </a:defRPr>
          </a:pPr>
          <a:endParaRPr lang="en-US"/>
        </a:p>
      </c:txPr>
    </c:legend>
    <c:plotVisOnly val="1"/>
    <c:dispBlanksAs val="gap"/>
    <c:showDLblsOverMax val="1"/>
  </c:chart>
  <c:spPr>
    <a:solidFill>
      <a:srgbClr val="FFFFFF"/>
    </a:solidFill>
    <a:ln w="9360" cap="flat" cmpd="sng">
      <a:solidFill>
        <a:srgbClr val="D9D9D9"/>
      </a:solidFill>
      <a:round/>
    </a:ln>
    <a:effectLst/>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wrap="square"/>
          <a:lstStyle/>
          <a:p>
            <a:pPr>
              <a:defRPr lang="en-IN" sz="1800" b="1" u="none" spc="-1" baseline="0">
                <a:solidFill>
                  <a:srgbClr val="000000"/>
                </a:solidFill>
                <a:latin typeface="Calibri"/>
                <a:ea typeface="Calibri"/>
              </a:defRPr>
            </a:pPr>
            <a:r>
              <a:rPr lang="en-IN"/>
              <a:t>Scenario B: India Carbon Tax vs Carbon Credit Cost by Year (INR lacs)</a:t>
            </a:r>
          </a:p>
        </c:rich>
      </c:tx>
      <c:overlay val="0"/>
      <c:spPr>
        <a:noFill/>
        <a:ln w="0">
          <a:noFill/>
        </a:ln>
        <a:effectLst/>
      </c:spPr>
    </c:title>
    <c:autoTitleDeleted val="0"/>
    <c:plotArea>
      <c:layout>
        <c:manualLayout>
          <c:layoutTarget val="inner"/>
          <c:xMode val="edge"/>
          <c:yMode val="edge"/>
          <c:x val="0.12939420738447899"/>
          <c:y val="0.205987488829312"/>
          <c:w val="0.60861154101260195"/>
          <c:h val="0.64512957998212705"/>
        </c:manualLayout>
      </c:layout>
      <c:barChart>
        <c:barDir val="col"/>
        <c:grouping val="clustered"/>
        <c:varyColors val="0"/>
        <c:ser>
          <c:idx val="0"/>
          <c:order val="0"/>
          <c:tx>
            <c:strRef>
              <c:f>'Projection - ScenarioB'!$AT$3</c:f>
              <c:strCache>
                <c:ptCount val="1"/>
                <c:pt idx="0">
                  <c:v>Annual carbon credit purchase cost</c:v>
                </c:pt>
              </c:strCache>
            </c:strRef>
          </c:tx>
          <c:spPr>
            <a:solidFill>
              <a:srgbClr val="C0504D"/>
            </a:solidFill>
            <a:ln w="0" cap="flat" cmpd="sng">
              <a:solidFill>
                <a:srgbClr val="000000"/>
              </a:solidFill>
            </a:ln>
            <a:effectLst/>
          </c:spPr>
          <c:invertIfNegative val="0"/>
          <c:cat>
            <c:strRef>
              <c:f>'Projection - ScenarioB'!$B$3:$B$13</c:f>
              <c:strCache>
                <c:ptCount val="11"/>
                <c:pt idx="0">
                  <c:v>Year</c:v>
                </c:pt>
                <c:pt idx="1">
                  <c:v>1</c:v>
                </c:pt>
                <c:pt idx="2">
                  <c:v>2</c:v>
                </c:pt>
                <c:pt idx="3">
                  <c:v>3</c:v>
                </c:pt>
                <c:pt idx="4">
                  <c:v>4</c:v>
                </c:pt>
                <c:pt idx="5">
                  <c:v>5</c:v>
                </c:pt>
                <c:pt idx="6">
                  <c:v>6</c:v>
                </c:pt>
                <c:pt idx="7">
                  <c:v>7</c:v>
                </c:pt>
                <c:pt idx="8">
                  <c:v>8</c:v>
                </c:pt>
                <c:pt idx="9">
                  <c:v>9</c:v>
                </c:pt>
                <c:pt idx="10">
                  <c:v>10</c:v>
                </c:pt>
              </c:strCache>
            </c:strRef>
          </c:cat>
          <c:val>
            <c:numRef>
              <c:f>'Projection - ScenarioB'!$AT$3:$AT$13</c:f>
              <c:numCache>
                <c:formatCode>#,##0.00</c:formatCode>
                <c:ptCount val="11"/>
                <c:pt idx="0" formatCode="General">
                  <c:v>0</c:v>
                </c:pt>
                <c:pt idx="1">
                  <c:v>197.04079999999999</c:v>
                </c:pt>
                <c:pt idx="2">
                  <c:v>212.80406400000001</c:v>
                </c:pt>
                <c:pt idx="3">
                  <c:v>229.82838912000005</c:v>
                </c:pt>
                <c:pt idx="4">
                  <c:v>248.21466024960006</c:v>
                </c:pt>
                <c:pt idx="5">
                  <c:v>268.07183306956807</c:v>
                </c:pt>
                <c:pt idx="6">
                  <c:v>398.08667210830856</c:v>
                </c:pt>
                <c:pt idx="7">
                  <c:v>429.93360587697327</c:v>
                </c:pt>
                <c:pt idx="8">
                  <c:v>464.32829434713119</c:v>
                </c:pt>
                <c:pt idx="9">
                  <c:v>501.47455789490169</c:v>
                </c:pt>
                <c:pt idx="10">
                  <c:v>541.59252252649389</c:v>
                </c:pt>
              </c:numCache>
            </c:numRef>
          </c:val>
          <c:extLst>
            <c:ext xmlns:c16="http://schemas.microsoft.com/office/drawing/2014/chart" uri="{C3380CC4-5D6E-409C-BE32-E72D297353CC}">
              <c16:uniqueId val="{00000000-DCF4-4EBD-BCFE-95D354A4379E}"/>
            </c:ext>
          </c:extLst>
        </c:ser>
        <c:ser>
          <c:idx val="1"/>
          <c:order val="1"/>
          <c:tx>
            <c:strRef>
              <c:f>'Projection - ScenarioB'!$AP$3</c:f>
              <c:strCache>
                <c:ptCount val="1"/>
                <c:pt idx="0">
                  <c:v>India
Tax</c:v>
                </c:pt>
              </c:strCache>
            </c:strRef>
          </c:tx>
          <c:spPr>
            <a:solidFill>
              <a:srgbClr val="9BBB59"/>
            </a:solidFill>
            <a:ln w="0">
              <a:noFill/>
            </a:ln>
            <a:effectLst/>
          </c:spPr>
          <c:invertIfNegative val="0"/>
          <c:cat>
            <c:strRef>
              <c:f>'Projection - ScenarioB'!$B$3:$B$13</c:f>
              <c:strCache>
                <c:ptCount val="11"/>
                <c:pt idx="0">
                  <c:v>Year</c:v>
                </c:pt>
                <c:pt idx="1">
                  <c:v>1</c:v>
                </c:pt>
                <c:pt idx="2">
                  <c:v>2</c:v>
                </c:pt>
                <c:pt idx="3">
                  <c:v>3</c:v>
                </c:pt>
                <c:pt idx="4">
                  <c:v>4</c:v>
                </c:pt>
                <c:pt idx="5">
                  <c:v>5</c:v>
                </c:pt>
                <c:pt idx="6">
                  <c:v>6</c:v>
                </c:pt>
                <c:pt idx="7">
                  <c:v>7</c:v>
                </c:pt>
                <c:pt idx="8">
                  <c:v>8</c:v>
                </c:pt>
                <c:pt idx="9">
                  <c:v>9</c:v>
                </c:pt>
                <c:pt idx="10">
                  <c:v>10</c:v>
                </c:pt>
              </c:strCache>
            </c:strRef>
          </c:cat>
          <c:val>
            <c:numRef>
              <c:f>'Projection - ScenarioB'!$AP$3:$AP$13</c:f>
              <c:numCache>
                <c:formatCode>#,##0.00</c:formatCode>
                <c:ptCount val="11"/>
                <c:pt idx="0" formatCode="General">
                  <c:v>0</c:v>
                </c:pt>
                <c:pt idx="1">
                  <c:v>49.260199999999998</c:v>
                </c:pt>
                <c:pt idx="2">
                  <c:v>53.201016000000003</c:v>
                </c:pt>
                <c:pt idx="3">
                  <c:v>57.457097280000013</c:v>
                </c:pt>
                <c:pt idx="4">
                  <c:v>62.053665062400007</c:v>
                </c:pt>
                <c:pt idx="5">
                  <c:v>67.017958267392018</c:v>
                </c:pt>
                <c:pt idx="6">
                  <c:v>72.379394928783384</c:v>
                </c:pt>
                <c:pt idx="7">
                  <c:v>78.169746523086062</c:v>
                </c:pt>
                <c:pt idx="8">
                  <c:v>84.423326244932952</c:v>
                </c:pt>
                <c:pt idx="9">
                  <c:v>91.177192344527597</c:v>
                </c:pt>
                <c:pt idx="10">
                  <c:v>98.471367732089817</c:v>
                </c:pt>
              </c:numCache>
            </c:numRef>
          </c:val>
          <c:extLst>
            <c:ext xmlns:c16="http://schemas.microsoft.com/office/drawing/2014/chart" uri="{C3380CC4-5D6E-409C-BE32-E72D297353CC}">
              <c16:uniqueId val="{00000001-DCF4-4EBD-BCFE-95D354A4379E}"/>
            </c:ext>
          </c:extLst>
        </c:ser>
        <c:dLbls>
          <c:showLegendKey val="0"/>
          <c:showVal val="0"/>
          <c:showCatName val="0"/>
          <c:showSerName val="0"/>
          <c:showPercent val="0"/>
          <c:showBubbleSize val="0"/>
        </c:dLbls>
        <c:gapWidth val="150"/>
        <c:axId val="1545326259"/>
        <c:axId val="631485684"/>
      </c:barChart>
      <c:catAx>
        <c:axId val="1545326259"/>
        <c:scaling>
          <c:orientation val="minMax"/>
        </c:scaling>
        <c:delete val="0"/>
        <c:axPos val="b"/>
        <c:title>
          <c:tx>
            <c:rich>
              <a:bodyPr rot="0" vert="horz" wrap="square"/>
              <a:lstStyle/>
              <a:p>
                <a:pPr>
                  <a:defRPr lang="en-IN" sz="1000" b="1" u="none" spc="-1" baseline="0">
                    <a:solidFill>
                      <a:srgbClr val="000000"/>
                    </a:solidFill>
                    <a:latin typeface="Calibri"/>
                    <a:ea typeface="Calibri"/>
                  </a:defRPr>
                </a:pPr>
                <a:r>
                  <a:rPr lang="en-IN"/>
                  <a:t>Year</a:t>
                </a:r>
              </a:p>
            </c:rich>
          </c:tx>
          <c:overlay val="0"/>
          <c:spPr>
            <a:noFill/>
            <a:ln w="0">
              <a:noFill/>
            </a:ln>
            <a:effectLst/>
          </c:spPr>
        </c:title>
        <c:numFmt formatCode="General" sourceLinked="0"/>
        <c:majorTickMark val="none"/>
        <c:minorTickMark val="none"/>
        <c:tickLblPos val="nextTo"/>
        <c:spPr>
          <a:ln w="0" cap="flat" cmpd="sng">
            <a:solidFill>
              <a:srgbClr val="B3B3B3"/>
            </a:solidFill>
          </a:ln>
          <a:effectLst/>
        </c:spPr>
        <c:txPr>
          <a:bodyPr wrap="square"/>
          <a:lstStyle/>
          <a:p>
            <a:pPr>
              <a:defRPr lang="en-US" sz="1000" b="0" u="none" spc="-1" baseline="0">
                <a:solidFill>
                  <a:srgbClr val="000000"/>
                </a:solidFill>
                <a:latin typeface="Calibri"/>
              </a:defRPr>
            </a:pPr>
            <a:endParaRPr lang="en-US"/>
          </a:p>
        </c:txPr>
        <c:crossAx val="631485684"/>
        <c:crosses val="autoZero"/>
        <c:auto val="1"/>
        <c:lblAlgn val="ctr"/>
        <c:lblOffset val="100"/>
        <c:noMultiLvlLbl val="0"/>
      </c:catAx>
      <c:valAx>
        <c:axId val="631485684"/>
        <c:scaling>
          <c:orientation val="minMax"/>
        </c:scaling>
        <c:delete val="0"/>
        <c:axPos val="l"/>
        <c:majorGridlines>
          <c:spPr>
            <a:ln w="0" cap="flat" cmpd="sng">
              <a:solidFill>
                <a:srgbClr val="B3B3B3"/>
              </a:solidFill>
            </a:ln>
            <a:effectLst/>
          </c:spPr>
        </c:majorGridlines>
        <c:title>
          <c:tx>
            <c:rich>
              <a:bodyPr rot="-5400000" vert="horz" wrap="square"/>
              <a:lstStyle/>
              <a:p>
                <a:pPr>
                  <a:defRPr lang="en-IN" sz="1000" b="1" u="none" spc="-1" baseline="0">
                    <a:solidFill>
                      <a:srgbClr val="000000"/>
                    </a:solidFill>
                    <a:latin typeface="Calibri"/>
                    <a:ea typeface="Calibri"/>
                  </a:defRPr>
                </a:pPr>
                <a:r>
                  <a:rPr lang="en-IN"/>
                  <a:t>INR lacs</a:t>
                </a:r>
              </a:p>
            </c:rich>
          </c:tx>
          <c:overlay val="0"/>
          <c:spPr>
            <a:noFill/>
            <a:ln w="0">
              <a:noFill/>
            </a:ln>
            <a:effectLst/>
          </c:spPr>
        </c:title>
        <c:numFmt formatCode="General" sourceLinked="0"/>
        <c:majorTickMark val="none"/>
        <c:minorTickMark val="none"/>
        <c:tickLblPos val="nextTo"/>
        <c:spPr>
          <a:ln w="0" cap="flat" cmpd="sng">
            <a:solidFill>
              <a:srgbClr val="B3B3B3"/>
            </a:solidFill>
          </a:ln>
          <a:effectLst/>
        </c:spPr>
        <c:txPr>
          <a:bodyPr wrap="square"/>
          <a:lstStyle/>
          <a:p>
            <a:pPr>
              <a:defRPr lang="en-US" sz="1000" b="0" u="none" spc="-1" baseline="0">
                <a:solidFill>
                  <a:srgbClr val="000000"/>
                </a:solidFill>
                <a:latin typeface="Calibri"/>
              </a:defRPr>
            </a:pPr>
            <a:endParaRPr lang="en-US"/>
          </a:p>
        </c:txPr>
        <c:crossAx val="1545326259"/>
        <c:crosses val="autoZero"/>
        <c:crossBetween val="between"/>
      </c:valAx>
      <c:spPr>
        <a:noFill/>
        <a:ln w="0">
          <a:noFill/>
        </a:ln>
        <a:effectLst/>
      </c:spPr>
    </c:plotArea>
    <c:legend>
      <c:legendPos val="r"/>
      <c:layout>
        <c:manualLayout>
          <c:xMode val="edge"/>
          <c:yMode val="edge"/>
          <c:x val="0.80792779872896903"/>
          <c:y val="0.48813046348509898"/>
          <c:w val="0.192072201271031"/>
          <c:h val="0.30843667970413302"/>
        </c:manualLayout>
      </c:layout>
      <c:overlay val="0"/>
      <c:spPr>
        <a:noFill/>
        <a:ln w="0">
          <a:noFill/>
        </a:ln>
        <a:effectLst/>
      </c:spPr>
      <c:txPr>
        <a:bodyPr wrap="square"/>
        <a:lstStyle/>
        <a:p>
          <a:pPr>
            <a:defRPr lang="en-US" sz="1000" b="0" u="none" spc="-1" baseline="0">
              <a:solidFill>
                <a:srgbClr val="000000"/>
              </a:solidFill>
              <a:latin typeface="Calibri"/>
            </a:defRPr>
          </a:pPr>
          <a:endParaRPr lang="en-US"/>
        </a:p>
      </c:txPr>
    </c:legend>
    <c:plotVisOnly val="1"/>
    <c:dispBlanksAs val="gap"/>
    <c:showDLblsOverMax val="1"/>
  </c:chart>
  <c:spPr>
    <a:solidFill>
      <a:srgbClr val="FFFFFF"/>
    </a:solidFill>
    <a:ln w="9360" cap="flat" cmpd="sng">
      <a:solidFill>
        <a:srgbClr val="D9D9D9"/>
      </a:solidFill>
      <a:round/>
    </a:ln>
    <a:effectLst/>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IN" sz="1400" b="0" i="0" u="none" strike="noStrike" kern="1200" spc="0" baseline="0">
                <a:solidFill>
                  <a:schemeClr val="tx1">
                    <a:lumMod val="65000"/>
                    <a:lumOff val="35000"/>
                  </a:schemeClr>
                </a:solidFill>
                <a:latin typeface="+mn-lt"/>
                <a:ea typeface="+mn-ea"/>
                <a:cs typeface="+mn-cs"/>
              </a:defRPr>
            </a:pPr>
            <a:r>
              <a:rPr lang="en-IN"/>
              <a:t>Emissions</a:t>
            </a:r>
          </a:p>
        </c:rich>
      </c:tx>
      <c:overlay val="0"/>
      <c:spPr>
        <a:noFill/>
        <a:ln w="9525">
          <a:noFill/>
        </a:ln>
        <a:effectLst/>
      </c:spPr>
      <c:txPr>
        <a:bodyPr rot="0" spcFirstLastPara="1" vertOverflow="ellipsis" vert="horz" wrap="square" anchor="ctr" anchorCtr="1"/>
        <a:lstStyle/>
        <a:p>
          <a:pPr>
            <a:defRPr lang="en-IN"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'Projection - ScenarioC'!$D$22</c:f>
              <c:strCache>
                <c:ptCount val="1"/>
                <c:pt idx="0">
                  <c:v>Base</c:v>
                </c:pt>
              </c:strCache>
            </c:strRef>
          </c:tx>
          <c:spPr>
            <a:ln w="28575" cap="rnd" cmpd="sng">
              <a:solidFill>
                <a:schemeClr val="accent1"/>
              </a:solidFill>
              <a:round/>
            </a:ln>
            <a:effectLst/>
          </c:spPr>
          <c:marker>
            <c:symbol val="none"/>
          </c:marker>
          <c:cat>
            <c:numRef>
              <c:f>'Projection - ScenarioC'!$C$23:$C$32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'Projection - ScenarioC'!$D$23:$D$32</c:f>
              <c:numCache>
                <c:formatCode>#,##0.00</c:formatCode>
                <c:ptCount val="10"/>
                <c:pt idx="0">
                  <c:v>24630.1</c:v>
                </c:pt>
                <c:pt idx="1">
                  <c:v>26600.508000000002</c:v>
                </c:pt>
                <c:pt idx="2">
                  <c:v>28728.548640000005</c:v>
                </c:pt>
                <c:pt idx="3">
                  <c:v>31026.832531200005</c:v>
                </c:pt>
                <c:pt idx="4">
                  <c:v>33508.979133696012</c:v>
                </c:pt>
                <c:pt idx="5">
                  <c:v>36189.697464391691</c:v>
                </c:pt>
                <c:pt idx="6">
                  <c:v>39084.873261543027</c:v>
                </c:pt>
                <c:pt idx="7">
                  <c:v>42211.663122466474</c:v>
                </c:pt>
                <c:pt idx="8">
                  <c:v>45588.596172263795</c:v>
                </c:pt>
                <c:pt idx="9">
                  <c:v>49235.683866044907</c:v>
                </c:pt>
              </c:numCache>
            </c:numRef>
          </c:val>
          <c:smooth val="0"/>
          <c:extLst>
            <c:ext xmlns:c16="http://schemas.microsoft.com/office/drawing/2014/chart" uri="{C3380CC4-5D6E-409C-BE32-E72D297353CC}">
              <c16:uniqueId val="{00000000-CEA9-4ECE-AB09-B6FB8E482187}"/>
            </c:ext>
          </c:extLst>
        </c:ser>
        <c:ser>
          <c:idx val="1"/>
          <c:order val="1"/>
          <c:tx>
            <c:strRef>
              <c:f>'Projection - ScenarioC'!$E$22</c:f>
              <c:strCache>
                <c:ptCount val="1"/>
                <c:pt idx="0">
                  <c:v>Scenario C</c:v>
                </c:pt>
              </c:strCache>
            </c:strRef>
          </c:tx>
          <c:spPr>
            <a:ln w="28575" cap="rnd" cmpd="sng">
              <a:solidFill>
                <a:schemeClr val="accent2"/>
              </a:solidFill>
              <a:round/>
            </a:ln>
            <a:effectLst/>
          </c:spPr>
          <c:marker>
            <c:symbol val="none"/>
          </c:marker>
          <c:cat>
            <c:numRef>
              <c:f>'Projection - ScenarioC'!$C$23:$C$32</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'Projection - ScenarioC'!$E$23:$E$32</c:f>
              <c:numCache>
                <c:formatCode>#,##0.00</c:formatCode>
                <c:ptCount val="10"/>
                <c:pt idx="0">
                  <c:v>22167.089999999997</c:v>
                </c:pt>
                <c:pt idx="1">
                  <c:v>21280.4064</c:v>
                </c:pt>
                <c:pt idx="2">
                  <c:v>20109.984048000006</c:v>
                </c:pt>
                <c:pt idx="3">
                  <c:v>18616.099518720002</c:v>
                </c:pt>
                <c:pt idx="4">
                  <c:v>16754.489566848006</c:v>
                </c:pt>
                <c:pt idx="5">
                  <c:v>18094.848732195846</c:v>
                </c:pt>
                <c:pt idx="6">
                  <c:v>19542.436630771514</c:v>
                </c:pt>
                <c:pt idx="7">
                  <c:v>21105.831561233237</c:v>
                </c:pt>
                <c:pt idx="8">
                  <c:v>22794.298086131897</c:v>
                </c:pt>
                <c:pt idx="9">
                  <c:v>24617.841933022453</c:v>
                </c:pt>
              </c:numCache>
            </c:numRef>
          </c:val>
          <c:smooth val="0"/>
          <c:extLst>
            <c:ext xmlns:c16="http://schemas.microsoft.com/office/drawing/2014/chart" uri="{C3380CC4-5D6E-409C-BE32-E72D297353CC}">
              <c16:uniqueId val="{00000001-CEA9-4ECE-AB09-B6FB8E482187}"/>
            </c:ext>
          </c:extLst>
        </c:ser>
        <c:dLbls>
          <c:showLegendKey val="0"/>
          <c:showVal val="0"/>
          <c:showCatName val="0"/>
          <c:showSerName val="0"/>
          <c:showPercent val="0"/>
          <c:showBubbleSize val="0"/>
        </c:dLbls>
        <c:smooth val="0"/>
        <c:axId val="-2117734808"/>
        <c:axId val="-1631775856"/>
      </c:lineChart>
      <c:catAx>
        <c:axId val="-2117734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1631775856"/>
        <c:crosses val="autoZero"/>
        <c:auto val="1"/>
        <c:lblAlgn val="ctr"/>
        <c:lblOffset val="100"/>
        <c:noMultiLvlLbl val="0"/>
      </c:catAx>
      <c:valAx>
        <c:axId val="-16317758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2117734808"/>
        <c:crosses val="autoZero"/>
        <c:crossBetween val="between"/>
      </c:valAx>
      <c:spPr>
        <a:noFill/>
        <a:ln w="9525">
          <a:noFill/>
        </a:ln>
        <a:effectLst/>
      </c:spPr>
    </c:plotArea>
    <c:legend>
      <c:legendPos val="b"/>
      <c:overlay val="0"/>
      <c:spPr>
        <a:noFill/>
        <a:ln w="9525">
          <a:noFill/>
        </a:ln>
        <a:effectLst/>
      </c:spPr>
      <c:txPr>
        <a:bodyPr rot="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13</xdr:col>
      <xdr:colOff>372240</xdr:colOff>
      <xdr:row>36</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10</xdr:col>
      <xdr:colOff>95400</xdr:colOff>
      <xdr:row>40</xdr:row>
      <xdr:rowOff>56160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127000</xdr:colOff>
      <xdr:row>16</xdr:row>
      <xdr:rowOff>48079</xdr:rowOff>
    </xdr:from>
    <xdr:to>
      <xdr:col>13</xdr:col>
      <xdr:colOff>807358</xdr:colOff>
      <xdr:row>31</xdr:row>
      <xdr:rowOff>78921</xdr:rowOff>
    </xdr:to>
    <xdr:graphicFrame macro="">
      <xdr:nvGraphicFramePr>
        <xdr:cNvPr id="2" name="Chart 1">
          <a:extLst>
            <a:ext uri="{FF2B5EF4-FFF2-40B4-BE49-F238E27FC236}">
              <a16:creationId xmlns:a16="http://schemas.microsoft.com/office/drawing/2014/main" id="{C67C7032-8BD0-8800-0508-CDD90CB6C6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507960</xdr:colOff>
      <xdr:row>9</xdr:row>
      <xdr:rowOff>147600</xdr:rowOff>
    </xdr:from>
    <xdr:to>
      <xdr:col>7</xdr:col>
      <xdr:colOff>2784240</xdr:colOff>
      <xdr:row>31</xdr:row>
      <xdr:rowOff>169201</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233948</xdr:colOff>
      <xdr:row>83</xdr:row>
      <xdr:rowOff>50132</xdr:rowOff>
    </xdr:from>
    <xdr:to>
      <xdr:col>2</xdr:col>
      <xdr:colOff>8129672</xdr:colOff>
      <xdr:row>89</xdr:row>
      <xdr:rowOff>442829</xdr:rowOff>
    </xdr:to>
    <xdr:graphicFrame macro="">
      <xdr:nvGraphicFramePr>
        <xdr:cNvPr id="2" name="Chart 1">
          <a:extLst>
            <a:ext uri="{FF2B5EF4-FFF2-40B4-BE49-F238E27FC236}">
              <a16:creationId xmlns:a16="http://schemas.microsoft.com/office/drawing/2014/main" id="{C6857B88-71DB-4C8C-B102-F8BD295FFF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83553</xdr:colOff>
      <xdr:row>71</xdr:row>
      <xdr:rowOff>58485</xdr:rowOff>
    </xdr:from>
    <xdr:to>
      <xdr:col>2</xdr:col>
      <xdr:colOff>7419474</xdr:colOff>
      <xdr:row>71</xdr:row>
      <xdr:rowOff>3317038</xdr:rowOff>
    </xdr:to>
    <xdr:graphicFrame macro="">
      <xdr:nvGraphicFramePr>
        <xdr:cNvPr id="5" name="Chart 4">
          <a:extLst>
            <a:ext uri="{FF2B5EF4-FFF2-40B4-BE49-F238E27FC236}">
              <a16:creationId xmlns:a16="http://schemas.microsoft.com/office/drawing/2014/main" id="{EAC80AEE-213D-4392-A9E2-F9E71F9C5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0</xdr:colOff>
      <xdr:row>74</xdr:row>
      <xdr:rowOff>217238</xdr:rowOff>
    </xdr:from>
    <xdr:to>
      <xdr:col>2</xdr:col>
      <xdr:colOff>6436329</xdr:colOff>
      <xdr:row>74</xdr:row>
      <xdr:rowOff>4255755</xdr:rowOff>
    </xdr:to>
    <xdr:graphicFrame macro="">
      <xdr:nvGraphicFramePr>
        <xdr:cNvPr id="6" name="Chart 5">
          <a:extLst>
            <a:ext uri="{FF2B5EF4-FFF2-40B4-BE49-F238E27FC236}">
              <a16:creationId xmlns:a16="http://schemas.microsoft.com/office/drawing/2014/main" id="{8B7AB9A2-9E75-49F0-A975-995E4A5EF6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309145</xdr:colOff>
      <xdr:row>77</xdr:row>
      <xdr:rowOff>217237</xdr:rowOff>
    </xdr:from>
    <xdr:to>
      <xdr:col>2</xdr:col>
      <xdr:colOff>4890217</xdr:colOff>
      <xdr:row>77</xdr:row>
      <xdr:rowOff>2960437</xdr:rowOff>
    </xdr:to>
    <xdr:graphicFrame macro="">
      <xdr:nvGraphicFramePr>
        <xdr:cNvPr id="7" name="Chart 6">
          <a:extLst>
            <a:ext uri="{FF2B5EF4-FFF2-40B4-BE49-F238E27FC236}">
              <a16:creationId xmlns:a16="http://schemas.microsoft.com/office/drawing/2014/main" id="{54C6C980-CA75-42F4-9BBB-B66871D82A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1"/>
  <sheetViews>
    <sheetView showGridLines="0" tabSelected="1" zoomScale="70" zoomScaleNormal="70" workbookViewId="0">
      <pane xSplit="2" ySplit="3" topLeftCell="C4" activePane="bottomRight" state="frozen"/>
      <selection pane="topRight" activeCell="C1" sqref="C1"/>
      <selection pane="bottomLeft" activeCell="A4" sqref="A4"/>
      <selection pane="bottomRight" activeCell="C4" sqref="C4"/>
    </sheetView>
  </sheetViews>
  <sheetFormatPr defaultColWidth="8.54296875" defaultRowHeight="14.5" x14ac:dyDescent="0.35"/>
  <cols>
    <col min="1" max="1" width="3" style="7" customWidth="1"/>
    <col min="2" max="2" width="49.26953125" style="7" customWidth="1"/>
    <col min="3" max="3" width="18" style="7" customWidth="1"/>
    <col min="4" max="4" width="12" style="7" customWidth="1"/>
    <col min="5" max="16384" width="8.54296875" style="7"/>
  </cols>
  <sheetData>
    <row r="1" spans="2:4" ht="15" customHeight="1" x14ac:dyDescent="0.35">
      <c r="B1" s="8" t="s">
        <v>0</v>
      </c>
    </row>
    <row r="2" spans="2:4" ht="15" customHeight="1" x14ac:dyDescent="0.35"/>
    <row r="3" spans="2:4" ht="15" customHeight="1" x14ac:dyDescent="0.35">
      <c r="B3" s="9" t="s">
        <v>1</v>
      </c>
    </row>
    <row r="4" spans="2:4" ht="15" customHeight="1" x14ac:dyDescent="0.35">
      <c r="B4" s="10" t="s">
        <v>2</v>
      </c>
      <c r="C4" s="11">
        <v>120000</v>
      </c>
      <c r="D4" s="10" t="s">
        <v>3</v>
      </c>
    </row>
    <row r="5" spans="2:4" ht="15" customHeight="1" x14ac:dyDescent="0.35">
      <c r="B5" s="10" t="s">
        <v>4</v>
      </c>
      <c r="C5" s="11">
        <v>75000</v>
      </c>
      <c r="D5" s="10" t="s">
        <v>3</v>
      </c>
    </row>
    <row r="6" spans="2:4" ht="15" customHeight="1" x14ac:dyDescent="0.35">
      <c r="B6" s="10" t="s">
        <v>5</v>
      </c>
      <c r="C6" s="11">
        <v>40000</v>
      </c>
      <c r="D6" s="10" t="s">
        <v>3</v>
      </c>
    </row>
    <row r="7" spans="2:4" ht="15" customHeight="1" x14ac:dyDescent="0.35">
      <c r="B7" s="10" t="s">
        <v>6</v>
      </c>
      <c r="C7" s="12">
        <v>0.08</v>
      </c>
      <c r="D7" s="10" t="s">
        <v>7</v>
      </c>
    </row>
    <row r="8" spans="2:4" ht="15" customHeight="1" x14ac:dyDescent="0.35">
      <c r="B8" s="10" t="s">
        <v>8</v>
      </c>
      <c r="C8" s="12">
        <v>0.35</v>
      </c>
      <c r="D8" s="10"/>
    </row>
    <row r="9" spans="2:4" ht="15" customHeight="1" x14ac:dyDescent="0.35">
      <c r="B9" s="10" t="s">
        <v>9</v>
      </c>
      <c r="C9" s="12">
        <v>0.5</v>
      </c>
      <c r="D9" s="10"/>
    </row>
    <row r="10" spans="2:4" ht="15" customHeight="1" x14ac:dyDescent="0.35">
      <c r="B10" s="10" t="s">
        <v>10</v>
      </c>
      <c r="C10" s="12">
        <v>0.2</v>
      </c>
      <c r="D10" s="10"/>
    </row>
    <row r="11" spans="2:4" ht="15" customHeight="1" x14ac:dyDescent="0.35"/>
    <row r="12" spans="2:4" ht="15" customHeight="1" x14ac:dyDescent="0.35">
      <c r="B12" s="9" t="s">
        <v>11</v>
      </c>
    </row>
    <row r="13" spans="2:4" ht="15" customHeight="1" x14ac:dyDescent="0.35">
      <c r="B13" s="10" t="s">
        <v>12</v>
      </c>
      <c r="C13" s="13">
        <v>8.5</v>
      </c>
      <c r="D13" s="10" t="s">
        <v>13</v>
      </c>
    </row>
    <row r="14" spans="2:4" ht="15" customHeight="1" x14ac:dyDescent="0.35">
      <c r="B14" s="10" t="s">
        <v>14</v>
      </c>
      <c r="C14" s="13">
        <v>6</v>
      </c>
      <c r="D14" s="10" t="s">
        <v>13</v>
      </c>
    </row>
    <row r="15" spans="2:4" ht="15" customHeight="1" x14ac:dyDescent="0.35">
      <c r="B15" s="10" t="s">
        <v>15</v>
      </c>
      <c r="C15" s="13">
        <v>10</v>
      </c>
      <c r="D15" s="10" t="s">
        <v>13</v>
      </c>
    </row>
    <row r="16" spans="2:4" ht="15" customHeight="1" x14ac:dyDescent="0.35">
      <c r="B16" s="10" t="s">
        <v>16</v>
      </c>
      <c r="C16" s="13">
        <v>120</v>
      </c>
      <c r="D16" s="10" t="s">
        <v>17</v>
      </c>
    </row>
    <row r="17" spans="2:4" ht="15" customHeight="1" x14ac:dyDescent="0.35">
      <c r="B17" s="10" t="s">
        <v>18</v>
      </c>
      <c r="C17" s="13">
        <v>95</v>
      </c>
      <c r="D17" s="10" t="s">
        <v>17</v>
      </c>
    </row>
    <row r="18" spans="2:4" ht="15" customHeight="1" x14ac:dyDescent="0.35">
      <c r="B18" s="10" t="s">
        <v>19</v>
      </c>
      <c r="C18" s="13">
        <v>60</v>
      </c>
      <c r="D18" s="10" t="s">
        <v>17</v>
      </c>
    </row>
    <row r="19" spans="2:4" ht="15" customHeight="1" x14ac:dyDescent="0.35">
      <c r="B19" s="10" t="s">
        <v>20</v>
      </c>
      <c r="C19" s="13">
        <v>92</v>
      </c>
      <c r="D19" s="10" t="s">
        <v>21</v>
      </c>
    </row>
    <row r="20" spans="2:4" ht="15" customHeight="1" x14ac:dyDescent="0.35">
      <c r="B20" s="10" t="s">
        <v>22</v>
      </c>
      <c r="C20" s="12">
        <v>0.04</v>
      </c>
      <c r="D20" s="10" t="s">
        <v>7</v>
      </c>
    </row>
    <row r="21" spans="2:4" ht="15" customHeight="1" x14ac:dyDescent="0.35">
      <c r="B21" s="10" t="s">
        <v>23</v>
      </c>
      <c r="C21" s="13">
        <v>7.5</v>
      </c>
      <c r="D21" s="10" t="s">
        <v>24</v>
      </c>
    </row>
    <row r="22" spans="2:4" ht="15" customHeight="1" x14ac:dyDescent="0.35">
      <c r="B22" s="10" t="s">
        <v>25</v>
      </c>
      <c r="C22" s="12">
        <v>0.03</v>
      </c>
      <c r="D22" s="10" t="s">
        <v>7</v>
      </c>
    </row>
    <row r="23" spans="2:4" ht="15" customHeight="1" x14ac:dyDescent="0.35"/>
    <row r="24" spans="2:4" ht="15" customHeight="1" x14ac:dyDescent="0.35">
      <c r="B24" s="9" t="s">
        <v>26</v>
      </c>
    </row>
    <row r="25" spans="2:4" ht="15" customHeight="1" x14ac:dyDescent="0.35">
      <c r="B25" s="10" t="s">
        <v>27</v>
      </c>
      <c r="C25" s="14">
        <v>2.68</v>
      </c>
      <c r="D25" s="10" t="s">
        <v>28</v>
      </c>
    </row>
    <row r="26" spans="2:4" ht="15" customHeight="1" x14ac:dyDescent="0.35">
      <c r="B26" s="10" t="s">
        <v>29</v>
      </c>
      <c r="C26" s="14">
        <v>0.82</v>
      </c>
      <c r="D26" s="10" t="s">
        <v>30</v>
      </c>
    </row>
    <row r="27" spans="2:4" ht="15" customHeight="1" x14ac:dyDescent="0.35"/>
    <row r="28" spans="2:4" ht="15" customHeight="1" x14ac:dyDescent="0.35">
      <c r="B28" s="9" t="s">
        <v>31</v>
      </c>
    </row>
    <row r="29" spans="2:4" ht="15" customHeight="1" x14ac:dyDescent="0.35">
      <c r="B29" s="10" t="s">
        <v>32</v>
      </c>
      <c r="C29" s="11">
        <v>200</v>
      </c>
      <c r="D29" s="10" t="s">
        <v>33</v>
      </c>
    </row>
    <row r="30" spans="2:4" ht="15" customHeight="1" x14ac:dyDescent="0.35">
      <c r="B30" s="10" t="s">
        <v>34</v>
      </c>
      <c r="C30" s="11">
        <v>50</v>
      </c>
      <c r="D30" s="10" t="s">
        <v>35</v>
      </c>
    </row>
    <row r="31" spans="2:4" ht="15" customHeight="1" x14ac:dyDescent="0.35">
      <c r="B31" s="10" t="s">
        <v>36</v>
      </c>
      <c r="C31" s="11">
        <v>90</v>
      </c>
      <c r="D31" s="10" t="s">
        <v>37</v>
      </c>
    </row>
    <row r="32" spans="2:4" ht="15" customHeight="1" x14ac:dyDescent="0.35">
      <c r="B32" s="10" t="s">
        <v>38</v>
      </c>
      <c r="C32" s="12">
        <v>0.09</v>
      </c>
      <c r="D32" s="10" t="s">
        <v>7</v>
      </c>
    </row>
    <row r="33" spans="2:3" ht="15" customHeight="1" x14ac:dyDescent="0.35"/>
    <row r="34" spans="2:3" ht="15" customHeight="1" x14ac:dyDescent="0.35">
      <c r="B34" s="9" t="s">
        <v>39</v>
      </c>
    </row>
    <row r="35" spans="2:3" ht="15" customHeight="1" x14ac:dyDescent="0.35">
      <c r="B35" s="10" t="s">
        <v>40</v>
      </c>
      <c r="C35" s="15" t="b">
        <f>AND(C25&gt;0,C26&gt;0)</f>
        <v>1</v>
      </c>
    </row>
    <row r="36" spans="2:3" ht="15" customHeight="1" x14ac:dyDescent="0.35"/>
    <row r="37" spans="2:3" ht="15" customHeight="1" x14ac:dyDescent="0.35">
      <c r="B37" s="4" t="s">
        <v>41</v>
      </c>
    </row>
    <row r="38" spans="2:3" ht="15" customHeight="1" x14ac:dyDescent="0.35">
      <c r="B38" s="16" t="s">
        <v>42</v>
      </c>
    </row>
    <row r="39" spans="2:3" ht="15" customHeight="1" x14ac:dyDescent="0.35">
      <c r="B39" s="17" t="s">
        <v>43</v>
      </c>
    </row>
    <row r="40" spans="2:3" ht="15" customHeight="1" x14ac:dyDescent="0.35">
      <c r="B40" s="18" t="s">
        <v>44</v>
      </c>
    </row>
    <row r="41" spans="2:3" ht="15" customHeight="1" x14ac:dyDescent="0.35"/>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37"/>
  <sheetViews>
    <sheetView showGridLines="0" zoomScale="70" zoomScaleNormal="70" workbookViewId="0"/>
  </sheetViews>
  <sheetFormatPr defaultColWidth="8.6328125" defaultRowHeight="14.5" x14ac:dyDescent="0.35"/>
  <cols>
    <col min="2" max="2" width="49.453125" customWidth="1"/>
    <col min="3" max="3" width="25.54296875" customWidth="1"/>
    <col min="4" max="4" width="74" customWidth="1"/>
    <col min="5" max="5" width="19.453125" customWidth="1"/>
  </cols>
  <sheetData>
    <row r="1" spans="2:4" ht="15" customHeight="1" x14ac:dyDescent="0.35">
      <c r="B1" s="8" t="s">
        <v>45</v>
      </c>
    </row>
    <row r="3" spans="2:4" ht="14.25" customHeight="1" x14ac:dyDescent="0.35">
      <c r="B3" s="19" t="s">
        <v>46</v>
      </c>
    </row>
    <row r="4" spans="2:4" ht="14.25" customHeight="1" x14ac:dyDescent="0.35">
      <c r="B4" s="15" t="s">
        <v>47</v>
      </c>
    </row>
    <row r="5" spans="2:4" ht="14.25" customHeight="1" x14ac:dyDescent="0.35">
      <c r="B5" s="20" t="s">
        <v>48</v>
      </c>
      <c r="C5" s="20" t="s">
        <v>49</v>
      </c>
    </row>
    <row r="6" spans="2:4" ht="14.25" customHeight="1" x14ac:dyDescent="0.35">
      <c r="B6" s="10" t="s">
        <v>50</v>
      </c>
      <c r="C6" s="12">
        <v>0.3</v>
      </c>
      <c r="D6" s="21" t="s">
        <v>51</v>
      </c>
    </row>
    <row r="7" spans="2:4" ht="14.25" customHeight="1" x14ac:dyDescent="0.35">
      <c r="B7" s="10" t="s">
        <v>52</v>
      </c>
      <c r="C7" s="12">
        <v>0.2</v>
      </c>
      <c r="D7" s="21" t="s">
        <v>53</v>
      </c>
    </row>
    <row r="8" spans="2:4" ht="14.25" customHeight="1" x14ac:dyDescent="0.35">
      <c r="B8" s="10" t="s">
        <v>54</v>
      </c>
      <c r="C8" s="13">
        <v>2.74</v>
      </c>
      <c r="D8" s="21" t="s">
        <v>55</v>
      </c>
    </row>
    <row r="9" spans="2:4" ht="14.25" customHeight="1" x14ac:dyDescent="0.35">
      <c r="B9" s="10" t="s">
        <v>56</v>
      </c>
      <c r="C9" s="13">
        <v>65</v>
      </c>
      <c r="D9" s="21" t="s">
        <v>57</v>
      </c>
    </row>
    <row r="10" spans="2:4" ht="14.25" customHeight="1" x14ac:dyDescent="0.35">
      <c r="B10" s="10" t="s">
        <v>58</v>
      </c>
      <c r="C10" s="13">
        <v>40</v>
      </c>
      <c r="D10" s="21" t="s">
        <v>59</v>
      </c>
    </row>
    <row r="11" spans="2:4" ht="24" customHeight="1" x14ac:dyDescent="0.35">
      <c r="B11" s="10" t="s">
        <v>60</v>
      </c>
      <c r="C11" s="12">
        <v>0.35</v>
      </c>
      <c r="D11" s="21" t="s">
        <v>61</v>
      </c>
    </row>
    <row r="12" spans="2:4" ht="14.25" customHeight="1" x14ac:dyDescent="0.35">
      <c r="B12" s="10"/>
      <c r="C12" s="10"/>
      <c r="D12" s="21"/>
    </row>
    <row r="13" spans="2:4" ht="14.25" customHeight="1" x14ac:dyDescent="0.35">
      <c r="B13" s="19" t="s">
        <v>62</v>
      </c>
    </row>
    <row r="14" spans="2:4" ht="14.25" customHeight="1" x14ac:dyDescent="0.35">
      <c r="B14" s="15" t="s">
        <v>63</v>
      </c>
    </row>
    <row r="15" spans="2:4" ht="25.5" customHeight="1" x14ac:dyDescent="0.35">
      <c r="B15" s="20" t="s">
        <v>64</v>
      </c>
      <c r="C15" s="20" t="s">
        <v>65</v>
      </c>
    </row>
    <row r="16" spans="2:4" ht="14.25" customHeight="1" x14ac:dyDescent="0.35">
      <c r="B16" s="15" t="s">
        <v>66</v>
      </c>
      <c r="C16" s="11">
        <v>800</v>
      </c>
    </row>
    <row r="17" spans="2:4" ht="14.25" customHeight="1" x14ac:dyDescent="0.35">
      <c r="B17" s="15" t="s">
        <v>67</v>
      </c>
      <c r="C17" s="11">
        <v>1100</v>
      </c>
    </row>
    <row r="19" spans="2:4" ht="14.25" customHeight="1" x14ac:dyDescent="0.35">
      <c r="B19" s="19" t="s">
        <v>68</v>
      </c>
    </row>
    <row r="20" spans="2:4" ht="14.25" customHeight="1" x14ac:dyDescent="0.35">
      <c r="B20" s="22" t="s">
        <v>69</v>
      </c>
    </row>
    <row r="21" spans="2:4" ht="14.25" customHeight="1" x14ac:dyDescent="0.35">
      <c r="B21" s="23" t="s">
        <v>48</v>
      </c>
      <c r="C21" s="23" t="s">
        <v>49</v>
      </c>
      <c r="D21" s="23" t="s">
        <v>70</v>
      </c>
    </row>
    <row r="22" spans="2:4" ht="14.25" customHeight="1" x14ac:dyDescent="0.35">
      <c r="B22" s="24" t="s">
        <v>71</v>
      </c>
      <c r="C22" s="25">
        <v>0.5</v>
      </c>
      <c r="D22" s="26" t="s">
        <v>72</v>
      </c>
    </row>
    <row r="23" spans="2:4" ht="14.25" customHeight="1" x14ac:dyDescent="0.35">
      <c r="B23" s="24" t="s">
        <v>73</v>
      </c>
      <c r="C23" s="27">
        <v>400</v>
      </c>
      <c r="D23" s="26" t="s">
        <v>74</v>
      </c>
    </row>
    <row r="24" spans="2:4" ht="14.25" customHeight="1" x14ac:dyDescent="0.35">
      <c r="B24" s="24" t="s">
        <v>75</v>
      </c>
      <c r="C24" s="27">
        <v>80</v>
      </c>
      <c r="D24" s="26" t="s">
        <v>76</v>
      </c>
    </row>
    <row r="25" spans="2:4" ht="14.25" customHeight="1" x14ac:dyDescent="0.35">
      <c r="B25" s="15"/>
      <c r="C25" s="11"/>
      <c r="D25" s="11"/>
    </row>
    <row r="26" spans="2:4" ht="14.25" customHeight="1" x14ac:dyDescent="0.35">
      <c r="B26" s="28" t="s">
        <v>77</v>
      </c>
      <c r="C26" s="11"/>
      <c r="D26" s="11"/>
    </row>
    <row r="27" spans="2:4" ht="14.25" customHeight="1" x14ac:dyDescent="0.35">
      <c r="B27" s="23" t="s">
        <v>78</v>
      </c>
      <c r="C27" s="29" t="s">
        <v>79</v>
      </c>
      <c r="D27" s="30" t="s">
        <v>80</v>
      </c>
    </row>
    <row r="28" spans="2:4" ht="14.25" customHeight="1" x14ac:dyDescent="0.35">
      <c r="B28" s="31">
        <v>1</v>
      </c>
      <c r="C28" s="32">
        <v>0.2</v>
      </c>
      <c r="D28" s="32">
        <v>0.1</v>
      </c>
    </row>
    <row r="29" spans="2:4" ht="14.25" customHeight="1" x14ac:dyDescent="0.35">
      <c r="B29" s="31">
        <v>2</v>
      </c>
      <c r="C29" s="32">
        <v>0.4</v>
      </c>
      <c r="D29" s="32">
        <v>0.2</v>
      </c>
    </row>
    <row r="30" spans="2:4" ht="14.25" customHeight="1" x14ac:dyDescent="0.35">
      <c r="B30" s="31">
        <v>3</v>
      </c>
      <c r="C30" s="32">
        <v>0.6</v>
      </c>
      <c r="D30" s="32">
        <v>0.3</v>
      </c>
    </row>
    <row r="31" spans="2:4" ht="14.25" customHeight="1" x14ac:dyDescent="0.35">
      <c r="B31" s="31">
        <v>4</v>
      </c>
      <c r="C31" s="32">
        <v>0.8</v>
      </c>
      <c r="D31" s="32">
        <v>0.4</v>
      </c>
    </row>
    <row r="32" spans="2:4" ht="14.25" customHeight="1" x14ac:dyDescent="0.35">
      <c r="B32" s="33">
        <v>5</v>
      </c>
      <c r="C32" s="34">
        <v>1</v>
      </c>
      <c r="D32" s="34">
        <v>0.5</v>
      </c>
    </row>
    <row r="33" spans="2:4" ht="14.25" customHeight="1" x14ac:dyDescent="0.35">
      <c r="B33" s="33">
        <v>6</v>
      </c>
      <c r="C33" s="34">
        <v>1</v>
      </c>
      <c r="D33" s="34">
        <v>0.5</v>
      </c>
    </row>
    <row r="34" spans="2:4" ht="14.25" customHeight="1" x14ac:dyDescent="0.35">
      <c r="B34" s="33">
        <v>7</v>
      </c>
      <c r="C34" s="34">
        <v>1</v>
      </c>
      <c r="D34" s="34">
        <v>0.5</v>
      </c>
    </row>
    <row r="35" spans="2:4" ht="14.25" customHeight="1" x14ac:dyDescent="0.35">
      <c r="B35" s="33">
        <v>8</v>
      </c>
      <c r="C35" s="34">
        <v>1</v>
      </c>
      <c r="D35" s="34">
        <v>0.5</v>
      </c>
    </row>
    <row r="36" spans="2:4" ht="14.25" customHeight="1" x14ac:dyDescent="0.35">
      <c r="B36" s="33">
        <v>9</v>
      </c>
      <c r="C36" s="34">
        <v>1</v>
      </c>
      <c r="D36" s="34">
        <v>0.5</v>
      </c>
    </row>
    <row r="37" spans="2:4" ht="14.25" customHeight="1" x14ac:dyDescent="0.35">
      <c r="B37" s="33">
        <v>10</v>
      </c>
      <c r="C37" s="34">
        <v>1</v>
      </c>
      <c r="D37" s="34">
        <v>0.5</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R40"/>
  <sheetViews>
    <sheetView showGridLines="0" zoomScale="70" zoomScaleNormal="70" workbookViewId="0">
      <pane xSplit="2" ySplit="3" topLeftCell="C4" activePane="bottomRight" state="frozen"/>
      <selection pane="topRight" activeCell="C1" sqref="C1"/>
      <selection pane="bottomLeft" activeCell="A4" sqref="A4"/>
      <selection pane="bottomRight" activeCell="C4" sqref="C4"/>
    </sheetView>
  </sheetViews>
  <sheetFormatPr defaultColWidth="8.54296875" defaultRowHeight="14.5" x14ac:dyDescent="0.35"/>
  <cols>
    <col min="1" max="1" width="2.54296875" style="35" customWidth="1"/>
    <col min="2" max="6" width="12.54296875" style="35" customWidth="1"/>
    <col min="7" max="7" width="2.54296875" style="35" customWidth="1"/>
    <col min="8" max="11" width="12.54296875" style="35" customWidth="1"/>
    <col min="12" max="12" width="2.54296875" style="35" customWidth="1"/>
    <col min="13" max="15" width="15.453125" style="35" customWidth="1"/>
    <col min="16" max="16" width="12.54296875" style="35" customWidth="1"/>
    <col min="17" max="17" width="2.54296875" style="35" customWidth="1"/>
    <col min="18" max="19" width="12.54296875" style="35" customWidth="1"/>
    <col min="20" max="20" width="2.54296875" style="35" customWidth="1"/>
    <col min="21" max="21" width="13.54296875" style="35" customWidth="1"/>
    <col min="22" max="22" width="11.81640625" style="35" customWidth="1"/>
    <col min="23" max="23" width="12.7265625" style="35" customWidth="1"/>
    <col min="24" max="24" width="15" style="35" customWidth="1"/>
    <col min="25" max="25" width="2.54296875" style="35" customWidth="1"/>
    <col min="26" max="26" width="13.54296875" style="35" customWidth="1"/>
    <col min="27" max="27" width="11.81640625" style="35" customWidth="1"/>
    <col min="28" max="28" width="12.7265625" style="35" customWidth="1"/>
    <col min="29" max="29" width="13.81640625" style="35" customWidth="1"/>
    <col min="30" max="30" width="2.54296875" style="35" customWidth="1"/>
    <col min="31" max="31" width="13.81640625" style="35" customWidth="1"/>
    <col min="32" max="32" width="2.54296875" style="35" customWidth="1"/>
    <col min="33" max="35" width="12.54296875" style="35" customWidth="1"/>
    <col min="36" max="36" width="2.54296875" style="35" customWidth="1"/>
    <col min="37" max="37" width="12.54296875" style="35" customWidth="1"/>
    <col min="38" max="38" width="2.54296875" style="35" customWidth="1"/>
    <col min="39" max="39" width="12.54296875" style="35" customWidth="1"/>
    <col min="40" max="40" width="2.54296875" style="35" customWidth="1"/>
    <col min="41" max="44" width="12.54296875" style="35" customWidth="1"/>
    <col min="45" max="16384" width="8.54296875" style="35"/>
  </cols>
  <sheetData>
    <row r="2" spans="2:44" ht="24.75" customHeight="1" x14ac:dyDescent="0.35">
      <c r="C2" s="110" t="s">
        <v>81</v>
      </c>
      <c r="D2" s="110"/>
      <c r="E2" s="110"/>
      <c r="F2" s="110"/>
      <c r="H2" s="110" t="s">
        <v>82</v>
      </c>
      <c r="I2" s="110"/>
      <c r="J2" s="110"/>
      <c r="K2" s="110"/>
      <c r="M2" s="110" t="s">
        <v>83</v>
      </c>
      <c r="N2" s="110"/>
      <c r="O2" s="110"/>
      <c r="P2" s="110"/>
      <c r="R2" s="110" t="s">
        <v>84</v>
      </c>
      <c r="S2" s="110"/>
      <c r="U2" s="110" t="s">
        <v>85</v>
      </c>
      <c r="V2" s="110"/>
      <c r="W2" s="110"/>
      <c r="X2" s="110"/>
      <c r="Z2" s="110" t="s">
        <v>86</v>
      </c>
      <c r="AA2" s="110"/>
      <c r="AB2" s="110"/>
      <c r="AC2" s="110"/>
      <c r="AE2" s="110" t="s">
        <v>87</v>
      </c>
      <c r="AG2" s="110" t="s">
        <v>88</v>
      </c>
      <c r="AH2" s="110"/>
      <c r="AI2" s="110"/>
      <c r="AK2" s="6"/>
      <c r="AM2" s="6"/>
      <c r="AO2" s="110" t="s">
        <v>89</v>
      </c>
      <c r="AP2" s="110"/>
      <c r="AQ2" s="110"/>
      <c r="AR2" s="110"/>
    </row>
    <row r="3" spans="2:44" ht="51.75" customHeight="1" x14ac:dyDescent="0.35">
      <c r="B3" s="6" t="s">
        <v>78</v>
      </c>
      <c r="C3" s="6" t="s">
        <v>90</v>
      </c>
      <c r="D3" s="6" t="s">
        <v>91</v>
      </c>
      <c r="E3" s="6" t="s">
        <v>92</v>
      </c>
      <c r="F3" s="6" t="s">
        <v>93</v>
      </c>
      <c r="H3" s="6" t="s">
        <v>94</v>
      </c>
      <c r="I3" s="6" t="s">
        <v>95</v>
      </c>
      <c r="J3" s="6" t="s">
        <v>96</v>
      </c>
      <c r="K3" s="6" t="s">
        <v>93</v>
      </c>
      <c r="M3" s="6" t="s">
        <v>97</v>
      </c>
      <c r="N3" s="6" t="s">
        <v>98</v>
      </c>
      <c r="O3" s="6" t="s">
        <v>99</v>
      </c>
      <c r="P3" s="6" t="s">
        <v>100</v>
      </c>
      <c r="R3" s="6" t="s">
        <v>101</v>
      </c>
      <c r="S3" s="6" t="s">
        <v>102</v>
      </c>
      <c r="U3" s="6" t="s">
        <v>103</v>
      </c>
      <c r="V3" s="6" t="s">
        <v>104</v>
      </c>
      <c r="W3" s="6" t="s">
        <v>105</v>
      </c>
      <c r="X3" s="6" t="s">
        <v>106</v>
      </c>
      <c r="Z3" s="6" t="s">
        <v>103</v>
      </c>
      <c r="AA3" s="6" t="s">
        <v>104</v>
      </c>
      <c r="AB3" s="6" t="s">
        <v>105</v>
      </c>
      <c r="AC3" s="6" t="s">
        <v>107</v>
      </c>
      <c r="AE3" s="110"/>
      <c r="AG3" s="6" t="s">
        <v>108</v>
      </c>
      <c r="AH3" s="6" t="s">
        <v>109</v>
      </c>
      <c r="AI3" s="6" t="s">
        <v>93</v>
      </c>
      <c r="AK3" s="6" t="s">
        <v>110</v>
      </c>
      <c r="AM3" s="6" t="s">
        <v>111</v>
      </c>
      <c r="AO3" s="6" t="s">
        <v>112</v>
      </c>
      <c r="AP3" s="6" t="s">
        <v>113</v>
      </c>
      <c r="AQ3" s="6" t="s">
        <v>114</v>
      </c>
      <c r="AR3" s="6" t="s">
        <v>93</v>
      </c>
    </row>
    <row r="4" spans="2:44" ht="14.25" customHeight="1" x14ac:dyDescent="0.35">
      <c r="B4" s="15">
        <v>1</v>
      </c>
      <c r="C4" s="36">
        <f>Inputs!C4</f>
        <v>120000</v>
      </c>
      <c r="D4" s="36">
        <f>Inputs!C5</f>
        <v>75000</v>
      </c>
      <c r="E4" s="36">
        <f>Inputs!C6</f>
        <v>40000</v>
      </c>
      <c r="F4" s="36">
        <f t="shared" ref="F4:F13" si="0">SUM(C4:E4)</f>
        <v>235000</v>
      </c>
      <c r="H4" s="36">
        <f>C4*Inputs!$C$13</f>
        <v>1020000</v>
      </c>
      <c r="I4" s="36">
        <f>D4*Inputs!$C$14</f>
        <v>450000</v>
      </c>
      <c r="J4" s="36">
        <f>E4*Inputs!$C$15</f>
        <v>400000</v>
      </c>
      <c r="K4" s="36">
        <f t="shared" ref="K4:K13" si="1">SUM(H4:J4)</f>
        <v>1870000</v>
      </c>
      <c r="M4" s="36">
        <f>C4*Inputs!$C$16</f>
        <v>14400000</v>
      </c>
      <c r="N4" s="36">
        <f>+D4*Inputs!$C$17</f>
        <v>7125000</v>
      </c>
      <c r="O4" s="36">
        <f>+E4*Inputs!$C$18</f>
        <v>2400000</v>
      </c>
      <c r="P4" s="36">
        <f t="shared" ref="P4:P13" si="2">SUM(M4:O4)</f>
        <v>23925000</v>
      </c>
      <c r="R4" s="37">
        <f>K4*(Inputs!$C$19)*(1+Inputs!$C$20)^('Projection - Base'!B4-'Projection - Base'!$B$4)/100000</f>
        <v>1720.4</v>
      </c>
      <c r="S4" s="37">
        <f>P4*(Inputs!$C$21)*(1+Inputs!$C$22)^('Projection - Base'!B4-'Projection - Base'!$B$4)/100000</f>
        <v>1794.375</v>
      </c>
      <c r="U4" s="38">
        <f>H4*Inputs!$C$25/1000</f>
        <v>2733.6</v>
      </c>
      <c r="V4" s="38">
        <f>I4*Inputs!$C$25/1000</f>
        <v>1206</v>
      </c>
      <c r="W4" s="38">
        <f>J4*Inputs!$C$25/1000</f>
        <v>1072</v>
      </c>
      <c r="X4" s="38">
        <f t="shared" ref="X4:X13" si="3">SUM(U4:W4)</f>
        <v>5011.6000000000004</v>
      </c>
      <c r="Z4" s="38">
        <f>M4*Inputs!$C$26/1000</f>
        <v>11808</v>
      </c>
      <c r="AA4" s="38">
        <f>N4*Inputs!$C$26/1000</f>
        <v>5842.5</v>
      </c>
      <c r="AB4" s="38">
        <f>O4*Inputs!$C$26/1000</f>
        <v>1967.9999999999998</v>
      </c>
      <c r="AC4" s="38">
        <f t="shared" ref="AC4:AC13" si="4">SUM(Z4:AB4)</f>
        <v>19618.5</v>
      </c>
      <c r="AE4" s="38">
        <f t="shared" ref="AE4:AE13" si="5">AC4+X4</f>
        <v>24630.1</v>
      </c>
      <c r="AG4" s="37">
        <f t="array" ref="AG4">SUMPRODUCT(U4:W4,TRANSPOSE(Inputs!$C$8:$C$10))</f>
        <v>1774.1599999999999</v>
      </c>
      <c r="AH4" s="37">
        <f t="array" ref="AH4">SUMPRODUCT(Z4:AB4,TRANSPOSE(Inputs!$C$8:$C$10))</f>
        <v>7447.6500000000005</v>
      </c>
      <c r="AI4" s="37">
        <f t="shared" ref="AI4:AI13" si="6">AH4+AG4</f>
        <v>9221.8100000000013</v>
      </c>
      <c r="AK4" s="39">
        <f>Inputs!$C$29</f>
        <v>200</v>
      </c>
      <c r="AM4" s="39">
        <f>Inputs!$C$30</f>
        <v>50</v>
      </c>
      <c r="AO4" s="40">
        <f t="shared" ref="AO4:AO13" si="7">R4+S4</f>
        <v>3514.7750000000001</v>
      </c>
      <c r="AP4" s="40">
        <f t="shared" ref="AP4:AP13" si="8">AE4*AK4/100000</f>
        <v>49.260199999999998</v>
      </c>
      <c r="AQ4" s="40">
        <f>AI4*Inputs!$C$31*AM4/100000</f>
        <v>414.98145000000005</v>
      </c>
      <c r="AR4" s="40">
        <f t="shared" ref="AR4:AR13" si="9">SUM(AO4:AQ4)</f>
        <v>3979.0166500000005</v>
      </c>
    </row>
    <row r="5" spans="2:44" ht="14.25" customHeight="1" x14ac:dyDescent="0.35">
      <c r="B5" s="15">
        <v>2</v>
      </c>
      <c r="C5" s="36">
        <f>C4*(1+Inputs!$C$7)</f>
        <v>129600.00000000001</v>
      </c>
      <c r="D5" s="36">
        <f>D4*(1+Inputs!$C$7)</f>
        <v>81000</v>
      </c>
      <c r="E5" s="36">
        <f>E4*(1+Inputs!$C$7)</f>
        <v>43200</v>
      </c>
      <c r="F5" s="36">
        <f t="shared" si="0"/>
        <v>253800</v>
      </c>
      <c r="H5" s="36">
        <f>C5*Inputs!$C$13</f>
        <v>1101600.0000000002</v>
      </c>
      <c r="I5" s="36">
        <f>D5*Inputs!$C$14</f>
        <v>486000</v>
      </c>
      <c r="J5" s="36">
        <f>E5*Inputs!$C$15</f>
        <v>432000</v>
      </c>
      <c r="K5" s="36">
        <f t="shared" si="1"/>
        <v>2019600.0000000002</v>
      </c>
      <c r="M5" s="36">
        <f>C5*Inputs!$C$16</f>
        <v>15552000.000000002</v>
      </c>
      <c r="N5" s="36">
        <f>+D5*Inputs!$C$17</f>
        <v>7695000</v>
      </c>
      <c r="O5" s="36">
        <f>+E5*Inputs!$C$18</f>
        <v>2592000</v>
      </c>
      <c r="P5" s="36">
        <f t="shared" si="2"/>
        <v>25839000</v>
      </c>
      <c r="R5" s="37">
        <f>K5*(Inputs!$C$19)*(1+Inputs!$C$20)^('Projection - Base'!B5-'Projection - Base'!$B$4)/100000</f>
        <v>1932.3532800000003</v>
      </c>
      <c r="S5" s="37">
        <f>P5*(Inputs!$C$21)*(1+Inputs!$C$22)^('Projection - Base'!B5-'Projection - Base'!$B$4)/100000</f>
        <v>1996.0627500000001</v>
      </c>
      <c r="U5" s="38">
        <f>H5*Inputs!$C$25/1000</f>
        <v>2952.2880000000009</v>
      </c>
      <c r="V5" s="38">
        <f>I5*Inputs!$C$25/1000</f>
        <v>1302.48</v>
      </c>
      <c r="W5" s="38">
        <f>J5*Inputs!$C$25/1000</f>
        <v>1157.76</v>
      </c>
      <c r="X5" s="38">
        <f t="shared" si="3"/>
        <v>5412.5280000000012</v>
      </c>
      <c r="Z5" s="38">
        <f>M5*Inputs!$C$26/1000</f>
        <v>12752.64</v>
      </c>
      <c r="AA5" s="38">
        <f>N5*Inputs!$C$26/1000</f>
        <v>6309.9</v>
      </c>
      <c r="AB5" s="38">
        <f>O5*Inputs!$C$26/1000</f>
        <v>2125.44</v>
      </c>
      <c r="AC5" s="38">
        <f t="shared" si="4"/>
        <v>21187.98</v>
      </c>
      <c r="AE5" s="38">
        <f t="shared" si="5"/>
        <v>26600.508000000002</v>
      </c>
      <c r="AG5" s="37">
        <f t="array" ref="AG5">SUMPRODUCT(U5:W5,TRANSPOSE(Inputs!$C$8:$C$10))</f>
        <v>1916.0928000000004</v>
      </c>
      <c r="AH5" s="37">
        <f t="array" ref="AH5">SUMPRODUCT(Z5:AB5,TRANSPOSE(Inputs!$C$8:$C$10))</f>
        <v>8043.4619999999986</v>
      </c>
      <c r="AI5" s="37">
        <f t="shared" si="6"/>
        <v>9959.5547999999981</v>
      </c>
      <c r="AK5" s="39">
        <f>Inputs!$C$29</f>
        <v>200</v>
      </c>
      <c r="AM5" s="39">
        <f>Inputs!$C$30</f>
        <v>50</v>
      </c>
      <c r="AO5" s="40">
        <f t="shared" si="7"/>
        <v>3928.4160300000003</v>
      </c>
      <c r="AP5" s="40">
        <f t="shared" si="8"/>
        <v>53.201016000000003</v>
      </c>
      <c r="AQ5" s="40">
        <f>AI5*Inputs!$C$31*AM5/100000</f>
        <v>448.17996599999987</v>
      </c>
      <c r="AR5" s="40">
        <f t="shared" si="9"/>
        <v>4429.797012</v>
      </c>
    </row>
    <row r="6" spans="2:44" ht="14.25" customHeight="1" x14ac:dyDescent="0.35">
      <c r="B6" s="15">
        <v>3</v>
      </c>
      <c r="C6" s="36">
        <f>C5*(1+Inputs!$C$7)</f>
        <v>139968.00000000003</v>
      </c>
      <c r="D6" s="36">
        <f>D5*(1+Inputs!$C$7)</f>
        <v>87480</v>
      </c>
      <c r="E6" s="36">
        <f>E5*(1+Inputs!$C$7)</f>
        <v>46656</v>
      </c>
      <c r="F6" s="36">
        <f t="shared" si="0"/>
        <v>274104</v>
      </c>
      <c r="H6" s="36">
        <f>C6*Inputs!$C$13</f>
        <v>1189728.0000000002</v>
      </c>
      <c r="I6" s="36">
        <f>D6*Inputs!$C$14</f>
        <v>524880</v>
      </c>
      <c r="J6" s="36">
        <f>E6*Inputs!$C$15</f>
        <v>466560</v>
      </c>
      <c r="K6" s="36">
        <f t="shared" si="1"/>
        <v>2181168</v>
      </c>
      <c r="M6" s="36">
        <f>C6*Inputs!$C$16</f>
        <v>16796160.000000004</v>
      </c>
      <c r="N6" s="36">
        <f>+D6*Inputs!$C$17</f>
        <v>8310600</v>
      </c>
      <c r="O6" s="36">
        <f>+E6*Inputs!$C$18</f>
        <v>2799360</v>
      </c>
      <c r="P6" s="36">
        <f t="shared" si="2"/>
        <v>27906120.000000004</v>
      </c>
      <c r="R6" s="37">
        <f>K6*(Inputs!$C$19)*(1+Inputs!$C$20)^('Projection - Base'!B6-'Projection - Base'!$B$4)/100000</f>
        <v>2170.4192040960002</v>
      </c>
      <c r="S6" s="37">
        <f>P6*(Inputs!$C$21)*(1+Inputs!$C$22)^('Projection - Base'!B6-'Projection - Base'!$B$4)/100000</f>
        <v>2220.4202031000004</v>
      </c>
      <c r="U6" s="38">
        <f>H6*Inputs!$C$25/1000</f>
        <v>3188.4710400000008</v>
      </c>
      <c r="V6" s="38">
        <f>I6*Inputs!$C$25/1000</f>
        <v>1406.6784000000002</v>
      </c>
      <c r="W6" s="38">
        <f>J6*Inputs!$C$25/1000</f>
        <v>1250.3808000000001</v>
      </c>
      <c r="X6" s="38">
        <f t="shared" si="3"/>
        <v>5845.530240000001</v>
      </c>
      <c r="Z6" s="38">
        <f>M6*Inputs!$C$26/1000</f>
        <v>13772.851200000003</v>
      </c>
      <c r="AA6" s="38">
        <f>N6*Inputs!$C$26/1000</f>
        <v>6814.692</v>
      </c>
      <c r="AB6" s="38">
        <f>O6*Inputs!$C$26/1000</f>
        <v>2295.4751999999999</v>
      </c>
      <c r="AC6" s="38">
        <f t="shared" si="4"/>
        <v>22883.018400000004</v>
      </c>
      <c r="AE6" s="38">
        <f t="shared" si="5"/>
        <v>28728.548640000005</v>
      </c>
      <c r="AG6" s="37">
        <f t="array" ref="AG6">SUMPRODUCT(U6:W6,TRANSPOSE(Inputs!$C$8:$C$10))</f>
        <v>2069.3802240000005</v>
      </c>
      <c r="AH6" s="37">
        <f t="array" ref="AH6">SUMPRODUCT(Z6:AB6,TRANSPOSE(Inputs!$C$8:$C$10))</f>
        <v>8686.9389600000013</v>
      </c>
      <c r="AI6" s="37">
        <f t="shared" si="6"/>
        <v>10756.319184000002</v>
      </c>
      <c r="AK6" s="39">
        <f>Inputs!$C$29</f>
        <v>200</v>
      </c>
      <c r="AM6" s="39">
        <f>Inputs!$C$30</f>
        <v>50</v>
      </c>
      <c r="AO6" s="40">
        <f t="shared" si="7"/>
        <v>4390.839407196001</v>
      </c>
      <c r="AP6" s="40">
        <f t="shared" si="8"/>
        <v>57.457097280000013</v>
      </c>
      <c r="AQ6" s="40">
        <f>AI6*Inputs!$C$31*AM6/100000</f>
        <v>484.03436328000009</v>
      </c>
      <c r="AR6" s="40">
        <f t="shared" si="9"/>
        <v>4932.3308677560017</v>
      </c>
    </row>
    <row r="7" spans="2:44" ht="14.25" customHeight="1" x14ac:dyDescent="0.35">
      <c r="B7" s="15">
        <v>4</v>
      </c>
      <c r="C7" s="36">
        <f>C6*(1+Inputs!$C$7)</f>
        <v>151165.44000000003</v>
      </c>
      <c r="D7" s="36">
        <f>D6*(1+Inputs!$C$7)</f>
        <v>94478.400000000009</v>
      </c>
      <c r="E7" s="36">
        <f>E6*(1+Inputs!$C$7)</f>
        <v>50388.480000000003</v>
      </c>
      <c r="F7" s="36">
        <f t="shared" si="0"/>
        <v>296032.32</v>
      </c>
      <c r="H7" s="36">
        <f>C7*Inputs!$C$13</f>
        <v>1284906.2400000002</v>
      </c>
      <c r="I7" s="36">
        <f>D7*Inputs!$C$14</f>
        <v>566870.4</v>
      </c>
      <c r="J7" s="36">
        <f>E7*Inputs!$C$15</f>
        <v>503884.80000000005</v>
      </c>
      <c r="K7" s="36">
        <f t="shared" si="1"/>
        <v>2355661.4400000004</v>
      </c>
      <c r="M7" s="36">
        <f>C7*Inputs!$C$16</f>
        <v>18139852.800000004</v>
      </c>
      <c r="N7" s="36">
        <f>+D7*Inputs!$C$17</f>
        <v>8975448</v>
      </c>
      <c r="O7" s="36">
        <f>+E7*Inputs!$C$18</f>
        <v>3023308.8000000003</v>
      </c>
      <c r="P7" s="36">
        <f t="shared" si="2"/>
        <v>30138609.600000005</v>
      </c>
      <c r="R7" s="37">
        <f>K7*(Inputs!$C$19)*(1+Inputs!$C$20)^('Projection - Base'!B7-'Projection - Base'!$B$4)/100000</f>
        <v>2437.8148500406278</v>
      </c>
      <c r="S7" s="37">
        <f>P7*(Inputs!$C$21)*(1+Inputs!$C$22)^('Projection - Base'!B7-'Projection - Base'!$B$4)/100000</f>
        <v>2469.9954339284404</v>
      </c>
      <c r="U7" s="38">
        <f>H7*Inputs!$C$25/1000</f>
        <v>3443.5487232000009</v>
      </c>
      <c r="V7" s="38">
        <f>I7*Inputs!$C$25/1000</f>
        <v>1519.2126720000003</v>
      </c>
      <c r="W7" s="38">
        <f>J7*Inputs!$C$25/1000</f>
        <v>1350.4112640000003</v>
      </c>
      <c r="X7" s="38">
        <f t="shared" si="3"/>
        <v>6313.1726592000014</v>
      </c>
      <c r="Z7" s="38">
        <f>M7*Inputs!$C$26/1000</f>
        <v>14874.679296000002</v>
      </c>
      <c r="AA7" s="38">
        <f>N7*Inputs!$C$26/1000</f>
        <v>7359.8673599999993</v>
      </c>
      <c r="AB7" s="38">
        <f>O7*Inputs!$C$26/1000</f>
        <v>2479.1132160000002</v>
      </c>
      <c r="AC7" s="38">
        <f t="shared" si="4"/>
        <v>24713.659872000004</v>
      </c>
      <c r="AE7" s="38">
        <f t="shared" si="5"/>
        <v>31026.832531200005</v>
      </c>
      <c r="AG7" s="37">
        <f t="array" ref="AG7">SUMPRODUCT(U7:W7,TRANSPOSE(Inputs!$C$8:$C$10))</f>
        <v>2234.9306419200002</v>
      </c>
      <c r="AH7" s="37">
        <f t="array" ref="AH7">SUMPRODUCT(Z7:AB7,TRANSPOSE(Inputs!$C$8:$C$10))</f>
        <v>9381.8940767999993</v>
      </c>
      <c r="AI7" s="37">
        <f t="shared" si="6"/>
        <v>11616.82471872</v>
      </c>
      <c r="AK7" s="39">
        <f>Inputs!$C$29</f>
        <v>200</v>
      </c>
      <c r="AM7" s="39">
        <f>Inputs!$C$30</f>
        <v>50</v>
      </c>
      <c r="AO7" s="40">
        <f t="shared" si="7"/>
        <v>4907.8102839690682</v>
      </c>
      <c r="AP7" s="40">
        <f t="shared" si="8"/>
        <v>62.053665062400007</v>
      </c>
      <c r="AQ7" s="40">
        <f>AI7*Inputs!$C$31*AM7/100000</f>
        <v>522.75711234239998</v>
      </c>
      <c r="AR7" s="40">
        <f t="shared" si="9"/>
        <v>5492.6210613738676</v>
      </c>
    </row>
    <row r="8" spans="2:44" ht="14.25" customHeight="1" x14ac:dyDescent="0.35">
      <c r="B8" s="15">
        <v>5</v>
      </c>
      <c r="C8" s="36">
        <f>C7*(1+Inputs!$C$7)</f>
        <v>163258.67520000006</v>
      </c>
      <c r="D8" s="36">
        <f>D7*(1+Inputs!$C$7)</f>
        <v>102036.67200000002</v>
      </c>
      <c r="E8" s="36">
        <f>E7*(1+Inputs!$C$7)</f>
        <v>54419.558400000009</v>
      </c>
      <c r="F8" s="36">
        <f t="shared" si="0"/>
        <v>319714.90560000006</v>
      </c>
      <c r="H8" s="36">
        <f>C8*Inputs!$C$13</f>
        <v>1387698.7392000004</v>
      </c>
      <c r="I8" s="36">
        <f>D8*Inputs!$C$14</f>
        <v>612220.03200000012</v>
      </c>
      <c r="J8" s="36">
        <f>E8*Inputs!$C$15</f>
        <v>544195.58400000003</v>
      </c>
      <c r="K8" s="36">
        <f t="shared" si="1"/>
        <v>2544114.3552000006</v>
      </c>
      <c r="M8" s="36">
        <f>C8*Inputs!$C$16</f>
        <v>19591041.024000008</v>
      </c>
      <c r="N8" s="36">
        <f>+D8*Inputs!$C$17</f>
        <v>9693483.8400000017</v>
      </c>
      <c r="O8" s="36">
        <f>+E8*Inputs!$C$18</f>
        <v>3265173.5040000007</v>
      </c>
      <c r="P8" s="36">
        <f t="shared" si="2"/>
        <v>32549698.368000008</v>
      </c>
      <c r="R8" s="37">
        <f>K8*(Inputs!$C$19)*(1+Inputs!$C$20)^('Projection - Base'!B8-'Projection - Base'!$B$4)/100000</f>
        <v>2738.1536395656335</v>
      </c>
      <c r="S8" s="37">
        <f>P8*(Inputs!$C$21)*(1+Inputs!$C$22)^('Projection - Base'!B8-'Projection - Base'!$B$4)/100000</f>
        <v>2747.6229207019974</v>
      </c>
      <c r="U8" s="38">
        <f>H8*Inputs!$C$25/1000</f>
        <v>3719.0326210560011</v>
      </c>
      <c r="V8" s="38">
        <f>I8*Inputs!$C$25/1000</f>
        <v>1640.7496857600004</v>
      </c>
      <c r="W8" s="38">
        <f>J8*Inputs!$C$25/1000</f>
        <v>1458.4441651200002</v>
      </c>
      <c r="X8" s="38">
        <f t="shared" si="3"/>
        <v>6818.2264719360019</v>
      </c>
      <c r="Z8" s="38">
        <f>M8*Inputs!$C$26/1000</f>
        <v>16064.653639680006</v>
      </c>
      <c r="AA8" s="38">
        <f>N8*Inputs!$C$26/1000</f>
        <v>7948.656748800001</v>
      </c>
      <c r="AB8" s="38">
        <f>O8*Inputs!$C$26/1000</f>
        <v>2677.4422732800003</v>
      </c>
      <c r="AC8" s="38">
        <f t="shared" si="4"/>
        <v>26690.752661760009</v>
      </c>
      <c r="AE8" s="38">
        <f t="shared" si="5"/>
        <v>33508.979133696012</v>
      </c>
      <c r="AG8" s="37">
        <f t="array" ref="AG8">SUMPRODUCT(U8:W8,TRANSPOSE(Inputs!$C$8:$C$10))</f>
        <v>2413.7250932736006</v>
      </c>
      <c r="AH8" s="37">
        <f t="array" ref="AH8">SUMPRODUCT(Z8:AB8,TRANSPOSE(Inputs!$C$8:$C$10))</f>
        <v>10132.445602944003</v>
      </c>
      <c r="AI8" s="37">
        <f t="shared" si="6"/>
        <v>12546.170696217603</v>
      </c>
      <c r="AK8" s="39">
        <f>Inputs!$C$29</f>
        <v>200</v>
      </c>
      <c r="AM8" s="39">
        <f>Inputs!$C$30</f>
        <v>50</v>
      </c>
      <c r="AO8" s="40">
        <f t="shared" si="7"/>
        <v>5485.7765602676309</v>
      </c>
      <c r="AP8" s="40">
        <f t="shared" si="8"/>
        <v>67.017958267392018</v>
      </c>
      <c r="AQ8" s="40">
        <f>AI8*Inputs!$C$31*AM8/100000</f>
        <v>564.57768132979209</v>
      </c>
      <c r="AR8" s="40">
        <f t="shared" si="9"/>
        <v>6117.3721998648143</v>
      </c>
    </row>
    <row r="9" spans="2:44" ht="14.25" customHeight="1" x14ac:dyDescent="0.35">
      <c r="B9" s="15">
        <v>6</v>
      </c>
      <c r="C9" s="36">
        <f>C8*(1+Inputs!$C$7)</f>
        <v>176319.36921600008</v>
      </c>
      <c r="D9" s="36">
        <f>D8*(1+Inputs!$C$7)</f>
        <v>110199.60576000003</v>
      </c>
      <c r="E9" s="36">
        <f>E8*(1+Inputs!$C$7)</f>
        <v>58773.123072000017</v>
      </c>
      <c r="F9" s="36">
        <f t="shared" si="0"/>
        <v>345292.09804800013</v>
      </c>
      <c r="H9" s="36">
        <f>C9*Inputs!$C$13</f>
        <v>1498714.6383360007</v>
      </c>
      <c r="I9" s="36">
        <f>D9*Inputs!$C$14</f>
        <v>661197.63456000015</v>
      </c>
      <c r="J9" s="36">
        <f>E9*Inputs!$C$15</f>
        <v>587731.23072000011</v>
      </c>
      <c r="K9" s="36">
        <f t="shared" si="1"/>
        <v>2747643.5036160015</v>
      </c>
      <c r="M9" s="36">
        <f>C9*Inputs!$C$16</f>
        <v>21158324.305920009</v>
      </c>
      <c r="N9" s="36">
        <f>+D9*Inputs!$C$17</f>
        <v>10468962.547200004</v>
      </c>
      <c r="O9" s="36">
        <f>+E9*Inputs!$C$18</f>
        <v>3526387.3843200011</v>
      </c>
      <c r="P9" s="36">
        <f t="shared" si="2"/>
        <v>35153674.237440012</v>
      </c>
      <c r="R9" s="37">
        <f>K9*(Inputs!$C$19)*(1+Inputs!$C$20)^('Projection - Base'!B9-'Projection - Base'!$B$4)/100000</f>
        <v>3075.4941679601206</v>
      </c>
      <c r="S9" s="37">
        <f>P9*(Inputs!$C$21)*(1+Inputs!$C$22)^('Projection - Base'!B9-'Projection - Base'!$B$4)/100000</f>
        <v>3056.4557369889021</v>
      </c>
      <c r="U9" s="38">
        <f>H9*Inputs!$C$25/1000</f>
        <v>4016.5552307404819</v>
      </c>
      <c r="V9" s="38">
        <f>I9*Inputs!$C$25/1000</f>
        <v>1772.0096606208006</v>
      </c>
      <c r="W9" s="38">
        <f>J9*Inputs!$C$25/1000</f>
        <v>1575.1196983296002</v>
      </c>
      <c r="X9" s="38">
        <f t="shared" si="3"/>
        <v>7363.6845896908826</v>
      </c>
      <c r="Z9" s="38">
        <f>M9*Inputs!$C$26/1000</f>
        <v>17349.825930854407</v>
      </c>
      <c r="AA9" s="38">
        <f>N9*Inputs!$C$26/1000</f>
        <v>8584.5492887040018</v>
      </c>
      <c r="AB9" s="38">
        <f>O9*Inputs!$C$26/1000</f>
        <v>2891.6376551424009</v>
      </c>
      <c r="AC9" s="38">
        <f t="shared" si="4"/>
        <v>28826.012874700809</v>
      </c>
      <c r="AE9" s="38">
        <f t="shared" si="5"/>
        <v>36189.697464391691</v>
      </c>
      <c r="AG9" s="37">
        <f t="array" ref="AG9">SUMPRODUCT(U9:W9,TRANSPOSE(Inputs!$C$8:$C$10))</f>
        <v>2606.8231007354889</v>
      </c>
      <c r="AH9" s="37">
        <f t="array" ref="AH9">SUMPRODUCT(Z9:AB9,TRANSPOSE(Inputs!$C$8:$C$10))</f>
        <v>10943.041251179524</v>
      </c>
      <c r="AI9" s="37">
        <f t="shared" si="6"/>
        <v>13549.864351915014</v>
      </c>
      <c r="AK9" s="39">
        <f>Inputs!$C$29</f>
        <v>200</v>
      </c>
      <c r="AM9" s="39">
        <f>Inputs!$C$30</f>
        <v>50</v>
      </c>
      <c r="AO9" s="40">
        <f t="shared" si="7"/>
        <v>6131.9499049490223</v>
      </c>
      <c r="AP9" s="40">
        <f t="shared" si="8"/>
        <v>72.379394928783384</v>
      </c>
      <c r="AQ9" s="40">
        <f>AI9*Inputs!$C$31*AM9/100000</f>
        <v>609.74389583617562</v>
      </c>
      <c r="AR9" s="40">
        <f t="shared" si="9"/>
        <v>6814.0731957139815</v>
      </c>
    </row>
    <row r="10" spans="2:44" ht="14.25" customHeight="1" x14ac:dyDescent="0.35">
      <c r="B10" s="15">
        <v>7</v>
      </c>
      <c r="C10" s="36">
        <f>C9*(1+Inputs!$C$7)</f>
        <v>190424.9187532801</v>
      </c>
      <c r="D10" s="36">
        <f>D9*(1+Inputs!$C$7)</f>
        <v>119015.57422080004</v>
      </c>
      <c r="E10" s="36">
        <f>E9*(1+Inputs!$C$7)</f>
        <v>63474.972917760024</v>
      </c>
      <c r="F10" s="36">
        <f t="shared" si="0"/>
        <v>372915.46589184017</v>
      </c>
      <c r="H10" s="36">
        <f>C10*Inputs!$C$13</f>
        <v>1618611.809402881</v>
      </c>
      <c r="I10" s="36">
        <f>D10*Inputs!$C$14</f>
        <v>714093.44532480021</v>
      </c>
      <c r="J10" s="36">
        <f>E10*Inputs!$C$15</f>
        <v>634749.72917760024</v>
      </c>
      <c r="K10" s="36">
        <f t="shared" si="1"/>
        <v>2967454.9839052814</v>
      </c>
      <c r="M10" s="36">
        <f>C10*Inputs!$C$16</f>
        <v>22850990.25039361</v>
      </c>
      <c r="N10" s="36">
        <f>+D10*Inputs!$C$17</f>
        <v>11306479.550976004</v>
      </c>
      <c r="O10" s="36">
        <f>+E10*Inputs!$C$18</f>
        <v>3808498.3750656014</v>
      </c>
      <c r="P10" s="36">
        <f t="shared" si="2"/>
        <v>37965968.176435217</v>
      </c>
      <c r="R10" s="37">
        <f>K10*(Inputs!$C$19)*(1+Inputs!$C$20)^('Projection - Base'!B10-'Projection - Base'!$B$4)/100000</f>
        <v>3454.3950494528081</v>
      </c>
      <c r="S10" s="37">
        <f>P10*(Inputs!$C$21)*(1+Inputs!$C$22)^('Projection - Base'!B10-'Projection - Base'!$B$4)/100000</f>
        <v>3400.0013618264552</v>
      </c>
      <c r="U10" s="38">
        <f>H10*Inputs!$C$25/1000</f>
        <v>4337.8796491997218</v>
      </c>
      <c r="V10" s="38">
        <f>I10*Inputs!$C$25/1000</f>
        <v>1913.7704334704647</v>
      </c>
      <c r="W10" s="38">
        <f>J10*Inputs!$C$25/1000</f>
        <v>1701.1292741959687</v>
      </c>
      <c r="X10" s="38">
        <f t="shared" si="3"/>
        <v>7952.7793568661555</v>
      </c>
      <c r="Z10" s="38">
        <f>M10*Inputs!$C$26/1000</f>
        <v>18737.812005322758</v>
      </c>
      <c r="AA10" s="38">
        <f>N10*Inputs!$C$26/1000</f>
        <v>9271.3132318003227</v>
      </c>
      <c r="AB10" s="38">
        <f>O10*Inputs!$C$26/1000</f>
        <v>3122.9686675537932</v>
      </c>
      <c r="AC10" s="38">
        <f t="shared" si="4"/>
        <v>31132.093904676873</v>
      </c>
      <c r="AE10" s="38">
        <f t="shared" si="5"/>
        <v>39084.873261543027</v>
      </c>
      <c r="AG10" s="37">
        <f t="array" ref="AG10">SUMPRODUCT(U10:W10,TRANSPOSE(Inputs!$C$8:$C$10))</f>
        <v>2815.3689487943288</v>
      </c>
      <c r="AH10" s="37">
        <f t="array" ref="AH10">SUMPRODUCT(Z10:AB10,TRANSPOSE(Inputs!$C$8:$C$10))</f>
        <v>11818.484551273887</v>
      </c>
      <c r="AI10" s="37">
        <f t="shared" si="6"/>
        <v>14633.853500068215</v>
      </c>
      <c r="AK10" s="39">
        <f>Inputs!$C$29</f>
        <v>200</v>
      </c>
      <c r="AM10" s="39">
        <f>Inputs!$C$30</f>
        <v>50</v>
      </c>
      <c r="AO10" s="40">
        <f t="shared" si="7"/>
        <v>6854.3964112792637</v>
      </c>
      <c r="AP10" s="40">
        <f t="shared" si="8"/>
        <v>78.169746523086062</v>
      </c>
      <c r="AQ10" s="40">
        <f>AI10*Inputs!$C$31*AM10/100000</f>
        <v>658.52340750306973</v>
      </c>
      <c r="AR10" s="40">
        <f t="shared" si="9"/>
        <v>7591.0895653054195</v>
      </c>
    </row>
    <row r="11" spans="2:44" ht="14.25" customHeight="1" x14ac:dyDescent="0.35">
      <c r="B11" s="15">
        <v>8</v>
      </c>
      <c r="C11" s="36">
        <f>C10*(1+Inputs!$C$7)</f>
        <v>205658.91225354251</v>
      </c>
      <c r="D11" s="36">
        <f>D10*(1+Inputs!$C$7)</f>
        <v>128536.82015846406</v>
      </c>
      <c r="E11" s="36">
        <f>E10*(1+Inputs!$C$7)</f>
        <v>68552.970751180837</v>
      </c>
      <c r="F11" s="36">
        <f t="shared" si="0"/>
        <v>402748.70316318743</v>
      </c>
      <c r="H11" s="36">
        <f>C11*Inputs!$C$13</f>
        <v>1748100.7541551113</v>
      </c>
      <c r="I11" s="36">
        <f>D11*Inputs!$C$14</f>
        <v>771220.92095078435</v>
      </c>
      <c r="J11" s="36">
        <f>E11*Inputs!$C$15</f>
        <v>685529.70751180837</v>
      </c>
      <c r="K11" s="36">
        <f t="shared" si="1"/>
        <v>3204851.3826177041</v>
      </c>
      <c r="M11" s="36">
        <f>C11*Inputs!$C$16</f>
        <v>24679069.470425103</v>
      </c>
      <c r="N11" s="36">
        <f>+D11*Inputs!$C$17</f>
        <v>12210997.915054087</v>
      </c>
      <c r="O11" s="36">
        <f>+E11*Inputs!$C$18</f>
        <v>4113178.2450708505</v>
      </c>
      <c r="P11" s="36">
        <f t="shared" si="2"/>
        <v>41003245.630550042</v>
      </c>
      <c r="R11" s="37">
        <f>K11*(Inputs!$C$19)*(1+Inputs!$C$20)^('Projection - Base'!B11-'Projection - Base'!$B$4)/100000</f>
        <v>3879.9765195453938</v>
      </c>
      <c r="S11" s="37">
        <f>P11*(Inputs!$C$21)*(1+Inputs!$C$22)^('Projection - Base'!B11-'Projection - Base'!$B$4)/100000</f>
        <v>3782.161514895749</v>
      </c>
      <c r="U11" s="38">
        <f>H11*Inputs!$C$25/1000</f>
        <v>4684.9100211356981</v>
      </c>
      <c r="V11" s="38">
        <f>I11*Inputs!$C$25/1000</f>
        <v>2066.8720681481022</v>
      </c>
      <c r="W11" s="38">
        <f>J11*Inputs!$C$25/1000</f>
        <v>1837.2196161316465</v>
      </c>
      <c r="X11" s="38">
        <f t="shared" si="3"/>
        <v>8589.0017054154468</v>
      </c>
      <c r="Z11" s="38">
        <f>M11*Inputs!$C$26/1000</f>
        <v>20236.836965748582</v>
      </c>
      <c r="AA11" s="38">
        <f>N11*Inputs!$C$26/1000</f>
        <v>10013.018290344349</v>
      </c>
      <c r="AB11" s="38">
        <f>O11*Inputs!$C$26/1000</f>
        <v>3372.8061609580973</v>
      </c>
      <c r="AC11" s="38">
        <f t="shared" si="4"/>
        <v>33622.661417051029</v>
      </c>
      <c r="AE11" s="38">
        <f t="shared" si="5"/>
        <v>42211.663122466474</v>
      </c>
      <c r="AG11" s="37">
        <f t="array" ref="AG11">SUMPRODUCT(U11:W11,TRANSPOSE(Inputs!$C$8:$C$10))</f>
        <v>3040.598464697875</v>
      </c>
      <c r="AH11" s="37">
        <f t="array" ref="AH11">SUMPRODUCT(Z11:AB11,TRANSPOSE(Inputs!$C$8:$C$10))</f>
        <v>12763.963315375797</v>
      </c>
      <c r="AI11" s="37">
        <f t="shared" si="6"/>
        <v>15804.561780073673</v>
      </c>
      <c r="AK11" s="39">
        <f>Inputs!$C$29</f>
        <v>200</v>
      </c>
      <c r="AM11" s="39">
        <f>Inputs!$C$30</f>
        <v>50</v>
      </c>
      <c r="AO11" s="40">
        <f t="shared" si="7"/>
        <v>7662.1380344411427</v>
      </c>
      <c r="AP11" s="40">
        <f t="shared" si="8"/>
        <v>84.423326244932952</v>
      </c>
      <c r="AQ11" s="40">
        <f>AI11*Inputs!$C$31*AM11/100000</f>
        <v>711.20528010331532</v>
      </c>
      <c r="AR11" s="40">
        <f t="shared" si="9"/>
        <v>8457.7666407893921</v>
      </c>
    </row>
    <row r="12" spans="2:44" ht="14.25" customHeight="1" x14ac:dyDescent="0.35">
      <c r="B12" s="15">
        <v>9</v>
      </c>
      <c r="C12" s="36">
        <f>C11*(1+Inputs!$C$7)</f>
        <v>222111.62523382594</v>
      </c>
      <c r="D12" s="36">
        <f>D11*(1+Inputs!$C$7)</f>
        <v>138819.76577114119</v>
      </c>
      <c r="E12" s="36">
        <f>E11*(1+Inputs!$C$7)</f>
        <v>74037.208411275307</v>
      </c>
      <c r="F12" s="36">
        <f t="shared" si="0"/>
        <v>434968.59941624245</v>
      </c>
      <c r="H12" s="36">
        <f>C12*Inputs!$C$13</f>
        <v>1887948.8144875204</v>
      </c>
      <c r="I12" s="36">
        <f>D12*Inputs!$C$14</f>
        <v>832918.59462684719</v>
      </c>
      <c r="J12" s="36">
        <f>E12*Inputs!$C$15</f>
        <v>740372.08411275304</v>
      </c>
      <c r="K12" s="36">
        <f t="shared" si="1"/>
        <v>3461239.4932271205</v>
      </c>
      <c r="M12" s="36">
        <f>C12*Inputs!$C$16</f>
        <v>26653395.028059114</v>
      </c>
      <c r="N12" s="36">
        <f>+D12*Inputs!$C$17</f>
        <v>13187877.748258414</v>
      </c>
      <c r="O12" s="36">
        <f>+E12*Inputs!$C$18</f>
        <v>4442232.504676518</v>
      </c>
      <c r="P12" s="36">
        <f t="shared" si="2"/>
        <v>44283505.28099405</v>
      </c>
      <c r="R12" s="37">
        <f>K12*(Inputs!$C$19)*(1+Inputs!$C$20)^('Projection - Base'!B12-'Projection - Base'!$B$4)/100000</f>
        <v>4357.9896267533859</v>
      </c>
      <c r="S12" s="37">
        <f>P12*(Inputs!$C$21)*(1+Inputs!$C$22)^('Projection - Base'!B12-'Projection - Base'!$B$4)/100000</f>
        <v>4207.2764691700313</v>
      </c>
      <c r="U12" s="38">
        <f>H12*Inputs!$C$25/1000</f>
        <v>5059.7028228265553</v>
      </c>
      <c r="V12" s="38">
        <f>I12*Inputs!$C$25/1000</f>
        <v>2232.2218335999505</v>
      </c>
      <c r="W12" s="38">
        <f>J12*Inputs!$C$25/1000</f>
        <v>1984.1971854221783</v>
      </c>
      <c r="X12" s="38">
        <f t="shared" si="3"/>
        <v>9276.1218418486842</v>
      </c>
      <c r="Z12" s="38">
        <f>M12*Inputs!$C$26/1000</f>
        <v>21855.783923008472</v>
      </c>
      <c r="AA12" s="38">
        <f>N12*Inputs!$C$26/1000</f>
        <v>10814.059753571897</v>
      </c>
      <c r="AB12" s="38">
        <f>O12*Inputs!$C$26/1000</f>
        <v>3642.6306538347444</v>
      </c>
      <c r="AC12" s="38">
        <f t="shared" si="4"/>
        <v>36312.474330415112</v>
      </c>
      <c r="AE12" s="38">
        <f t="shared" si="5"/>
        <v>45588.596172263795</v>
      </c>
      <c r="AG12" s="37">
        <f t="array" ref="AG12">SUMPRODUCT(U12:W12,TRANSPOSE(Inputs!$C$8:$C$10))</f>
        <v>3283.8463418737051</v>
      </c>
      <c r="AH12" s="37">
        <f t="array" ref="AH12">SUMPRODUCT(Z12:AB12,TRANSPOSE(Inputs!$C$8:$C$10))</f>
        <v>13785.080380605861</v>
      </c>
      <c r="AI12" s="37">
        <f t="shared" si="6"/>
        <v>17068.926722479566</v>
      </c>
      <c r="AK12" s="39">
        <f>Inputs!$C$29</f>
        <v>200</v>
      </c>
      <c r="AM12" s="39">
        <f>Inputs!$C$30</f>
        <v>50</v>
      </c>
      <c r="AO12" s="40">
        <f t="shared" si="7"/>
        <v>8565.2660959234163</v>
      </c>
      <c r="AP12" s="40">
        <f t="shared" si="8"/>
        <v>91.177192344527597</v>
      </c>
      <c r="AQ12" s="40">
        <f>AI12*Inputs!$C$31*AM12/100000</f>
        <v>768.10170251158047</v>
      </c>
      <c r="AR12" s="40">
        <f t="shared" si="9"/>
        <v>9424.5449907795228</v>
      </c>
    </row>
    <row r="13" spans="2:44" ht="14.25" customHeight="1" x14ac:dyDescent="0.35">
      <c r="B13" s="15">
        <v>10</v>
      </c>
      <c r="C13" s="36">
        <f>C12*(1+Inputs!$C$7)</f>
        <v>239880.55525253204</v>
      </c>
      <c r="D13" s="36">
        <f>D12*(1+Inputs!$C$7)</f>
        <v>149925.34703283251</v>
      </c>
      <c r="E13" s="36">
        <f>E12*(1+Inputs!$C$7)</f>
        <v>79960.185084177341</v>
      </c>
      <c r="F13" s="36">
        <f t="shared" si="0"/>
        <v>469766.08736954193</v>
      </c>
      <c r="H13" s="36">
        <f>C13*Inputs!$C$13</f>
        <v>2038984.7196465223</v>
      </c>
      <c r="I13" s="36">
        <f>D13*Inputs!$C$14</f>
        <v>899552.08219699503</v>
      </c>
      <c r="J13" s="36">
        <f>E13*Inputs!$C$15</f>
        <v>799601.85084177344</v>
      </c>
      <c r="K13" s="36">
        <f t="shared" si="1"/>
        <v>3738138.6526852911</v>
      </c>
      <c r="M13" s="36">
        <f>C13*Inputs!$C$16</f>
        <v>28785666.630303845</v>
      </c>
      <c r="N13" s="36">
        <f>+D13*Inputs!$C$17</f>
        <v>14242907.968119089</v>
      </c>
      <c r="O13" s="36">
        <f>+E13*Inputs!$C$18</f>
        <v>4797611.1050506402</v>
      </c>
      <c r="P13" s="36">
        <f t="shared" si="2"/>
        <v>47826185.703473568</v>
      </c>
      <c r="R13" s="37">
        <f>K13*(Inputs!$C$19)*(1+Inputs!$C$20)^('Projection - Base'!B13-'Projection - Base'!$B$4)/100000</f>
        <v>4894.8939487694051</v>
      </c>
      <c r="S13" s="37">
        <f>P13*(Inputs!$C$21)*(1+Inputs!$C$22)^('Projection - Base'!B13-'Projection - Base'!$B$4)/100000</f>
        <v>4680.1743443047426</v>
      </c>
      <c r="U13" s="38">
        <f>H13*Inputs!$C$25/1000</f>
        <v>5464.4790486526799</v>
      </c>
      <c r="V13" s="38">
        <f>I13*Inputs!$C$25/1000</f>
        <v>2410.7995802879468</v>
      </c>
      <c r="W13" s="38">
        <f>J13*Inputs!$C$25/1000</f>
        <v>2142.9329602559528</v>
      </c>
      <c r="X13" s="38">
        <f t="shared" si="3"/>
        <v>10018.21158919658</v>
      </c>
      <c r="Z13" s="38">
        <f>M13*Inputs!$C$26/1000</f>
        <v>23604.246636849151</v>
      </c>
      <c r="AA13" s="38">
        <f>N13*Inputs!$C$26/1000</f>
        <v>11679.184533857651</v>
      </c>
      <c r="AB13" s="38">
        <f>O13*Inputs!$C$26/1000</f>
        <v>3934.0411061415248</v>
      </c>
      <c r="AC13" s="38">
        <f t="shared" si="4"/>
        <v>39217.472276848326</v>
      </c>
      <c r="AE13" s="38">
        <f t="shared" si="5"/>
        <v>49235.683866044907</v>
      </c>
      <c r="AG13" s="37">
        <f t="array" ref="AG13">SUMPRODUCT(U13:W13,TRANSPOSE(Inputs!$C$8:$C$10))</f>
        <v>3546.5540492236019</v>
      </c>
      <c r="AH13" s="37">
        <f t="array" ref="AH13">SUMPRODUCT(Z13:AB13,TRANSPOSE(Inputs!$C$8:$C$10))</f>
        <v>14887.886811054334</v>
      </c>
      <c r="AI13" s="37">
        <f t="shared" si="6"/>
        <v>18434.440860277937</v>
      </c>
      <c r="AK13" s="39">
        <f>Inputs!$C$29</f>
        <v>200</v>
      </c>
      <c r="AM13" s="39">
        <f>Inputs!$C$30</f>
        <v>50</v>
      </c>
      <c r="AO13" s="40">
        <f t="shared" si="7"/>
        <v>9575.0682930741477</v>
      </c>
      <c r="AP13" s="40">
        <f t="shared" si="8"/>
        <v>98.471367732089817</v>
      </c>
      <c r="AQ13" s="40">
        <f>AI13*Inputs!$C$31*AM13/100000</f>
        <v>829.54983871250715</v>
      </c>
      <c r="AR13" s="40">
        <f t="shared" si="9"/>
        <v>10503.089499518745</v>
      </c>
    </row>
    <row r="14" spans="2:44" ht="14.25" customHeight="1" x14ac:dyDescent="0.35">
      <c r="B14" s="41" t="s">
        <v>93</v>
      </c>
      <c r="C14" s="42">
        <f>SUM(C4:C13)</f>
        <v>1738387.495909181</v>
      </c>
      <c r="D14" s="42">
        <f>SUM(D4:D13)</f>
        <v>1086492.1849432378</v>
      </c>
      <c r="E14" s="42">
        <f>SUM(E4:E13)</f>
        <v>579462.49863639357</v>
      </c>
      <c r="F14" s="42">
        <f>SUM(F4:F13)</f>
        <v>3404342.1794888121</v>
      </c>
      <c r="G14" s="42"/>
      <c r="H14" s="42">
        <f>SUM(H4:H13)</f>
        <v>14776293.715228036</v>
      </c>
      <c r="I14" s="42">
        <f>SUM(I4:I13)</f>
        <v>6518953.1096594268</v>
      </c>
      <c r="J14" s="42">
        <f>SUM(J4:J13)</f>
        <v>5794624.9863639353</v>
      </c>
      <c r="K14" s="42">
        <f>SUM(K4:K13)</f>
        <v>27089871.811251402</v>
      </c>
      <c r="L14" s="42"/>
      <c r="M14" s="42">
        <f>SUM(M4:M13)</f>
        <v>208606499.50910169</v>
      </c>
      <c r="N14" s="42">
        <f>SUM(N4:N13)</f>
        <v>103216757.56960759</v>
      </c>
      <c r="O14" s="42">
        <f>SUM(O4:O13)</f>
        <v>34767749.918183617</v>
      </c>
      <c r="P14" s="42">
        <f>SUM(P4:P13)</f>
        <v>346591006.99689293</v>
      </c>
      <c r="Q14" s="42"/>
      <c r="R14" s="42">
        <f>SUM(R4:R13)</f>
        <v>30661.890286183374</v>
      </c>
      <c r="S14" s="42">
        <f>SUM(S4:S13)</f>
        <v>30354.545734916319</v>
      </c>
      <c r="T14" s="42"/>
      <c r="U14" s="42">
        <f>SUM(U4:U13)</f>
        <v>39600.467156811137</v>
      </c>
      <c r="V14" s="42">
        <f>SUM(V4:V13)</f>
        <v>17470.794333887265</v>
      </c>
      <c r="W14" s="42">
        <f>SUM(W4:W13)</f>
        <v>15529.594963455347</v>
      </c>
      <c r="X14" s="42">
        <f>SUM(X4:X13)</f>
        <v>72600.856454153749</v>
      </c>
      <c r="Y14" s="42"/>
      <c r="Z14" s="42">
        <f>SUM(Z4:Z13)</f>
        <v>171057.32959746339</v>
      </c>
      <c r="AA14" s="42">
        <f>SUM(AA4:AA13)</f>
        <v>84637.74120707823</v>
      </c>
      <c r="AB14" s="42">
        <f>SUM(AB4:AB13)</f>
        <v>28509.55493291056</v>
      </c>
      <c r="AC14" s="42">
        <f>SUM(AC4:AC13)</f>
        <v>284204.62573745212</v>
      </c>
      <c r="AD14" s="42"/>
      <c r="AE14" s="42">
        <f>SUM(AE4:AE13)</f>
        <v>356805.48219160596</v>
      </c>
      <c r="AF14" s="42"/>
      <c r="AG14" s="42">
        <f>SUM(AG4:AG13)</f>
        <v>25701.4796645186</v>
      </c>
      <c r="AH14" s="42">
        <f>SUM(AH4:AH13)</f>
        <v>107890.84694923341</v>
      </c>
      <c r="AI14" s="42">
        <f>SUM(AI4:AI13)</f>
        <v>133592.326613752</v>
      </c>
      <c r="AJ14" s="42"/>
      <c r="AK14" s="42">
        <f>SUM(AK4:AK13)</f>
        <v>2000</v>
      </c>
      <c r="AL14" s="42"/>
      <c r="AM14" s="42">
        <f>SUM(AM4:AM13)</f>
        <v>500</v>
      </c>
      <c r="AN14" s="42"/>
      <c r="AO14" s="42">
        <f>SUM(AO4:AO13)</f>
        <v>61016.436021099697</v>
      </c>
      <c r="AP14" s="42">
        <f>SUM(AP4:AP13)</f>
        <v>713.61096438321181</v>
      </c>
      <c r="AQ14" s="42">
        <f>SUM(AQ4:AQ13)</f>
        <v>6011.6546976188411</v>
      </c>
      <c r="AR14" s="43">
        <f>SUM(AR4:AR13)</f>
        <v>67741.701683101739</v>
      </c>
    </row>
    <row r="15" spans="2:44" ht="14.25" customHeight="1" x14ac:dyDescent="0.35">
      <c r="B15" s="15"/>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row>
    <row r="16" spans="2:44" ht="14.25" customHeight="1" x14ac:dyDescent="0.35">
      <c r="B16" s="41" t="s">
        <v>141</v>
      </c>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74" t="str">
        <f>IF(ROUND(AE14-AC14-X14,2)=0,"OK","Not OK")</f>
        <v>OK</v>
      </c>
      <c r="AF16" s="42"/>
      <c r="AG16" s="42"/>
      <c r="AH16" s="42"/>
      <c r="AI16" s="42"/>
      <c r="AJ16" s="42"/>
      <c r="AK16" s="42"/>
      <c r="AL16" s="42"/>
      <c r="AM16" s="42"/>
      <c r="AN16" s="42"/>
      <c r="AO16" s="42"/>
      <c r="AP16" s="75" t="str">
        <f>IF(ROUND(AP14-AK13*AE14/100000,2)=0,"OK","Not OK")</f>
        <v>OK</v>
      </c>
      <c r="AQ16" s="42"/>
      <c r="AR16" s="75" t="str">
        <f>IF(ROUND(AR14-SUM(AO14:AQ14),2)=0,"OK","Not OK")</f>
        <v>OK</v>
      </c>
    </row>
    <row r="17" spans="2:44" ht="14.25" customHeight="1" x14ac:dyDescent="0.35">
      <c r="B17" s="44" t="s">
        <v>115</v>
      </c>
      <c r="AO17" s="45">
        <f>NPV(Inputs!$C$32,AO4:AO13)</f>
        <v>36203.300378763794</v>
      </c>
      <c r="AP17" s="45">
        <f>NPV(Inputs!$C$32,AP4:AP13)</f>
        <v>433.72005081791053</v>
      </c>
      <c r="AQ17" s="45">
        <f>NPV(Inputs!$C$32,AQ4:AQ13)</f>
        <v>3653.7767930802188</v>
      </c>
      <c r="AR17" s="45">
        <f>NPV(Inputs!$C$32,AR4:AR13)</f>
        <v>40290.797222661917</v>
      </c>
    </row>
    <row r="18" spans="2:44" ht="14.25" customHeight="1" x14ac:dyDescent="0.35">
      <c r="B18" s="44"/>
    </row>
    <row r="19" spans="2:44" ht="14.25" customHeight="1" x14ac:dyDescent="0.35">
      <c r="B19" s="46"/>
    </row>
    <row r="20" spans="2:44" ht="14.25" customHeight="1" x14ac:dyDescent="0.35">
      <c r="B20" s="47" t="s">
        <v>116</v>
      </c>
    </row>
    <row r="21" spans="2:44" ht="14.25" customHeight="1" x14ac:dyDescent="0.35">
      <c r="B21" s="15" t="s">
        <v>117</v>
      </c>
      <c r="C21" s="48">
        <f t="shared" ref="C21:F29" si="10">C5/C4-1</f>
        <v>8.0000000000000071E-2</v>
      </c>
      <c r="D21" s="48">
        <f t="shared" si="10"/>
        <v>8.0000000000000071E-2</v>
      </c>
      <c r="E21" s="48">
        <f t="shared" si="10"/>
        <v>8.0000000000000071E-2</v>
      </c>
      <c r="F21" s="48">
        <f t="shared" si="10"/>
        <v>8.0000000000000071E-2</v>
      </c>
      <c r="H21" s="48">
        <f t="shared" ref="H21:J29" si="11">H5/H4-1</f>
        <v>8.0000000000000293E-2</v>
      </c>
      <c r="I21" s="48">
        <f t="shared" si="11"/>
        <v>8.0000000000000071E-2</v>
      </c>
      <c r="J21" s="48">
        <f t="shared" si="11"/>
        <v>8.0000000000000071E-2</v>
      </c>
      <c r="K21" s="48"/>
      <c r="O21" s="48"/>
      <c r="R21" s="48">
        <f t="shared" ref="R21:S29" si="12">R5/R4-1</f>
        <v>0.1232000000000002</v>
      </c>
      <c r="S21" s="48">
        <f t="shared" si="12"/>
        <v>0.11240000000000006</v>
      </c>
      <c r="AO21" s="49"/>
      <c r="AP21" s="49"/>
      <c r="AQ21" s="49"/>
      <c r="AR21" s="49"/>
    </row>
    <row r="22" spans="2:44" ht="14.25" customHeight="1" x14ac:dyDescent="0.35">
      <c r="B22" s="15" t="s">
        <v>118</v>
      </c>
      <c r="C22" s="48">
        <f t="shared" si="10"/>
        <v>8.0000000000000071E-2</v>
      </c>
      <c r="D22" s="48">
        <f t="shared" si="10"/>
        <v>8.0000000000000071E-2</v>
      </c>
      <c r="E22" s="48">
        <f t="shared" si="10"/>
        <v>8.0000000000000071E-2</v>
      </c>
      <c r="F22" s="48">
        <f t="shared" si="10"/>
        <v>8.0000000000000071E-2</v>
      </c>
      <c r="H22" s="48">
        <f t="shared" si="11"/>
        <v>8.0000000000000071E-2</v>
      </c>
      <c r="I22" s="48">
        <f t="shared" si="11"/>
        <v>8.0000000000000071E-2</v>
      </c>
      <c r="J22" s="48">
        <f t="shared" si="11"/>
        <v>8.0000000000000071E-2</v>
      </c>
      <c r="K22" s="48"/>
      <c r="O22" s="48"/>
      <c r="R22" s="48">
        <f t="shared" si="12"/>
        <v>0.12319999999999998</v>
      </c>
      <c r="S22" s="48">
        <f t="shared" si="12"/>
        <v>0.11240000000000028</v>
      </c>
    </row>
    <row r="23" spans="2:44" ht="14.25" customHeight="1" x14ac:dyDescent="0.35">
      <c r="B23" s="15" t="s">
        <v>119</v>
      </c>
      <c r="C23" s="48">
        <f t="shared" si="10"/>
        <v>8.0000000000000071E-2</v>
      </c>
      <c r="D23" s="48">
        <f t="shared" si="10"/>
        <v>8.0000000000000071E-2</v>
      </c>
      <c r="E23" s="48">
        <f t="shared" si="10"/>
        <v>8.0000000000000071E-2</v>
      </c>
      <c r="F23" s="48">
        <f t="shared" si="10"/>
        <v>8.0000000000000071E-2</v>
      </c>
      <c r="H23" s="48">
        <f t="shared" si="11"/>
        <v>8.0000000000000071E-2</v>
      </c>
      <c r="I23" s="48">
        <f t="shared" si="11"/>
        <v>8.0000000000000071E-2</v>
      </c>
      <c r="J23" s="48">
        <f t="shared" si="11"/>
        <v>8.0000000000000071E-2</v>
      </c>
      <c r="K23" s="48"/>
      <c r="O23" s="48"/>
      <c r="R23" s="48">
        <f t="shared" si="12"/>
        <v>0.1232000000000002</v>
      </c>
      <c r="S23" s="48">
        <f t="shared" si="12"/>
        <v>0.11240000000000006</v>
      </c>
      <c r="AR23" s="41"/>
    </row>
    <row r="24" spans="2:44" ht="14.25" customHeight="1" x14ac:dyDescent="0.35">
      <c r="B24" s="50" t="s">
        <v>120</v>
      </c>
      <c r="C24" s="48">
        <f t="shared" si="10"/>
        <v>8.0000000000000071E-2</v>
      </c>
      <c r="D24" s="48">
        <f t="shared" si="10"/>
        <v>8.0000000000000071E-2</v>
      </c>
      <c r="E24" s="48">
        <f t="shared" si="10"/>
        <v>8.0000000000000071E-2</v>
      </c>
      <c r="F24" s="48">
        <f t="shared" si="10"/>
        <v>8.0000000000000071E-2</v>
      </c>
      <c r="H24" s="48">
        <f t="shared" si="11"/>
        <v>8.0000000000000071E-2</v>
      </c>
      <c r="I24" s="48">
        <f t="shared" si="11"/>
        <v>8.0000000000000071E-2</v>
      </c>
      <c r="J24" s="48">
        <f t="shared" si="11"/>
        <v>8.0000000000000071E-2</v>
      </c>
      <c r="K24" s="48"/>
      <c r="O24" s="48"/>
      <c r="R24" s="48">
        <f t="shared" si="12"/>
        <v>0.1232000000000002</v>
      </c>
      <c r="S24" s="48">
        <f t="shared" si="12"/>
        <v>0.11240000000000006</v>
      </c>
    </row>
    <row r="25" spans="2:44" ht="14.25" customHeight="1" x14ac:dyDescent="0.35">
      <c r="B25" s="50" t="s">
        <v>121</v>
      </c>
      <c r="C25" s="48">
        <f t="shared" si="10"/>
        <v>8.0000000000000071E-2</v>
      </c>
      <c r="D25" s="48">
        <f t="shared" si="10"/>
        <v>8.0000000000000071E-2</v>
      </c>
      <c r="E25" s="48">
        <f t="shared" si="10"/>
        <v>8.0000000000000071E-2</v>
      </c>
      <c r="F25" s="48">
        <f t="shared" si="10"/>
        <v>8.0000000000000293E-2</v>
      </c>
      <c r="H25" s="48">
        <f t="shared" si="11"/>
        <v>8.0000000000000293E-2</v>
      </c>
      <c r="I25" s="48">
        <f t="shared" si="11"/>
        <v>8.0000000000000071E-2</v>
      </c>
      <c r="J25" s="48">
        <f t="shared" si="11"/>
        <v>8.0000000000000071E-2</v>
      </c>
      <c r="K25" s="48"/>
      <c r="O25" s="48"/>
      <c r="R25" s="48">
        <f t="shared" si="12"/>
        <v>0.12320000000000042</v>
      </c>
      <c r="S25" s="48">
        <f t="shared" si="12"/>
        <v>0.11240000000000006</v>
      </c>
    </row>
    <row r="26" spans="2:44" ht="14.25" customHeight="1" x14ac:dyDescent="0.35">
      <c r="B26" s="50" t="s">
        <v>122</v>
      </c>
      <c r="C26" s="48">
        <f t="shared" si="10"/>
        <v>8.0000000000000071E-2</v>
      </c>
      <c r="D26" s="48">
        <f t="shared" si="10"/>
        <v>8.0000000000000071E-2</v>
      </c>
      <c r="E26" s="48">
        <f t="shared" si="10"/>
        <v>8.0000000000000071E-2</v>
      </c>
      <c r="F26" s="48">
        <f t="shared" si="10"/>
        <v>8.0000000000000071E-2</v>
      </c>
      <c r="H26" s="48">
        <f t="shared" si="11"/>
        <v>8.0000000000000071E-2</v>
      </c>
      <c r="I26" s="48">
        <f t="shared" si="11"/>
        <v>8.0000000000000071E-2</v>
      </c>
      <c r="J26" s="48">
        <f t="shared" si="11"/>
        <v>8.0000000000000293E-2</v>
      </c>
      <c r="K26" s="48"/>
      <c r="O26" s="48"/>
      <c r="R26" s="48">
        <f t="shared" si="12"/>
        <v>0.1232000000000002</v>
      </c>
      <c r="S26" s="48">
        <f t="shared" si="12"/>
        <v>0.11240000000000006</v>
      </c>
    </row>
    <row r="27" spans="2:44" ht="14.25" customHeight="1" x14ac:dyDescent="0.35">
      <c r="B27" s="50" t="s">
        <v>123</v>
      </c>
      <c r="C27" s="48">
        <f t="shared" si="10"/>
        <v>8.0000000000000071E-2</v>
      </c>
      <c r="D27" s="48">
        <f t="shared" si="10"/>
        <v>8.0000000000000071E-2</v>
      </c>
      <c r="E27" s="48">
        <f t="shared" si="10"/>
        <v>8.0000000000000293E-2</v>
      </c>
      <c r="F27" s="48">
        <f t="shared" si="10"/>
        <v>8.0000000000000071E-2</v>
      </c>
      <c r="H27" s="48">
        <f t="shared" si="11"/>
        <v>7.9999999999999849E-2</v>
      </c>
      <c r="I27" s="48">
        <f t="shared" si="11"/>
        <v>8.0000000000000071E-2</v>
      </c>
      <c r="J27" s="48">
        <f t="shared" si="11"/>
        <v>8.0000000000000293E-2</v>
      </c>
      <c r="K27" s="48"/>
      <c r="O27" s="48"/>
      <c r="R27" s="48">
        <f t="shared" si="12"/>
        <v>0.12319999999999998</v>
      </c>
      <c r="S27" s="48">
        <f t="shared" si="12"/>
        <v>0.11240000000000006</v>
      </c>
    </row>
    <row r="28" spans="2:44" ht="14.25" customHeight="1" x14ac:dyDescent="0.35">
      <c r="B28" s="50" t="s">
        <v>124</v>
      </c>
      <c r="C28" s="48">
        <f t="shared" si="10"/>
        <v>8.0000000000000071E-2</v>
      </c>
      <c r="D28" s="48">
        <f t="shared" si="10"/>
        <v>8.0000000000000071E-2</v>
      </c>
      <c r="E28" s="48">
        <f t="shared" si="10"/>
        <v>8.0000000000000071E-2</v>
      </c>
      <c r="F28" s="48">
        <f t="shared" si="10"/>
        <v>8.0000000000000071E-2</v>
      </c>
      <c r="H28" s="48">
        <f t="shared" si="11"/>
        <v>8.0000000000000071E-2</v>
      </c>
      <c r="I28" s="48">
        <f t="shared" si="11"/>
        <v>8.0000000000000071E-2</v>
      </c>
      <c r="J28" s="48">
        <f t="shared" si="11"/>
        <v>8.0000000000000071E-2</v>
      </c>
      <c r="K28" s="48"/>
      <c r="O28" s="48"/>
      <c r="R28" s="48">
        <f t="shared" si="12"/>
        <v>0.12319999999999998</v>
      </c>
      <c r="S28" s="48">
        <f t="shared" si="12"/>
        <v>0.11240000000000006</v>
      </c>
    </row>
    <row r="29" spans="2:44" ht="14.25" customHeight="1" x14ac:dyDescent="0.35">
      <c r="B29" s="50" t="s">
        <v>125</v>
      </c>
      <c r="C29" s="48">
        <f t="shared" si="10"/>
        <v>8.0000000000000071E-2</v>
      </c>
      <c r="D29" s="48">
        <f t="shared" si="10"/>
        <v>8.0000000000000071E-2</v>
      </c>
      <c r="E29" s="48">
        <f t="shared" si="10"/>
        <v>8.0000000000000071E-2</v>
      </c>
      <c r="F29" s="48">
        <f t="shared" si="10"/>
        <v>8.0000000000000293E-2</v>
      </c>
      <c r="H29" s="48">
        <f t="shared" si="11"/>
        <v>8.0000000000000071E-2</v>
      </c>
      <c r="I29" s="48">
        <f t="shared" si="11"/>
        <v>8.0000000000000071E-2</v>
      </c>
      <c r="J29" s="48">
        <f t="shared" si="11"/>
        <v>8.0000000000000293E-2</v>
      </c>
      <c r="K29" s="48"/>
      <c r="O29" s="48"/>
      <c r="R29" s="48">
        <f t="shared" si="12"/>
        <v>0.12320000000000042</v>
      </c>
      <c r="S29" s="48">
        <f t="shared" si="12"/>
        <v>0.11240000000000006</v>
      </c>
    </row>
    <row r="30" spans="2:44" ht="14.25" customHeight="1" x14ac:dyDescent="0.35">
      <c r="B30" s="15"/>
      <c r="C30" s="36"/>
      <c r="D30" s="36"/>
      <c r="E30" s="36"/>
      <c r="F30" s="36"/>
      <c r="H30" s="36"/>
      <c r="I30" s="36"/>
      <c r="J30" s="36"/>
      <c r="K30" s="36"/>
      <c r="O30" s="36"/>
      <c r="P30" s="36"/>
      <c r="R30" s="40"/>
      <c r="S30" s="40"/>
      <c r="AG30" s="37"/>
      <c r="AH30" s="37"/>
      <c r="AI30" s="37"/>
      <c r="AK30" s="39"/>
      <c r="AM30" s="39"/>
      <c r="AO30" s="40"/>
      <c r="AP30" s="40"/>
      <c r="AQ30" s="40"/>
      <c r="AR30" s="40"/>
    </row>
    <row r="31" spans="2:44" ht="13.5" customHeight="1" x14ac:dyDescent="0.35">
      <c r="B31" s="51" t="s">
        <v>126</v>
      </c>
    </row>
    <row r="32" spans="2:44" ht="14.25" customHeight="1" x14ac:dyDescent="0.35">
      <c r="B32" s="50" t="s">
        <v>117</v>
      </c>
      <c r="R32" s="48">
        <f t="shared" ref="R32:R40" si="13">(1+R21)/(1+F21)-1</f>
        <v>4.0000000000000036E-2</v>
      </c>
      <c r="S32" s="48">
        <f t="shared" ref="S32:S40" si="14">(1+S21)/(1+F21)-1</f>
        <v>3.0000000000000027E-2</v>
      </c>
    </row>
    <row r="33" spans="2:19" ht="14.25" customHeight="1" x14ac:dyDescent="0.35">
      <c r="B33" s="50" t="s">
        <v>118</v>
      </c>
      <c r="R33" s="48">
        <f t="shared" si="13"/>
        <v>3.9999999999999813E-2</v>
      </c>
      <c r="S33" s="48">
        <f t="shared" si="14"/>
        <v>3.0000000000000249E-2</v>
      </c>
    </row>
    <row r="34" spans="2:19" ht="14.25" customHeight="1" x14ac:dyDescent="0.35">
      <c r="B34" s="50" t="s">
        <v>119</v>
      </c>
      <c r="R34" s="48">
        <f t="shared" si="13"/>
        <v>4.0000000000000036E-2</v>
      </c>
      <c r="S34" s="48">
        <f t="shared" si="14"/>
        <v>3.0000000000000027E-2</v>
      </c>
    </row>
    <row r="35" spans="2:19" ht="14.25" customHeight="1" x14ac:dyDescent="0.35">
      <c r="B35" s="50" t="s">
        <v>120</v>
      </c>
      <c r="R35" s="48">
        <f t="shared" si="13"/>
        <v>4.0000000000000036E-2</v>
      </c>
      <c r="S35" s="48">
        <f t="shared" si="14"/>
        <v>3.0000000000000027E-2</v>
      </c>
    </row>
    <row r="36" spans="2:19" ht="14.25" customHeight="1" x14ac:dyDescent="0.35">
      <c r="B36" s="50" t="s">
        <v>121</v>
      </c>
      <c r="R36" s="48">
        <f t="shared" si="13"/>
        <v>4.0000000000000036E-2</v>
      </c>
      <c r="S36" s="48">
        <f t="shared" si="14"/>
        <v>2.9999999999999805E-2</v>
      </c>
    </row>
    <row r="37" spans="2:19" ht="14.25" customHeight="1" x14ac:dyDescent="0.35">
      <c r="B37" s="50" t="s">
        <v>122</v>
      </c>
      <c r="R37" s="48">
        <f t="shared" si="13"/>
        <v>4.0000000000000036E-2</v>
      </c>
      <c r="S37" s="48">
        <f t="shared" si="14"/>
        <v>3.0000000000000027E-2</v>
      </c>
    </row>
    <row r="38" spans="2:19" ht="14.25" customHeight="1" x14ac:dyDescent="0.35">
      <c r="B38" s="50" t="s">
        <v>123</v>
      </c>
      <c r="R38" s="48">
        <f t="shared" si="13"/>
        <v>3.9999999999999813E-2</v>
      </c>
      <c r="S38" s="48">
        <f t="shared" si="14"/>
        <v>3.0000000000000027E-2</v>
      </c>
    </row>
    <row r="39" spans="2:19" ht="14.25" customHeight="1" x14ac:dyDescent="0.35">
      <c r="B39" s="50" t="s">
        <v>124</v>
      </c>
      <c r="R39" s="48">
        <f t="shared" si="13"/>
        <v>3.9999999999999813E-2</v>
      </c>
      <c r="S39" s="48">
        <f t="shared" si="14"/>
        <v>3.0000000000000027E-2</v>
      </c>
    </row>
    <row r="40" spans="2:19" ht="14.25" customHeight="1" x14ac:dyDescent="0.35">
      <c r="B40" s="50" t="s">
        <v>125</v>
      </c>
      <c r="R40" s="48">
        <f t="shared" si="13"/>
        <v>4.0000000000000036E-2</v>
      </c>
      <c r="S40" s="48">
        <f t="shared" si="14"/>
        <v>2.9999999999999805E-2</v>
      </c>
    </row>
  </sheetData>
  <mergeCells count="9">
    <mergeCell ref="Z2:AC2"/>
    <mergeCell ref="AE2:AE3"/>
    <mergeCell ref="AG2:AI2"/>
    <mergeCell ref="AO2:AR2"/>
    <mergeCell ref="C2:F2"/>
    <mergeCell ref="H2:K2"/>
    <mergeCell ref="M2:P2"/>
    <mergeCell ref="R2:S2"/>
    <mergeCell ref="U2:X2"/>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M39"/>
  <sheetViews>
    <sheetView showGridLines="0" zoomScale="70" zoomScaleNormal="70" workbookViewId="0">
      <pane xSplit="2" ySplit="3" topLeftCell="C4" activePane="bottomRight" state="frozen"/>
      <selection pane="topRight" activeCell="AS1" sqref="AS1"/>
      <selection pane="bottomLeft" activeCell="A4" sqref="A4"/>
      <selection pane="bottomRight" activeCell="C4" sqref="C4"/>
    </sheetView>
  </sheetViews>
  <sheetFormatPr defaultColWidth="8.54296875" defaultRowHeight="14.5" x14ac:dyDescent="0.35"/>
  <cols>
    <col min="1" max="1" width="2.54296875" style="35" customWidth="1"/>
    <col min="2" max="6" width="12.54296875" style="35" customWidth="1"/>
    <col min="7" max="7" width="2.54296875" style="35" customWidth="1"/>
    <col min="8" max="12" width="12.54296875" style="35" customWidth="1"/>
    <col min="13" max="13" width="2.54296875" style="35" customWidth="1"/>
    <col min="14" max="16" width="15.453125" style="35" customWidth="1"/>
    <col min="17" max="17" width="12.54296875" style="35" customWidth="1"/>
    <col min="18" max="18" width="2.54296875" style="35" customWidth="1"/>
    <col min="19" max="19" width="10.1796875" customWidth="1"/>
    <col min="20" max="20" width="11.54296875" customWidth="1"/>
    <col min="21" max="21" width="9.1796875" customWidth="1"/>
    <col min="22" max="22" width="10.1796875" customWidth="1"/>
    <col min="23" max="23" width="8.1796875" customWidth="1"/>
    <col min="24" max="24" width="2.54296875" customWidth="1"/>
    <col min="25" max="25" width="13.81640625" customWidth="1"/>
    <col min="26" max="26" width="17" customWidth="1"/>
    <col min="27" max="27" width="9.1796875" customWidth="1"/>
    <col min="28" max="28" width="10.1796875" customWidth="1"/>
    <col min="29" max="29" width="8.1796875" customWidth="1"/>
    <col min="30" max="30" width="2.54296875" style="35" customWidth="1"/>
    <col min="31" max="34" width="12.54296875" style="35" customWidth="1"/>
    <col min="35" max="35" width="2.54296875" style="35" customWidth="1"/>
    <col min="36" max="36" width="13.54296875" style="35" customWidth="1"/>
    <col min="37" max="37" width="11.81640625" style="35" customWidth="1"/>
    <col min="38" max="38" width="12.7265625" style="35" customWidth="1"/>
    <col min="39" max="39" width="15" style="35" customWidth="1"/>
    <col min="40" max="40" width="2.54296875" style="35" customWidth="1"/>
    <col min="41" max="41" width="13.54296875" style="35" customWidth="1"/>
    <col min="42" max="42" width="11.81640625" style="35" customWidth="1"/>
    <col min="43" max="43" width="12.7265625" style="35" customWidth="1"/>
    <col min="44" max="44" width="13.81640625" style="35" customWidth="1"/>
    <col min="45" max="45" width="2.54296875" style="35" customWidth="1"/>
    <col min="46" max="46" width="13.54296875" customWidth="1"/>
    <col min="47" max="47" width="11.81640625" customWidth="1"/>
    <col min="48" max="48" width="12.7265625" customWidth="1"/>
    <col min="49" max="49" width="13.81640625" customWidth="1"/>
    <col min="50" max="50" width="2.54296875" style="35" customWidth="1"/>
    <col min="51" max="51" width="13.81640625" style="35" customWidth="1"/>
    <col min="52" max="52" width="2.54296875" customWidth="1"/>
    <col min="53" max="56" width="12.54296875" style="35" customWidth="1"/>
    <col min="57" max="57" width="2.54296875" style="35" customWidth="1"/>
    <col min="58" max="58" width="12.54296875" style="35" customWidth="1"/>
    <col min="59" max="59" width="2.54296875" style="35" customWidth="1"/>
    <col min="60" max="60" width="12.54296875" style="35" customWidth="1"/>
    <col min="61" max="61" width="2.54296875" style="35" customWidth="1"/>
    <col min="62" max="65" width="12.54296875" style="35" customWidth="1"/>
    <col min="66" max="16384" width="8.54296875" style="35"/>
  </cols>
  <sheetData>
    <row r="2" spans="2:65" ht="24.75" customHeight="1" x14ac:dyDescent="0.35">
      <c r="C2" s="110" t="s">
        <v>81</v>
      </c>
      <c r="D2" s="110"/>
      <c r="E2" s="110"/>
      <c r="F2" s="110"/>
      <c r="H2" s="110" t="s">
        <v>82</v>
      </c>
      <c r="I2" s="110"/>
      <c r="J2" s="110"/>
      <c r="K2" s="110"/>
      <c r="L2" s="6"/>
      <c r="N2" s="110" t="s">
        <v>83</v>
      </c>
      <c r="O2" s="110"/>
      <c r="P2" s="110"/>
      <c r="Q2" s="110"/>
      <c r="S2" s="112" t="s">
        <v>127</v>
      </c>
      <c r="T2" s="112"/>
      <c r="U2" s="112"/>
      <c r="V2" s="112"/>
      <c r="W2" s="112"/>
      <c r="Y2" s="112" t="s">
        <v>128</v>
      </c>
      <c r="Z2" s="112"/>
      <c r="AA2" s="112"/>
      <c r="AB2" s="112"/>
      <c r="AC2" s="112"/>
      <c r="AE2" s="110" t="s">
        <v>84</v>
      </c>
      <c r="AF2" s="110"/>
      <c r="AG2" s="110"/>
      <c r="AH2" s="110"/>
      <c r="AJ2" s="110" t="s">
        <v>85</v>
      </c>
      <c r="AK2" s="110"/>
      <c r="AL2" s="110"/>
      <c r="AM2" s="110"/>
      <c r="AO2" s="110" t="s">
        <v>86</v>
      </c>
      <c r="AP2" s="110"/>
      <c r="AQ2" s="110"/>
      <c r="AR2" s="110"/>
      <c r="AT2" s="110" t="s">
        <v>129</v>
      </c>
      <c r="AU2" s="110"/>
      <c r="AV2" s="110"/>
      <c r="AW2" s="110"/>
      <c r="AY2" s="110" t="s">
        <v>87</v>
      </c>
      <c r="BA2" s="110" t="s">
        <v>88</v>
      </c>
      <c r="BB2" s="110"/>
      <c r="BC2" s="110"/>
      <c r="BD2" s="110"/>
      <c r="BF2" s="6"/>
      <c r="BH2" s="6"/>
      <c r="BJ2" s="110" t="s">
        <v>89</v>
      </c>
      <c r="BK2" s="110"/>
      <c r="BL2" s="110"/>
      <c r="BM2" s="110"/>
    </row>
    <row r="3" spans="2:65" ht="51.75" customHeight="1" x14ac:dyDescent="0.35">
      <c r="B3" s="6" t="s">
        <v>78</v>
      </c>
      <c r="C3" s="6" t="s">
        <v>90</v>
      </c>
      <c r="D3" s="6" t="s">
        <v>91</v>
      </c>
      <c r="E3" s="6" t="s">
        <v>92</v>
      </c>
      <c r="F3" s="6" t="s">
        <v>93</v>
      </c>
      <c r="H3" s="6" t="s">
        <v>94</v>
      </c>
      <c r="I3" s="6" t="s">
        <v>95</v>
      </c>
      <c r="J3" s="6" t="s">
        <v>96</v>
      </c>
      <c r="K3" s="6" t="s">
        <v>93</v>
      </c>
      <c r="L3" s="52" t="s">
        <v>130</v>
      </c>
      <c r="N3" s="6" t="s">
        <v>97</v>
      </c>
      <c r="O3" s="6" t="s">
        <v>98</v>
      </c>
      <c r="P3" s="6" t="s">
        <v>99</v>
      </c>
      <c r="Q3" s="6" t="s">
        <v>100</v>
      </c>
      <c r="S3" s="6" t="s">
        <v>131</v>
      </c>
      <c r="T3" s="6" t="s">
        <v>132</v>
      </c>
      <c r="U3" s="6" t="s">
        <v>133</v>
      </c>
      <c r="V3" s="6" t="s">
        <v>93</v>
      </c>
      <c r="W3" s="52" t="s">
        <v>134</v>
      </c>
      <c r="Y3" s="6" t="s">
        <v>135</v>
      </c>
      <c r="Z3" s="6" t="s">
        <v>136</v>
      </c>
      <c r="AA3" s="6" t="s">
        <v>137</v>
      </c>
      <c r="AB3" s="6" t="s">
        <v>93</v>
      </c>
      <c r="AC3" s="52" t="s">
        <v>138</v>
      </c>
      <c r="AE3" s="6" t="s">
        <v>101</v>
      </c>
      <c r="AF3" s="6" t="s">
        <v>102</v>
      </c>
      <c r="AG3" s="6" t="s">
        <v>139</v>
      </c>
      <c r="AH3" s="6" t="s">
        <v>140</v>
      </c>
      <c r="AJ3" s="6" t="s">
        <v>103</v>
      </c>
      <c r="AK3" s="6" t="s">
        <v>104</v>
      </c>
      <c r="AL3" s="6" t="s">
        <v>105</v>
      </c>
      <c r="AM3" s="6" t="s">
        <v>106</v>
      </c>
      <c r="AO3" s="6" t="s">
        <v>103</v>
      </c>
      <c r="AP3" s="6" t="s">
        <v>104</v>
      </c>
      <c r="AQ3" s="6" t="s">
        <v>105</v>
      </c>
      <c r="AR3" s="6" t="s">
        <v>107</v>
      </c>
      <c r="AT3" s="6" t="s">
        <v>103</v>
      </c>
      <c r="AU3" s="6" t="s">
        <v>104</v>
      </c>
      <c r="AV3" s="6" t="s">
        <v>105</v>
      </c>
      <c r="AW3" s="6" t="s">
        <v>107</v>
      </c>
      <c r="AY3" s="110"/>
      <c r="BA3" s="6" t="s">
        <v>108</v>
      </c>
      <c r="BB3" s="6" t="s">
        <v>109</v>
      </c>
      <c r="BC3" s="6" t="s">
        <v>127</v>
      </c>
      <c r="BD3" s="6" t="s">
        <v>93</v>
      </c>
      <c r="BF3" s="6" t="s">
        <v>110</v>
      </c>
      <c r="BH3" s="6" t="s">
        <v>111</v>
      </c>
      <c r="BJ3" s="6" t="s">
        <v>112</v>
      </c>
      <c r="BK3" s="6" t="s">
        <v>113</v>
      </c>
      <c r="BL3" s="6" t="s">
        <v>114</v>
      </c>
      <c r="BM3" s="6" t="s">
        <v>93</v>
      </c>
    </row>
    <row r="4" spans="2:65" ht="14.25" customHeight="1" x14ac:dyDescent="0.35">
      <c r="B4" s="15">
        <v>1</v>
      </c>
      <c r="C4" s="36">
        <f>Inputs!C4</f>
        <v>120000</v>
      </c>
      <c r="D4" s="36">
        <f>Inputs!C5</f>
        <v>75000</v>
      </c>
      <c r="E4" s="36">
        <f>Inputs!C6</f>
        <v>40000</v>
      </c>
      <c r="F4" s="36">
        <f t="shared" ref="F4:F13" si="0">SUM(C4:E4)</f>
        <v>235000</v>
      </c>
      <c r="H4" s="36">
        <f>'Projection - Base'!H4*IF($B4&lt;3,100%,IF($B4&lt;6,70%,50%))</f>
        <v>1020000</v>
      </c>
      <c r="I4" s="36">
        <f>'Projection - Base'!I4*IF($B4&lt;3,100%,IF($B4&lt;6,70%,50%))</f>
        <v>450000</v>
      </c>
      <c r="J4" s="36">
        <f>'Projection - Base'!J4*IF($B4&lt;3,100%,IF($B4&lt;6,70%,50%))</f>
        <v>400000</v>
      </c>
      <c r="K4" s="36">
        <f t="shared" ref="K4:K13" si="1">SUM(H4:J4)</f>
        <v>1870000</v>
      </c>
      <c r="L4" s="53">
        <f>K4/'Projection - Base'!K4</f>
        <v>1</v>
      </c>
      <c r="N4" s="36">
        <f>C4*Inputs!$C$16</f>
        <v>14400000</v>
      </c>
      <c r="O4" s="36">
        <f>+D4*Inputs!$C$17</f>
        <v>7125000</v>
      </c>
      <c r="P4" s="36">
        <f>+E4*Inputs!$C$18</f>
        <v>2400000</v>
      </c>
      <c r="Q4" s="36">
        <f t="shared" ref="Q4:Q13" si="2">SUM(N4:P4)</f>
        <v>23925000</v>
      </c>
      <c r="S4" s="36">
        <f>IF($B4&lt;3,'Projection - Base'!H4*0,'Projection - Base'!H4*'Other Inputs'!$C$6)</f>
        <v>0</v>
      </c>
      <c r="T4" s="36">
        <f>IF($B4&lt;3,'Projection - Base'!I4*0,'Projection - Base'!I4*'Other Inputs'!$C$6)</f>
        <v>0</v>
      </c>
      <c r="U4" s="36">
        <f>IF($B4&lt;3,'Projection - Base'!J4*0,'Projection - Base'!J4*'Other Inputs'!$C$6)</f>
        <v>0</v>
      </c>
      <c r="V4" s="36">
        <f t="shared" ref="V4:V13" si="3">+SUM(S4:U4)</f>
        <v>0</v>
      </c>
      <c r="W4" s="53">
        <f>+V4/SUM('Projection - Base'!K4)</f>
        <v>0</v>
      </c>
      <c r="X4" s="35"/>
      <c r="Y4" s="36">
        <f>IF($B4&lt;6,'Projection - Base'!H4*0,'Projection - Base'!H4*'Other Inputs'!$C$7)</f>
        <v>0</v>
      </c>
      <c r="Z4" s="36">
        <f>IF($B4&lt;6,'Projection - Base'!I4*0,'Projection - Base'!I4*'Other Inputs'!$C$7)</f>
        <v>0</v>
      </c>
      <c r="AA4" s="36">
        <f>IF($B4&lt;6,'Projection - Base'!J4*0,'Projection - Base'!J4*'Other Inputs'!$C$7)</f>
        <v>0</v>
      </c>
      <c r="AB4" s="36">
        <f t="shared" ref="AB4:AB13" si="4">+SUM(Y4:AA4)</f>
        <v>0</v>
      </c>
      <c r="AC4" s="53">
        <f>AB4/SUM('Projection - Base'!K4)</f>
        <v>0</v>
      </c>
      <c r="AE4" s="37">
        <f>K4*(Inputs!$C$19)*(1+Inputs!$C$20)^('Projection - ScenarioA'!B4-'Projection - ScenarioA'!$B$4)/100000</f>
        <v>1720.4</v>
      </c>
      <c r="AF4" s="37">
        <f>Q4*(Inputs!$C$21)*(1+Inputs!$C$22)^('Projection - ScenarioA'!B4-'Projection - ScenarioA'!$B$4)/100000</f>
        <v>1794.375</v>
      </c>
      <c r="AG4" s="40">
        <f>+V4*'Other Inputs'!$C$9/100000*(1+Inputs!$C$20)^('Projection - Base'!$B4-1)</f>
        <v>0</v>
      </c>
      <c r="AH4" s="40">
        <f>+AB4*'Other Inputs'!$C$10/100000*(1+0)^('Projection - Base'!$B4-1)</f>
        <v>0</v>
      </c>
      <c r="AJ4" s="38">
        <f>H4*Inputs!$C$25/1000</f>
        <v>2733.6</v>
      </c>
      <c r="AK4" s="38">
        <f>I4*Inputs!$C$25/1000</f>
        <v>1206</v>
      </c>
      <c r="AL4" s="38">
        <f>J4*Inputs!$C$25/1000</f>
        <v>1072</v>
      </c>
      <c r="AM4" s="38">
        <f t="shared" ref="AM4:AM13" si="5">SUM(AJ4:AL4)</f>
        <v>5011.6000000000004</v>
      </c>
      <c r="AO4" s="38">
        <f>N4*Inputs!$C$26/1000</f>
        <v>11808</v>
      </c>
      <c r="AP4" s="38">
        <f>O4*Inputs!$C$26/1000</f>
        <v>5842.5</v>
      </c>
      <c r="AQ4" s="38">
        <f>P4*Inputs!$C$26/1000</f>
        <v>1967.9999999999998</v>
      </c>
      <c r="AR4" s="38">
        <f t="shared" ref="AR4:AR13" si="6">SUM(AO4:AQ4)</f>
        <v>19618.5</v>
      </c>
      <c r="AT4" s="37">
        <f>+S4*'Other Inputs'!$C$8/1000</f>
        <v>0</v>
      </c>
      <c r="AU4" s="37">
        <f>+T4*'Other Inputs'!$C$8/1000</f>
        <v>0</v>
      </c>
      <c r="AV4" s="37">
        <f>+U4*'Other Inputs'!$C$8/1000</f>
        <v>0</v>
      </c>
      <c r="AW4" s="38">
        <f t="shared" ref="AW4:AW13" si="7">SUM(AT4:AV4)</f>
        <v>0</v>
      </c>
      <c r="AY4" s="38">
        <f t="shared" ref="AY4:AY13" si="8">AR4+AM4+AW4</f>
        <v>24630.1</v>
      </c>
      <c r="AZ4" s="35"/>
      <c r="BA4" s="37">
        <f>AM4*'Other Inputs'!$C$11</f>
        <v>1754.06</v>
      </c>
      <c r="BB4" s="37">
        <f>AR4*'Other Inputs'!$C$11</f>
        <v>6866.4749999999995</v>
      </c>
      <c r="BC4" s="37">
        <f>AW4*'Other Inputs'!$C$11</f>
        <v>0</v>
      </c>
      <c r="BD4" s="37">
        <f t="shared" ref="BD4:BD13" si="9">BB4+BA4+BC4</f>
        <v>8620.5349999999999</v>
      </c>
      <c r="BF4" s="39">
        <f>Inputs!$C$29</f>
        <v>200</v>
      </c>
      <c r="BH4" s="39">
        <f>Inputs!$C$30</f>
        <v>50</v>
      </c>
      <c r="BJ4" s="40">
        <f t="shared" ref="BJ4:BJ13" si="10">SUM(AE4:AH4)</f>
        <v>3514.7750000000001</v>
      </c>
      <c r="BK4" s="40">
        <f t="shared" ref="BK4:BK13" si="11">AY4*BF4/100000</f>
        <v>49.260199999999998</v>
      </c>
      <c r="BL4" s="40">
        <f>BD4*Inputs!$C$31*BH4/100000</f>
        <v>387.92407500000002</v>
      </c>
      <c r="BM4" s="40">
        <f t="shared" ref="BM4:BM13" si="12">SUM(BJ4:BL4)</f>
        <v>3951.9592750000002</v>
      </c>
    </row>
    <row r="5" spans="2:65" ht="14.25" customHeight="1" x14ac:dyDescent="0.35">
      <c r="B5" s="15">
        <v>2</v>
      </c>
      <c r="C5" s="36">
        <f>C4*(1+Inputs!$C$7)</f>
        <v>129600.00000000001</v>
      </c>
      <c r="D5" s="36">
        <f>D4*(1+Inputs!$C$7)</f>
        <v>81000</v>
      </c>
      <c r="E5" s="36">
        <f>E4*(1+Inputs!$C$7)</f>
        <v>43200</v>
      </c>
      <c r="F5" s="36">
        <f t="shared" si="0"/>
        <v>253800</v>
      </c>
      <c r="H5" s="36">
        <f>'Projection - Base'!H5*IF($B5&lt;3,100%,IF($B5&lt;6,70%,50%))</f>
        <v>1101600.0000000002</v>
      </c>
      <c r="I5" s="36">
        <f>'Projection - Base'!I5*IF($B5&lt;3,100%,IF($B5&lt;6,70%,50%))</f>
        <v>486000</v>
      </c>
      <c r="J5" s="36">
        <f>'Projection - Base'!J5*IF($B5&lt;3,100%,IF($B5&lt;6,70%,50%))</f>
        <v>432000</v>
      </c>
      <c r="K5" s="36">
        <f t="shared" si="1"/>
        <v>2019600.0000000002</v>
      </c>
      <c r="L5" s="53">
        <f>K5/'Projection - Base'!K5</f>
        <v>1</v>
      </c>
      <c r="N5" s="36">
        <f>C5*Inputs!$C$16</f>
        <v>15552000.000000002</v>
      </c>
      <c r="O5" s="36">
        <f>+D5*Inputs!$C$17</f>
        <v>7695000</v>
      </c>
      <c r="P5" s="36">
        <f>+E5*Inputs!$C$18</f>
        <v>2592000</v>
      </c>
      <c r="Q5" s="36">
        <f t="shared" si="2"/>
        <v>25839000</v>
      </c>
      <c r="S5" s="36">
        <f>IF($B5&lt;3,'Projection - Base'!H5*0,'Projection - Base'!H5*'Other Inputs'!$C$6)</f>
        <v>0</v>
      </c>
      <c r="T5" s="36">
        <f>IF($B5&lt;3,'Projection - Base'!I5*0,'Projection - Base'!I5*'Other Inputs'!$C$6)</f>
        <v>0</v>
      </c>
      <c r="U5" s="36">
        <f>IF($B5&lt;3,'Projection - Base'!J5*0,'Projection - Base'!J5*'Other Inputs'!$C$6)</f>
        <v>0</v>
      </c>
      <c r="V5" s="36">
        <f t="shared" si="3"/>
        <v>0</v>
      </c>
      <c r="W5" s="53">
        <f>+V5/SUM('Projection - Base'!K5)</f>
        <v>0</v>
      </c>
      <c r="X5" s="35"/>
      <c r="Y5" s="36">
        <f>IF($B5&lt;6,'Projection - Base'!H5*0,'Projection - Base'!H5*'Other Inputs'!$C$7)</f>
        <v>0</v>
      </c>
      <c r="Z5" s="36">
        <f>IF($B5&lt;6,'Projection - Base'!I5*0,'Projection - Base'!I5*'Other Inputs'!$C$7)</f>
        <v>0</v>
      </c>
      <c r="AA5" s="36">
        <f>IF($B5&lt;6,'Projection - Base'!J5*0,'Projection - Base'!J5*'Other Inputs'!$C$7)</f>
        <v>0</v>
      </c>
      <c r="AB5" s="36">
        <f t="shared" si="4"/>
        <v>0</v>
      </c>
      <c r="AC5" s="53">
        <f>AB5/SUM('Projection - Base'!K5)</f>
        <v>0</v>
      </c>
      <c r="AE5" s="37">
        <f>K5*(Inputs!$C$19)*(1+Inputs!$C$20)^('Projection - ScenarioA'!B5-'Projection - ScenarioA'!$B$4)/100000</f>
        <v>1932.3532800000003</v>
      </c>
      <c r="AF5" s="37">
        <f>Q5*(Inputs!$C$21)*(1+Inputs!$C$22)^('Projection - ScenarioA'!B5-'Projection - ScenarioA'!$B$4)/100000</f>
        <v>1996.0627500000001</v>
      </c>
      <c r="AG5" s="40">
        <f>+V5*'Other Inputs'!$C$9/100000*(1+Inputs!$C$20)^('Projection - Base'!$B5-1)</f>
        <v>0</v>
      </c>
      <c r="AH5" s="40">
        <f>+AB5*'Other Inputs'!$C$10/100000*(1+0)^('Projection - Base'!$B5-1)</f>
        <v>0</v>
      </c>
      <c r="AJ5" s="38">
        <f>H5*Inputs!$C$25/1000</f>
        <v>2952.2880000000009</v>
      </c>
      <c r="AK5" s="38">
        <f>I5*Inputs!$C$25/1000</f>
        <v>1302.48</v>
      </c>
      <c r="AL5" s="38">
        <f>J5*Inputs!$C$25/1000</f>
        <v>1157.76</v>
      </c>
      <c r="AM5" s="38">
        <f t="shared" si="5"/>
        <v>5412.5280000000012</v>
      </c>
      <c r="AO5" s="38">
        <f>N5*Inputs!$C$26/1000</f>
        <v>12752.64</v>
      </c>
      <c r="AP5" s="38">
        <f>O5*Inputs!$C$26/1000</f>
        <v>6309.9</v>
      </c>
      <c r="AQ5" s="38">
        <f>P5*Inputs!$C$26/1000</f>
        <v>2125.44</v>
      </c>
      <c r="AR5" s="38">
        <f t="shared" si="6"/>
        <v>21187.98</v>
      </c>
      <c r="AT5" s="37">
        <f>+S5*'Other Inputs'!$C$8/1000</f>
        <v>0</v>
      </c>
      <c r="AU5" s="37">
        <f>+T5*'Other Inputs'!$C$8/1000</f>
        <v>0</v>
      </c>
      <c r="AV5" s="37">
        <f>+U5*'Other Inputs'!$C$8/1000</f>
        <v>0</v>
      </c>
      <c r="AW5" s="38">
        <f t="shared" si="7"/>
        <v>0</v>
      </c>
      <c r="AY5" s="38">
        <f t="shared" si="8"/>
        <v>26600.508000000002</v>
      </c>
      <c r="AZ5" s="35"/>
      <c r="BA5" s="37">
        <f>AM5*'Other Inputs'!$C$11</f>
        <v>1894.3848000000003</v>
      </c>
      <c r="BB5" s="37">
        <f>AR5*'Other Inputs'!$C$11</f>
        <v>7415.7929999999997</v>
      </c>
      <c r="BC5" s="37">
        <f>AW5*'Other Inputs'!$C$11</f>
        <v>0</v>
      </c>
      <c r="BD5" s="37">
        <f t="shared" si="9"/>
        <v>9310.1777999999995</v>
      </c>
      <c r="BF5" s="39">
        <f>Inputs!$C$29</f>
        <v>200</v>
      </c>
      <c r="BH5" s="39">
        <f>Inputs!$C$30</f>
        <v>50</v>
      </c>
      <c r="BJ5" s="40">
        <f t="shared" si="10"/>
        <v>3928.4160300000003</v>
      </c>
      <c r="BK5" s="40">
        <f t="shared" si="11"/>
        <v>53.201016000000003</v>
      </c>
      <c r="BL5" s="40">
        <f>BD5*Inputs!$C$31*BH5/100000</f>
        <v>418.95800100000002</v>
      </c>
      <c r="BM5" s="40">
        <f t="shared" si="12"/>
        <v>4400.5750470000003</v>
      </c>
    </row>
    <row r="6" spans="2:65" ht="14.25" customHeight="1" x14ac:dyDescent="0.35">
      <c r="B6" s="15">
        <v>3</v>
      </c>
      <c r="C6" s="36">
        <f>C5*(1+Inputs!$C$7)</f>
        <v>139968.00000000003</v>
      </c>
      <c r="D6" s="36">
        <f>D5*(1+Inputs!$C$7)</f>
        <v>87480</v>
      </c>
      <c r="E6" s="36">
        <f>E5*(1+Inputs!$C$7)</f>
        <v>46656</v>
      </c>
      <c r="F6" s="36">
        <f t="shared" si="0"/>
        <v>274104</v>
      </c>
      <c r="H6" s="36">
        <f>'Projection - Base'!H6*IF($B6&lt;3,100%,IF($B6&lt;6,70%,50%))</f>
        <v>832809.60000000009</v>
      </c>
      <c r="I6" s="36">
        <f>'Projection - Base'!I6*IF($B6&lt;3,100%,IF($B6&lt;6,70%,50%))</f>
        <v>367416</v>
      </c>
      <c r="J6" s="36">
        <f>'Projection - Base'!J6*IF($B6&lt;3,100%,IF($B6&lt;6,70%,50%))</f>
        <v>326592</v>
      </c>
      <c r="K6" s="36">
        <f t="shared" si="1"/>
        <v>1526817.6</v>
      </c>
      <c r="L6" s="53">
        <f>K6/'Projection - Base'!K6</f>
        <v>0.70000000000000007</v>
      </c>
      <c r="N6" s="36">
        <f>C6*Inputs!$C$16</f>
        <v>16796160.000000004</v>
      </c>
      <c r="O6" s="36">
        <f>+D6*Inputs!$C$17</f>
        <v>8310600</v>
      </c>
      <c r="P6" s="36">
        <f>+E6*Inputs!$C$18</f>
        <v>2799360</v>
      </c>
      <c r="Q6" s="36">
        <f t="shared" si="2"/>
        <v>27906120.000000004</v>
      </c>
      <c r="S6" s="36">
        <f>IF($B6&lt;3,'Projection - Base'!H6*0,'Projection - Base'!H6*'Other Inputs'!$C$6)</f>
        <v>356918.40000000008</v>
      </c>
      <c r="T6" s="36">
        <f>IF($B6&lt;3,'Projection - Base'!I6*0,'Projection - Base'!I6*'Other Inputs'!$C$6)</f>
        <v>157464</v>
      </c>
      <c r="U6" s="36">
        <f>IF($B6&lt;3,'Projection - Base'!J6*0,'Projection - Base'!J6*'Other Inputs'!$C$6)</f>
        <v>139968</v>
      </c>
      <c r="V6" s="36">
        <f t="shared" si="3"/>
        <v>654350.40000000014</v>
      </c>
      <c r="W6" s="53">
        <f>+V6/SUM('Projection - Base'!K6)</f>
        <v>0.30000000000000004</v>
      </c>
      <c r="X6" s="35"/>
      <c r="Y6" s="36">
        <f>IF($B6&lt;6,'Projection - Base'!H6*0,'Projection - Base'!H6*'Other Inputs'!$C$7)</f>
        <v>0</v>
      </c>
      <c r="Z6" s="36">
        <f>IF($B6&lt;6,'Projection - Base'!I6*0,'Projection - Base'!I6*'Other Inputs'!$C$7)</f>
        <v>0</v>
      </c>
      <c r="AA6" s="36">
        <f>IF($B6&lt;6,'Projection - Base'!J6*0,'Projection - Base'!J6*'Other Inputs'!$C$7)</f>
        <v>0</v>
      </c>
      <c r="AB6" s="36">
        <f t="shared" si="4"/>
        <v>0</v>
      </c>
      <c r="AC6" s="53">
        <f>AB6/SUM('Projection - Base'!K6)</f>
        <v>0</v>
      </c>
      <c r="AE6" s="37">
        <f>K6*(Inputs!$C$19)*(1+Inputs!$C$20)^('Projection - ScenarioA'!B6-'Projection - ScenarioA'!$B$4)/100000</f>
        <v>1519.2934428672004</v>
      </c>
      <c r="AF6" s="37">
        <f>Q6*(Inputs!$C$21)*(1+Inputs!$C$22)^('Projection - ScenarioA'!B6-'Projection - ScenarioA'!$B$4)/100000</f>
        <v>2220.4202031000004</v>
      </c>
      <c r="AG6" s="40">
        <f>+V6*'Other Inputs'!$C$9/100000*(1+Inputs!$C$20)^('Projection - Base'!$B6-1)</f>
        <v>460.03450521600013</v>
      </c>
      <c r="AH6" s="40">
        <f>+AB6*'Other Inputs'!$C$10/100000*(1+0)^('Projection - Base'!$B6-1)</f>
        <v>0</v>
      </c>
      <c r="AJ6" s="38">
        <f>H6*Inputs!$C$25/1000</f>
        <v>2231.9297280000005</v>
      </c>
      <c r="AK6" s="38">
        <f>I6*Inputs!$C$25/1000</f>
        <v>984.67488000000003</v>
      </c>
      <c r="AL6" s="38">
        <f>J6*Inputs!$C$25/1000</f>
        <v>875.26656000000003</v>
      </c>
      <c r="AM6" s="38">
        <f t="shared" si="5"/>
        <v>4091.8711680000006</v>
      </c>
      <c r="AO6" s="38">
        <f>N6*Inputs!$C$26/1000</f>
        <v>13772.851200000003</v>
      </c>
      <c r="AP6" s="38">
        <f>O6*Inputs!$C$26/1000</f>
        <v>6814.692</v>
      </c>
      <c r="AQ6" s="38">
        <f>P6*Inputs!$C$26/1000</f>
        <v>2295.4751999999999</v>
      </c>
      <c r="AR6" s="38">
        <f t="shared" si="6"/>
        <v>22883.018400000004</v>
      </c>
      <c r="AT6" s="37">
        <f>+S6*'Other Inputs'!$C$8/1000</f>
        <v>977.95641600000033</v>
      </c>
      <c r="AU6" s="37">
        <f>+T6*'Other Inputs'!$C$8/1000</f>
        <v>431.45136000000002</v>
      </c>
      <c r="AV6" s="37">
        <f>+U6*'Other Inputs'!$C$8/1000</f>
        <v>383.51231999999999</v>
      </c>
      <c r="AW6" s="38">
        <f t="shared" si="7"/>
        <v>1792.9200960000005</v>
      </c>
      <c r="AY6" s="38">
        <f t="shared" si="8"/>
        <v>28767.809664000008</v>
      </c>
      <c r="AZ6" s="35"/>
      <c r="BA6" s="37">
        <f>AM6*'Other Inputs'!$C$11</f>
        <v>1432.1549088000002</v>
      </c>
      <c r="BB6" s="37">
        <f>AR6*'Other Inputs'!$C$11</f>
        <v>8009.0564400000012</v>
      </c>
      <c r="BC6" s="37">
        <f>AW6*'Other Inputs'!$C$11</f>
        <v>627.5220336000001</v>
      </c>
      <c r="BD6" s="37">
        <f t="shared" si="9"/>
        <v>10068.733382400002</v>
      </c>
      <c r="BF6" s="39">
        <f>Inputs!$C$29</f>
        <v>200</v>
      </c>
      <c r="BH6" s="39">
        <f>Inputs!$C$30</f>
        <v>50</v>
      </c>
      <c r="BJ6" s="40">
        <f t="shared" si="10"/>
        <v>4199.7481511832011</v>
      </c>
      <c r="BK6" s="40">
        <f t="shared" si="11"/>
        <v>57.535619328000017</v>
      </c>
      <c r="BL6" s="40">
        <f>BD6*Inputs!$C$31*BH6/100000</f>
        <v>453.09300220800003</v>
      </c>
      <c r="BM6" s="40">
        <f t="shared" si="12"/>
        <v>4710.3767727192017</v>
      </c>
    </row>
    <row r="7" spans="2:65" ht="14.25" customHeight="1" x14ac:dyDescent="0.35">
      <c r="B7" s="15">
        <v>4</v>
      </c>
      <c r="C7" s="36">
        <f>C6*(1+Inputs!$C$7)</f>
        <v>151165.44000000003</v>
      </c>
      <c r="D7" s="36">
        <f>D6*(1+Inputs!$C$7)</f>
        <v>94478.400000000009</v>
      </c>
      <c r="E7" s="36">
        <f>E6*(1+Inputs!$C$7)</f>
        <v>50388.480000000003</v>
      </c>
      <c r="F7" s="36">
        <f t="shared" si="0"/>
        <v>296032.32</v>
      </c>
      <c r="H7" s="36">
        <f>'Projection - Base'!H7*IF($B7&lt;3,100%,IF($B7&lt;6,70%,50%))</f>
        <v>899434.36800000013</v>
      </c>
      <c r="I7" s="36">
        <f>'Projection - Base'!I7*IF($B7&lt;3,100%,IF($B7&lt;6,70%,50%))</f>
        <v>396809.27999999997</v>
      </c>
      <c r="J7" s="36">
        <f>'Projection - Base'!J7*IF($B7&lt;3,100%,IF($B7&lt;6,70%,50%))</f>
        <v>352719.35999999999</v>
      </c>
      <c r="K7" s="36">
        <f t="shared" si="1"/>
        <v>1648963.0079999999</v>
      </c>
      <c r="L7" s="53">
        <f>K7/'Projection - Base'!K7</f>
        <v>0.69999999999999984</v>
      </c>
      <c r="N7" s="36">
        <f>C7*Inputs!$C$16</f>
        <v>18139852.800000004</v>
      </c>
      <c r="O7" s="36">
        <f>+D7*Inputs!$C$17</f>
        <v>8975448</v>
      </c>
      <c r="P7" s="36">
        <f>+E7*Inputs!$C$18</f>
        <v>3023308.8000000003</v>
      </c>
      <c r="Q7" s="36">
        <f t="shared" si="2"/>
        <v>30138609.600000005</v>
      </c>
      <c r="S7" s="36">
        <f>IF($B7&lt;3,'Projection - Base'!H7*0,'Projection - Base'!H7*'Other Inputs'!$C$6)</f>
        <v>385471.87200000003</v>
      </c>
      <c r="T7" s="36">
        <f>IF($B7&lt;3,'Projection - Base'!I7*0,'Projection - Base'!I7*'Other Inputs'!$C$6)</f>
        <v>170061.12</v>
      </c>
      <c r="U7" s="36">
        <f>IF($B7&lt;3,'Projection - Base'!J7*0,'Projection - Base'!J7*'Other Inputs'!$C$6)</f>
        <v>151165.44</v>
      </c>
      <c r="V7" s="36">
        <f t="shared" si="3"/>
        <v>706698.43200000003</v>
      </c>
      <c r="W7" s="53">
        <f>+V7/SUM('Projection - Base'!K7)</f>
        <v>0.29999999999999993</v>
      </c>
      <c r="X7" s="35"/>
      <c r="Y7" s="36">
        <f>IF($B7&lt;6,'Projection - Base'!H7*0,'Projection - Base'!H7*'Other Inputs'!$C$7)</f>
        <v>0</v>
      </c>
      <c r="Z7" s="36">
        <f>IF($B7&lt;6,'Projection - Base'!I7*0,'Projection - Base'!I7*'Other Inputs'!$C$7)</f>
        <v>0</v>
      </c>
      <c r="AA7" s="36">
        <f>IF($B7&lt;6,'Projection - Base'!J7*0,'Projection - Base'!J7*'Other Inputs'!$C$7)</f>
        <v>0</v>
      </c>
      <c r="AB7" s="36">
        <f t="shared" si="4"/>
        <v>0</v>
      </c>
      <c r="AC7" s="53">
        <f>AB7/SUM('Projection - Base'!K7)</f>
        <v>0</v>
      </c>
      <c r="AE7" s="37">
        <f>K7*(Inputs!$C$19)*(1+Inputs!$C$20)^('Projection - ScenarioA'!B7-'Projection - ScenarioA'!$B$4)/100000</f>
        <v>1706.4703950284393</v>
      </c>
      <c r="AF7" s="37">
        <f>Q7*(Inputs!$C$21)*(1+Inputs!$C$22)^('Projection - ScenarioA'!B7-'Projection - ScenarioA'!$B$4)/100000</f>
        <v>2469.9954339284404</v>
      </c>
      <c r="AG7" s="40">
        <f>+V7*'Other Inputs'!$C$9/100000*(1+Inputs!$C$20)^('Projection - Base'!$B7-1)</f>
        <v>516.71075625861124</v>
      </c>
      <c r="AH7" s="40">
        <f>+AB7*'Other Inputs'!$C$10/100000*(1+0)^('Projection - Base'!$B7-1)</f>
        <v>0</v>
      </c>
      <c r="AJ7" s="38">
        <f>H7*Inputs!$C$25/1000</f>
        <v>2410.4841062400005</v>
      </c>
      <c r="AK7" s="38">
        <f>I7*Inputs!$C$25/1000</f>
        <v>1063.4488703999998</v>
      </c>
      <c r="AL7" s="38">
        <f>J7*Inputs!$C$25/1000</f>
        <v>945.28788480000003</v>
      </c>
      <c r="AM7" s="38">
        <f t="shared" si="5"/>
        <v>4419.2208614400006</v>
      </c>
      <c r="AO7" s="38">
        <f>N7*Inputs!$C$26/1000</f>
        <v>14874.679296000002</v>
      </c>
      <c r="AP7" s="38">
        <f>O7*Inputs!$C$26/1000</f>
        <v>7359.8673599999993</v>
      </c>
      <c r="AQ7" s="38">
        <f>P7*Inputs!$C$26/1000</f>
        <v>2479.1132160000002</v>
      </c>
      <c r="AR7" s="38">
        <f t="shared" si="6"/>
        <v>24713.659872000004</v>
      </c>
      <c r="AT7" s="37">
        <f>+S7*'Other Inputs'!$C$8/1000</f>
        <v>1056.1929292800003</v>
      </c>
      <c r="AU7" s="37">
        <f>+T7*'Other Inputs'!$C$8/1000</f>
        <v>465.96746880000001</v>
      </c>
      <c r="AV7" s="37">
        <f>+U7*'Other Inputs'!$C$8/1000</f>
        <v>414.19330560000003</v>
      </c>
      <c r="AW7" s="38">
        <f t="shared" si="7"/>
        <v>1936.3537036800003</v>
      </c>
      <c r="AY7" s="38">
        <f t="shared" si="8"/>
        <v>31069.234437120005</v>
      </c>
      <c r="AZ7" s="35"/>
      <c r="BA7" s="37">
        <f>AM7*'Other Inputs'!$C$11</f>
        <v>1546.727301504</v>
      </c>
      <c r="BB7" s="37">
        <f>AR7*'Other Inputs'!$C$11</f>
        <v>8649.7809551999999</v>
      </c>
      <c r="BC7" s="37">
        <f>AW7*'Other Inputs'!$C$11</f>
        <v>677.72379628800002</v>
      </c>
      <c r="BD7" s="37">
        <f t="shared" si="9"/>
        <v>10874.232052992002</v>
      </c>
      <c r="BF7" s="39">
        <f>Inputs!$C$29</f>
        <v>200</v>
      </c>
      <c r="BH7" s="39">
        <f>Inputs!$C$30</f>
        <v>50</v>
      </c>
      <c r="BJ7" s="40">
        <f t="shared" si="10"/>
        <v>4693.1765852154913</v>
      </c>
      <c r="BK7" s="40">
        <f t="shared" si="11"/>
        <v>62.138468874240012</v>
      </c>
      <c r="BL7" s="40">
        <f>BD7*Inputs!$C$31*BH7/100000</f>
        <v>489.34044238464003</v>
      </c>
      <c r="BM7" s="40">
        <f t="shared" si="12"/>
        <v>5244.6554964743718</v>
      </c>
    </row>
    <row r="8" spans="2:65" ht="14.25" customHeight="1" x14ac:dyDescent="0.35">
      <c r="B8" s="15">
        <v>5</v>
      </c>
      <c r="C8" s="36">
        <f>C7*(1+Inputs!$C$7)</f>
        <v>163258.67520000006</v>
      </c>
      <c r="D8" s="36">
        <f>D7*(1+Inputs!$C$7)</f>
        <v>102036.67200000002</v>
      </c>
      <c r="E8" s="36">
        <f>E7*(1+Inputs!$C$7)</f>
        <v>54419.558400000009</v>
      </c>
      <c r="F8" s="36">
        <f t="shared" si="0"/>
        <v>319714.90560000006</v>
      </c>
      <c r="H8" s="36">
        <f>'Projection - Base'!H8*IF($B8&lt;3,100%,IF($B8&lt;6,70%,50%))</f>
        <v>971389.11744000018</v>
      </c>
      <c r="I8" s="36">
        <f>'Projection - Base'!I8*IF($B8&lt;3,100%,IF($B8&lt;6,70%,50%))</f>
        <v>428554.02240000007</v>
      </c>
      <c r="J8" s="36">
        <f>'Projection - Base'!J8*IF($B8&lt;3,100%,IF($B8&lt;6,70%,50%))</f>
        <v>380936.90879999998</v>
      </c>
      <c r="K8" s="36">
        <f t="shared" si="1"/>
        <v>1780880.0486400002</v>
      </c>
      <c r="L8" s="53">
        <f>K8/'Projection - Base'!K8</f>
        <v>0.7</v>
      </c>
      <c r="N8" s="36">
        <f>C8*Inputs!$C$16</f>
        <v>19591041.024000008</v>
      </c>
      <c r="O8" s="36">
        <f>+D8*Inputs!$C$17</f>
        <v>9693483.8400000017</v>
      </c>
      <c r="P8" s="36">
        <f>+E8*Inputs!$C$18</f>
        <v>3265173.5040000007</v>
      </c>
      <c r="Q8" s="36">
        <f t="shared" si="2"/>
        <v>32549698.368000008</v>
      </c>
      <c r="S8" s="36">
        <f>IF($B8&lt;3,'Projection - Base'!H8*0,'Projection - Base'!H8*'Other Inputs'!$C$6)</f>
        <v>416309.62176000013</v>
      </c>
      <c r="T8" s="36">
        <f>IF($B8&lt;3,'Projection - Base'!I8*0,'Projection - Base'!I8*'Other Inputs'!$C$6)</f>
        <v>183666.00960000002</v>
      </c>
      <c r="U8" s="36">
        <f>IF($B8&lt;3,'Projection - Base'!J8*0,'Projection - Base'!J8*'Other Inputs'!$C$6)</f>
        <v>163258.6752</v>
      </c>
      <c r="V8" s="36">
        <f t="shared" si="3"/>
        <v>763234.30656000017</v>
      </c>
      <c r="W8" s="53">
        <f>+V8/SUM('Projection - Base'!K8)</f>
        <v>0.3</v>
      </c>
      <c r="X8" s="35"/>
      <c r="Y8" s="36">
        <f>IF($B8&lt;6,'Projection - Base'!H8*0,'Projection - Base'!H8*'Other Inputs'!$C$7)</f>
        <v>0</v>
      </c>
      <c r="Z8" s="36">
        <f>IF($B8&lt;6,'Projection - Base'!I8*0,'Projection - Base'!I8*'Other Inputs'!$C$7)</f>
        <v>0</v>
      </c>
      <c r="AA8" s="36">
        <f>IF($B8&lt;6,'Projection - Base'!J8*0,'Projection - Base'!J8*'Other Inputs'!$C$7)</f>
        <v>0</v>
      </c>
      <c r="AB8" s="36">
        <f t="shared" si="4"/>
        <v>0</v>
      </c>
      <c r="AC8" s="53">
        <f>AB8/SUM('Projection - Base'!K8)</f>
        <v>0</v>
      </c>
      <c r="AE8" s="37">
        <f>K8*(Inputs!$C$19)*(1+Inputs!$C$20)^('Projection - ScenarioA'!B8-'Projection - ScenarioA'!$B$4)/100000</f>
        <v>1916.707547695943</v>
      </c>
      <c r="AF8" s="37">
        <f>Q8*(Inputs!$C$21)*(1+Inputs!$C$22)^('Projection - ScenarioA'!B8-'Projection - ScenarioA'!$B$4)/100000</f>
        <v>2747.6229207019974</v>
      </c>
      <c r="AG8" s="40">
        <f>+V8*'Other Inputs'!$C$9/100000*(1+Inputs!$C$20)^('Projection - Base'!$B8-1)</f>
        <v>580.36952142967232</v>
      </c>
      <c r="AH8" s="40">
        <f>+AB8*'Other Inputs'!$C$10/100000*(1+0)^('Projection - Base'!$B8-1)</f>
        <v>0</v>
      </c>
      <c r="AJ8" s="38">
        <f>H8*Inputs!$C$25/1000</f>
        <v>2603.322834739201</v>
      </c>
      <c r="AK8" s="38">
        <f>I8*Inputs!$C$25/1000</f>
        <v>1148.5247800320003</v>
      </c>
      <c r="AL8" s="38">
        <f>J8*Inputs!$C$25/1000</f>
        <v>1020.9109155839999</v>
      </c>
      <c r="AM8" s="38">
        <f t="shared" si="5"/>
        <v>4772.7585303552014</v>
      </c>
      <c r="AO8" s="38">
        <f>N8*Inputs!$C$26/1000</f>
        <v>16064.653639680006</v>
      </c>
      <c r="AP8" s="38">
        <f>O8*Inputs!$C$26/1000</f>
        <v>7948.656748800001</v>
      </c>
      <c r="AQ8" s="38">
        <f>P8*Inputs!$C$26/1000</f>
        <v>2677.4422732800003</v>
      </c>
      <c r="AR8" s="38">
        <f t="shared" si="6"/>
        <v>26690.752661760009</v>
      </c>
      <c r="AT8" s="37">
        <f>+S8*'Other Inputs'!$C$8/1000</f>
        <v>1140.6883636224004</v>
      </c>
      <c r="AU8" s="37">
        <f>+T8*'Other Inputs'!$C$8/1000</f>
        <v>503.24486630400008</v>
      </c>
      <c r="AV8" s="37">
        <f>+U8*'Other Inputs'!$C$8/1000</f>
        <v>447.32877004800002</v>
      </c>
      <c r="AW8" s="38">
        <f t="shared" si="7"/>
        <v>2091.2619999744006</v>
      </c>
      <c r="AY8" s="38">
        <f t="shared" si="8"/>
        <v>33554.773192089611</v>
      </c>
      <c r="AZ8" s="35"/>
      <c r="BA8" s="37">
        <f>AM8*'Other Inputs'!$C$11</f>
        <v>1670.4654856243203</v>
      </c>
      <c r="BB8" s="37">
        <f>AR8*'Other Inputs'!$C$11</f>
        <v>9341.763431616002</v>
      </c>
      <c r="BC8" s="37">
        <f>AW8*'Other Inputs'!$C$11</f>
        <v>731.9416999910402</v>
      </c>
      <c r="BD8" s="37">
        <f t="shared" si="9"/>
        <v>11744.170617231362</v>
      </c>
      <c r="BF8" s="39">
        <f>Inputs!$C$29</f>
        <v>200</v>
      </c>
      <c r="BH8" s="39">
        <f>Inputs!$C$30</f>
        <v>50</v>
      </c>
      <c r="BJ8" s="40">
        <f t="shared" si="10"/>
        <v>5244.6999898276126</v>
      </c>
      <c r="BK8" s="40">
        <f t="shared" si="11"/>
        <v>67.109546384179225</v>
      </c>
      <c r="BL8" s="40">
        <f>BD8*Inputs!$C$31*BH8/100000</f>
        <v>528.48767777541127</v>
      </c>
      <c r="BM8" s="40">
        <f t="shared" si="12"/>
        <v>5840.2972139872036</v>
      </c>
    </row>
    <row r="9" spans="2:65" ht="14.25" customHeight="1" x14ac:dyDescent="0.35">
      <c r="B9" s="15">
        <v>6</v>
      </c>
      <c r="C9" s="36">
        <f>C8*(1+Inputs!$C$7)</f>
        <v>176319.36921600008</v>
      </c>
      <c r="D9" s="36">
        <f>D8*(1+Inputs!$C$7)</f>
        <v>110199.60576000003</v>
      </c>
      <c r="E9" s="36">
        <f>E8*(1+Inputs!$C$7)</f>
        <v>58773.123072000017</v>
      </c>
      <c r="F9" s="36">
        <f t="shared" si="0"/>
        <v>345292.09804800013</v>
      </c>
      <c r="H9" s="36">
        <f>'Projection - Base'!H9*IF($B9&lt;3,100%,IF($B9&lt;6,70%,50%))</f>
        <v>749357.31916800037</v>
      </c>
      <c r="I9" s="36">
        <f>'Projection - Base'!I9*IF($B9&lt;3,100%,IF($B9&lt;6,70%,50%))</f>
        <v>330598.81728000008</v>
      </c>
      <c r="J9" s="36">
        <f>'Projection - Base'!J9*IF($B9&lt;3,100%,IF($B9&lt;6,70%,50%))</f>
        <v>293865.61536000005</v>
      </c>
      <c r="K9" s="36">
        <f t="shared" si="1"/>
        <v>1373821.7518080007</v>
      </c>
      <c r="L9" s="53">
        <f>K9/'Projection - Base'!K9</f>
        <v>0.5</v>
      </c>
      <c r="N9" s="36">
        <f>C9*Inputs!$C$16</f>
        <v>21158324.305920009</v>
      </c>
      <c r="O9" s="36">
        <f>+D9*Inputs!$C$17</f>
        <v>10468962.547200004</v>
      </c>
      <c r="P9" s="36">
        <f>+E9*Inputs!$C$18</f>
        <v>3526387.3843200011</v>
      </c>
      <c r="Q9" s="36">
        <f t="shared" si="2"/>
        <v>35153674.237440012</v>
      </c>
      <c r="S9" s="36">
        <f>IF($B9&lt;3,'Projection - Base'!H9*0,'Projection - Base'!H9*'Other Inputs'!$C$6)</f>
        <v>449614.39150080021</v>
      </c>
      <c r="T9" s="36">
        <f>IF($B9&lt;3,'Projection - Base'!I9*0,'Projection - Base'!I9*'Other Inputs'!$C$6)</f>
        <v>198359.29036800005</v>
      </c>
      <c r="U9" s="36">
        <f>IF($B9&lt;3,'Projection - Base'!J9*0,'Projection - Base'!J9*'Other Inputs'!$C$6)</f>
        <v>176319.36921600002</v>
      </c>
      <c r="V9" s="36">
        <f t="shared" si="3"/>
        <v>824293.05108480016</v>
      </c>
      <c r="W9" s="53">
        <f>+V9/SUM('Projection - Base'!K9)</f>
        <v>0.29999999999999988</v>
      </c>
      <c r="X9" s="35"/>
      <c r="Y9" s="36">
        <f>IF($B9&lt;6,'Projection - Base'!H9*0,'Projection - Base'!H9*'Other Inputs'!$C$7)</f>
        <v>299742.92766720016</v>
      </c>
      <c r="Z9" s="36">
        <f>IF($B9&lt;6,'Projection - Base'!I9*0,'Projection - Base'!I9*'Other Inputs'!$C$7)</f>
        <v>132239.52691200003</v>
      </c>
      <c r="AA9" s="36">
        <f>IF($B9&lt;6,'Projection - Base'!J9*0,'Projection - Base'!J9*'Other Inputs'!$C$7)</f>
        <v>117546.24614400003</v>
      </c>
      <c r="AB9" s="36">
        <f t="shared" si="4"/>
        <v>549528.70072320022</v>
      </c>
      <c r="AC9" s="53">
        <f>AB9/SUM('Projection - Base'!K9)</f>
        <v>0.19999999999999998</v>
      </c>
      <c r="AE9" s="37">
        <f>K9*(Inputs!$C$19)*(1+Inputs!$C$20)^('Projection - ScenarioA'!B9-'Projection - ScenarioA'!$B$4)/100000</f>
        <v>1537.7470839800603</v>
      </c>
      <c r="AF9" s="37">
        <f>Q9*(Inputs!$C$21)*(1+Inputs!$C$22)^('Projection - ScenarioA'!B9-'Projection - ScenarioA'!$B$4)/100000</f>
        <v>3056.4557369889021</v>
      </c>
      <c r="AG9" s="40">
        <f>+V9*'Other Inputs'!$C$9/100000*(1+Inputs!$C$20)^('Projection - Base'!$B9-1)</f>
        <v>651.87104646980811</v>
      </c>
      <c r="AH9" s="40">
        <f>+AB9*'Other Inputs'!$C$10/100000*(1+0)^('Projection - Base'!$B9-1)</f>
        <v>219.81148028928007</v>
      </c>
      <c r="AJ9" s="38">
        <f>H9*Inputs!$C$25/1000</f>
        <v>2008.2776153702409</v>
      </c>
      <c r="AK9" s="38">
        <f>I9*Inputs!$C$25/1000</f>
        <v>886.00483031040028</v>
      </c>
      <c r="AL9" s="38">
        <f>J9*Inputs!$C$25/1000</f>
        <v>787.55984916480008</v>
      </c>
      <c r="AM9" s="38">
        <f t="shared" si="5"/>
        <v>3681.8422948454413</v>
      </c>
      <c r="AO9" s="38">
        <f>N9*Inputs!$C$26/1000</f>
        <v>17349.825930854407</v>
      </c>
      <c r="AP9" s="38">
        <f>O9*Inputs!$C$26/1000</f>
        <v>8584.5492887040018</v>
      </c>
      <c r="AQ9" s="38">
        <f>P9*Inputs!$C$26/1000</f>
        <v>2891.6376551424009</v>
      </c>
      <c r="AR9" s="38">
        <f t="shared" si="6"/>
        <v>28826.012874700809</v>
      </c>
      <c r="AT9" s="37">
        <f>+S9*'Other Inputs'!$C$8/1000</f>
        <v>1231.9434327121926</v>
      </c>
      <c r="AU9" s="37">
        <f>+T9*'Other Inputs'!$C$8/1000</f>
        <v>543.5044556083202</v>
      </c>
      <c r="AV9" s="37">
        <f>+U9*'Other Inputs'!$C$8/1000</f>
        <v>483.11507165184014</v>
      </c>
      <c r="AW9" s="38">
        <f t="shared" si="7"/>
        <v>2258.5629599723529</v>
      </c>
      <c r="AY9" s="38">
        <f t="shared" si="8"/>
        <v>34766.418129518606</v>
      </c>
      <c r="AZ9" s="35"/>
      <c r="BA9" s="37">
        <f>AM9*'Other Inputs'!$C$11</f>
        <v>1288.6448031959044</v>
      </c>
      <c r="BB9" s="37">
        <f>AR9*'Other Inputs'!$C$11</f>
        <v>10089.104506145282</v>
      </c>
      <c r="BC9" s="37">
        <f>AW9*'Other Inputs'!$C$11</f>
        <v>790.49703599032352</v>
      </c>
      <c r="BD9" s="37">
        <f t="shared" si="9"/>
        <v>12168.24634533151</v>
      </c>
      <c r="BF9" s="39">
        <f>Inputs!$C$29</f>
        <v>200</v>
      </c>
      <c r="BH9" s="39">
        <f>Inputs!$C$30</f>
        <v>50</v>
      </c>
      <c r="BJ9" s="40">
        <f t="shared" si="10"/>
        <v>5465.88534772805</v>
      </c>
      <c r="BK9" s="40">
        <f t="shared" si="11"/>
        <v>69.532836259037211</v>
      </c>
      <c r="BL9" s="40">
        <f>BD9*Inputs!$C$31*BH9/100000</f>
        <v>547.57108553991793</v>
      </c>
      <c r="BM9" s="40">
        <f t="shared" si="12"/>
        <v>6082.9892695270046</v>
      </c>
    </row>
    <row r="10" spans="2:65" ht="14.25" customHeight="1" x14ac:dyDescent="0.35">
      <c r="B10" s="15">
        <v>7</v>
      </c>
      <c r="C10" s="36">
        <f>C9*(1+Inputs!$C$7)</f>
        <v>190424.9187532801</v>
      </c>
      <c r="D10" s="36">
        <f>D9*(1+Inputs!$C$7)</f>
        <v>119015.57422080004</v>
      </c>
      <c r="E10" s="36">
        <f>E9*(1+Inputs!$C$7)</f>
        <v>63474.972917760024</v>
      </c>
      <c r="F10" s="36">
        <f t="shared" si="0"/>
        <v>372915.46589184017</v>
      </c>
      <c r="H10" s="36">
        <f>'Projection - Base'!H10*IF($B10&lt;3,100%,IF($B10&lt;6,70%,50%))</f>
        <v>809305.90470144048</v>
      </c>
      <c r="I10" s="36">
        <f>'Projection - Base'!I10*IF($B10&lt;3,100%,IF($B10&lt;6,70%,50%))</f>
        <v>357046.72266240011</v>
      </c>
      <c r="J10" s="36">
        <f>'Projection - Base'!J10*IF($B10&lt;3,100%,IF($B10&lt;6,70%,50%))</f>
        <v>317374.86458880012</v>
      </c>
      <c r="K10" s="36">
        <f t="shared" si="1"/>
        <v>1483727.4919526407</v>
      </c>
      <c r="L10" s="53">
        <f>K10/'Projection - Base'!K10</f>
        <v>0.5</v>
      </c>
      <c r="N10" s="36">
        <f>C10*Inputs!$C$16</f>
        <v>22850990.25039361</v>
      </c>
      <c r="O10" s="36">
        <f>+D10*Inputs!$C$17</f>
        <v>11306479.550976004</v>
      </c>
      <c r="P10" s="36">
        <f>+E10*Inputs!$C$18</f>
        <v>3808498.3750656014</v>
      </c>
      <c r="Q10" s="36">
        <f t="shared" si="2"/>
        <v>37965968.176435217</v>
      </c>
      <c r="S10" s="36">
        <f>IF($B10&lt;3,'Projection - Base'!H10*0,'Projection - Base'!H10*'Other Inputs'!$C$6)</f>
        <v>485583.54282086424</v>
      </c>
      <c r="T10" s="36">
        <f>IF($B10&lt;3,'Projection - Base'!I10*0,'Projection - Base'!I10*'Other Inputs'!$C$6)</f>
        <v>214228.03359744005</v>
      </c>
      <c r="U10" s="36">
        <f>IF($B10&lt;3,'Projection - Base'!J10*0,'Projection - Base'!J10*'Other Inputs'!$C$6)</f>
        <v>190424.91875328007</v>
      </c>
      <c r="V10" s="36">
        <f t="shared" si="3"/>
        <v>890236.49517158442</v>
      </c>
      <c r="W10" s="53">
        <f>+V10/SUM('Projection - Base'!K10)</f>
        <v>0.3</v>
      </c>
      <c r="X10" s="35"/>
      <c r="Y10" s="36">
        <f>IF($B10&lt;6,'Projection - Base'!H10*0,'Projection - Base'!H10*'Other Inputs'!$C$7)</f>
        <v>323722.36188057624</v>
      </c>
      <c r="Z10" s="36">
        <f>IF($B10&lt;6,'Projection - Base'!I10*0,'Projection - Base'!I10*'Other Inputs'!$C$7)</f>
        <v>142818.68906496005</v>
      </c>
      <c r="AA10" s="36">
        <f>IF($B10&lt;6,'Projection - Base'!J10*0,'Projection - Base'!J10*'Other Inputs'!$C$7)</f>
        <v>126949.94583552005</v>
      </c>
      <c r="AB10" s="36">
        <f t="shared" si="4"/>
        <v>593490.99678105628</v>
      </c>
      <c r="AC10" s="53">
        <f>AB10/SUM('Projection - Base'!K10)</f>
        <v>0.2</v>
      </c>
      <c r="AE10" s="37">
        <f>K10*(Inputs!$C$19)*(1+Inputs!$C$20)^('Projection - ScenarioA'!B10-'Projection - ScenarioA'!$B$4)/100000</f>
        <v>1727.197524726404</v>
      </c>
      <c r="AF10" s="37">
        <f>Q10*(Inputs!$C$21)*(1+Inputs!$C$22)^('Projection - ScenarioA'!B10-'Projection - ScenarioA'!$B$4)/100000</f>
        <v>3400.0013618264552</v>
      </c>
      <c r="AG10" s="40">
        <f>+V10*'Other Inputs'!$C$9/100000*(1+Inputs!$C$20)^('Projection - Base'!$B10-1)</f>
        <v>732.18155939488861</v>
      </c>
      <c r="AH10" s="40">
        <f>+AB10*'Other Inputs'!$C$10/100000*(1+0)^('Projection - Base'!$B10-1)</f>
        <v>237.39639871242252</v>
      </c>
      <c r="AJ10" s="38">
        <f>H10*Inputs!$C$25/1000</f>
        <v>2168.9398245998609</v>
      </c>
      <c r="AK10" s="38">
        <f>I10*Inputs!$C$25/1000</f>
        <v>956.88521673523235</v>
      </c>
      <c r="AL10" s="38">
        <f>J10*Inputs!$C$25/1000</f>
        <v>850.56463709798436</v>
      </c>
      <c r="AM10" s="38">
        <f t="shared" si="5"/>
        <v>3976.3896784330777</v>
      </c>
      <c r="AO10" s="38">
        <f>N10*Inputs!$C$26/1000</f>
        <v>18737.812005322758</v>
      </c>
      <c r="AP10" s="38">
        <f>O10*Inputs!$C$26/1000</f>
        <v>9271.3132318003227</v>
      </c>
      <c r="AQ10" s="38">
        <f>P10*Inputs!$C$26/1000</f>
        <v>3122.9686675537932</v>
      </c>
      <c r="AR10" s="38">
        <f t="shared" si="6"/>
        <v>31132.093904676873</v>
      </c>
      <c r="AT10" s="37">
        <f>+S10*'Other Inputs'!$C$8/1000</f>
        <v>1330.4989073291681</v>
      </c>
      <c r="AU10" s="37">
        <f>+T10*'Other Inputs'!$C$8/1000</f>
        <v>586.98481205698579</v>
      </c>
      <c r="AV10" s="37">
        <f>+U10*'Other Inputs'!$C$8/1000</f>
        <v>521.76427738398741</v>
      </c>
      <c r="AW10" s="38">
        <f t="shared" si="7"/>
        <v>2439.2479967701415</v>
      </c>
      <c r="AY10" s="38">
        <f t="shared" si="8"/>
        <v>37547.731579880092</v>
      </c>
      <c r="AZ10" s="35"/>
      <c r="BA10" s="37">
        <f>AM10*'Other Inputs'!$C$11</f>
        <v>1391.7363874515772</v>
      </c>
      <c r="BB10" s="37">
        <f>AR10*'Other Inputs'!$C$11</f>
        <v>10896.232866636905</v>
      </c>
      <c r="BC10" s="37">
        <f>AW10*'Other Inputs'!$C$11</f>
        <v>853.73679886954949</v>
      </c>
      <c r="BD10" s="37">
        <f t="shared" si="9"/>
        <v>13141.706052958032</v>
      </c>
      <c r="BF10" s="39">
        <f>Inputs!$C$29</f>
        <v>200</v>
      </c>
      <c r="BH10" s="39">
        <f>Inputs!$C$30</f>
        <v>50</v>
      </c>
      <c r="BJ10" s="40">
        <f t="shared" si="10"/>
        <v>6096.7768446601704</v>
      </c>
      <c r="BK10" s="40">
        <f t="shared" si="11"/>
        <v>75.095463159760186</v>
      </c>
      <c r="BL10" s="40">
        <f>BD10*Inputs!$C$31*BH10/100000</f>
        <v>591.37677238311142</v>
      </c>
      <c r="BM10" s="40">
        <f t="shared" si="12"/>
        <v>6763.2490802030425</v>
      </c>
    </row>
    <row r="11" spans="2:65" ht="14.25" customHeight="1" x14ac:dyDescent="0.35">
      <c r="B11" s="15">
        <v>8</v>
      </c>
      <c r="C11" s="36">
        <f>C10*(1+Inputs!$C$7)</f>
        <v>205658.91225354251</v>
      </c>
      <c r="D11" s="36">
        <f>D10*(1+Inputs!$C$7)</f>
        <v>128536.82015846406</v>
      </c>
      <c r="E11" s="36">
        <f>E10*(1+Inputs!$C$7)</f>
        <v>68552.970751180837</v>
      </c>
      <c r="F11" s="36">
        <f t="shared" si="0"/>
        <v>402748.70316318743</v>
      </c>
      <c r="H11" s="36">
        <f>'Projection - Base'!H11*IF($B11&lt;3,100%,IF($B11&lt;6,70%,50%))</f>
        <v>874050.37707755563</v>
      </c>
      <c r="I11" s="36">
        <f>'Projection - Base'!I11*IF($B11&lt;3,100%,IF($B11&lt;6,70%,50%))</f>
        <v>385610.46047539217</v>
      </c>
      <c r="J11" s="36">
        <f>'Projection - Base'!J11*IF($B11&lt;3,100%,IF($B11&lt;6,70%,50%))</f>
        <v>342764.85375590419</v>
      </c>
      <c r="K11" s="36">
        <f t="shared" si="1"/>
        <v>1602425.6913088521</v>
      </c>
      <c r="L11" s="53">
        <f>K11/'Projection - Base'!K11</f>
        <v>0.5</v>
      </c>
      <c r="N11" s="36">
        <f>C11*Inputs!$C$16</f>
        <v>24679069.470425103</v>
      </c>
      <c r="O11" s="36">
        <f>+D11*Inputs!$C$17</f>
        <v>12210997.915054087</v>
      </c>
      <c r="P11" s="36">
        <f>+E11*Inputs!$C$18</f>
        <v>4113178.2450708505</v>
      </c>
      <c r="Q11" s="36">
        <f t="shared" si="2"/>
        <v>41003245.630550042</v>
      </c>
      <c r="S11" s="36">
        <f>IF($B11&lt;3,'Projection - Base'!H11*0,'Projection - Base'!H11*'Other Inputs'!$C$6)</f>
        <v>524430.22624653333</v>
      </c>
      <c r="T11" s="36">
        <f>IF($B11&lt;3,'Projection - Base'!I11*0,'Projection - Base'!I11*'Other Inputs'!$C$6)</f>
        <v>231366.2762852353</v>
      </c>
      <c r="U11" s="36">
        <f>IF($B11&lt;3,'Projection - Base'!J11*0,'Projection - Base'!J11*'Other Inputs'!$C$6)</f>
        <v>205658.91225354251</v>
      </c>
      <c r="V11" s="36">
        <f t="shared" si="3"/>
        <v>961455.41478531109</v>
      </c>
      <c r="W11" s="53">
        <f>+V11/SUM('Projection - Base'!K11)</f>
        <v>0.29999999999999993</v>
      </c>
      <c r="X11" s="35"/>
      <c r="Y11" s="36">
        <f>IF($B11&lt;6,'Projection - Base'!H11*0,'Projection - Base'!H11*'Other Inputs'!$C$7)</f>
        <v>349620.1508310223</v>
      </c>
      <c r="Z11" s="36">
        <f>IF($B11&lt;6,'Projection - Base'!I11*0,'Projection - Base'!I11*'Other Inputs'!$C$7)</f>
        <v>154244.18419015687</v>
      </c>
      <c r="AA11" s="36">
        <f>IF($B11&lt;6,'Projection - Base'!J11*0,'Projection - Base'!J11*'Other Inputs'!$C$7)</f>
        <v>137105.94150236167</v>
      </c>
      <c r="AB11" s="36">
        <f t="shared" si="4"/>
        <v>640970.27652354084</v>
      </c>
      <c r="AC11" s="53">
        <f>AB11/SUM('Projection - Base'!K11)</f>
        <v>0.2</v>
      </c>
      <c r="AE11" s="37">
        <f>K11*(Inputs!$C$19)*(1+Inputs!$C$20)^('Projection - ScenarioA'!B11-'Projection - ScenarioA'!$B$4)/100000</f>
        <v>1939.9882597726969</v>
      </c>
      <c r="AF11" s="37">
        <f>Q11*(Inputs!$C$21)*(1+Inputs!$C$22)^('Projection - ScenarioA'!B11-'Projection - ScenarioA'!$B$4)/100000</f>
        <v>3782.161514895749</v>
      </c>
      <c r="AG11" s="40">
        <f>+V11*'Other Inputs'!$C$9/100000*(1+Inputs!$C$20)^('Projection - Base'!$B11-1)</f>
        <v>822.38632751233877</v>
      </c>
      <c r="AH11" s="40">
        <f>+AB11*'Other Inputs'!$C$10/100000*(1+0)^('Projection - Base'!$B11-1)</f>
        <v>256.38811060941634</v>
      </c>
      <c r="AJ11" s="38">
        <f>H11*Inputs!$C$25/1000</f>
        <v>2342.4550105678491</v>
      </c>
      <c r="AK11" s="38">
        <f>I11*Inputs!$C$25/1000</f>
        <v>1033.4360340740511</v>
      </c>
      <c r="AL11" s="38">
        <f>J11*Inputs!$C$25/1000</f>
        <v>918.60980806582324</v>
      </c>
      <c r="AM11" s="38">
        <f t="shared" si="5"/>
        <v>4294.5008527077234</v>
      </c>
      <c r="AO11" s="38">
        <f>N11*Inputs!$C$26/1000</f>
        <v>20236.836965748582</v>
      </c>
      <c r="AP11" s="38">
        <f>O11*Inputs!$C$26/1000</f>
        <v>10013.018290344349</v>
      </c>
      <c r="AQ11" s="38">
        <f>P11*Inputs!$C$26/1000</f>
        <v>3372.8061609580973</v>
      </c>
      <c r="AR11" s="38">
        <f t="shared" si="6"/>
        <v>33622.661417051029</v>
      </c>
      <c r="AT11" s="37">
        <f>+S11*'Other Inputs'!$C$8/1000</f>
        <v>1436.9388199155014</v>
      </c>
      <c r="AU11" s="37">
        <f>+T11*'Other Inputs'!$C$8/1000</f>
        <v>633.94359702154486</v>
      </c>
      <c r="AV11" s="37">
        <f>+U11*'Other Inputs'!$C$8/1000</f>
        <v>563.50541957470659</v>
      </c>
      <c r="AW11" s="38">
        <f t="shared" si="7"/>
        <v>2634.387836511753</v>
      </c>
      <c r="AY11" s="38">
        <f t="shared" si="8"/>
        <v>40551.550106270508</v>
      </c>
      <c r="AZ11" s="35"/>
      <c r="BA11" s="37">
        <f>AM11*'Other Inputs'!$C$11</f>
        <v>1503.0752984477031</v>
      </c>
      <c r="BB11" s="37">
        <f>AR11*'Other Inputs'!$C$11</f>
        <v>11767.93149596786</v>
      </c>
      <c r="BC11" s="37">
        <f>AW11*'Other Inputs'!$C$11</f>
        <v>922.03574277911343</v>
      </c>
      <c r="BD11" s="37">
        <f t="shared" si="9"/>
        <v>14193.042537194677</v>
      </c>
      <c r="BF11" s="39">
        <f>Inputs!$C$29</f>
        <v>200</v>
      </c>
      <c r="BH11" s="39">
        <f>Inputs!$C$30</f>
        <v>50</v>
      </c>
      <c r="BJ11" s="40">
        <f t="shared" si="10"/>
        <v>6800.9242127901998</v>
      </c>
      <c r="BK11" s="40">
        <f t="shared" si="11"/>
        <v>81.103100212541023</v>
      </c>
      <c r="BL11" s="40">
        <f>BD11*Inputs!$C$31*BH11/100000</f>
        <v>638.68691417376044</v>
      </c>
      <c r="BM11" s="40">
        <f t="shared" si="12"/>
        <v>7520.7142271765015</v>
      </c>
    </row>
    <row r="12" spans="2:65" ht="14.25" customHeight="1" x14ac:dyDescent="0.35">
      <c r="B12" s="15">
        <v>9</v>
      </c>
      <c r="C12" s="36">
        <f>C11*(1+Inputs!$C$7)</f>
        <v>222111.62523382594</v>
      </c>
      <c r="D12" s="36">
        <f>D11*(1+Inputs!$C$7)</f>
        <v>138819.76577114119</v>
      </c>
      <c r="E12" s="36">
        <f>E11*(1+Inputs!$C$7)</f>
        <v>74037.208411275307</v>
      </c>
      <c r="F12" s="36">
        <f t="shared" si="0"/>
        <v>434968.59941624245</v>
      </c>
      <c r="H12" s="36">
        <f>'Projection - Base'!H12*IF($B12&lt;3,100%,IF($B12&lt;6,70%,50%))</f>
        <v>943974.40724376019</v>
      </c>
      <c r="I12" s="36">
        <f>'Projection - Base'!I12*IF($B12&lt;3,100%,IF($B12&lt;6,70%,50%))</f>
        <v>416459.29731342359</v>
      </c>
      <c r="J12" s="36">
        <f>'Projection - Base'!J12*IF($B12&lt;3,100%,IF($B12&lt;6,70%,50%))</f>
        <v>370186.04205637652</v>
      </c>
      <c r="K12" s="36">
        <f t="shared" si="1"/>
        <v>1730619.7466135602</v>
      </c>
      <c r="L12" s="53">
        <f>K12/'Projection - Base'!K12</f>
        <v>0.5</v>
      </c>
      <c r="N12" s="36">
        <f>C12*Inputs!$C$16</f>
        <v>26653395.028059114</v>
      </c>
      <c r="O12" s="36">
        <f>+D12*Inputs!$C$17</f>
        <v>13187877.748258414</v>
      </c>
      <c r="P12" s="36">
        <f>+E12*Inputs!$C$18</f>
        <v>4442232.504676518</v>
      </c>
      <c r="Q12" s="36">
        <f t="shared" si="2"/>
        <v>44283505.28099405</v>
      </c>
      <c r="S12" s="36">
        <f>IF($B12&lt;3,'Projection - Base'!H12*0,'Projection - Base'!H12*'Other Inputs'!$C$6)</f>
        <v>566384.64434625604</v>
      </c>
      <c r="T12" s="36">
        <f>IF($B12&lt;3,'Projection - Base'!I12*0,'Projection - Base'!I12*'Other Inputs'!$C$6)</f>
        <v>249875.57838805416</v>
      </c>
      <c r="U12" s="36">
        <f>IF($B12&lt;3,'Projection - Base'!J12*0,'Projection - Base'!J12*'Other Inputs'!$C$6)</f>
        <v>222111.62523382591</v>
      </c>
      <c r="V12" s="36">
        <f t="shared" si="3"/>
        <v>1038371.8479681361</v>
      </c>
      <c r="W12" s="53">
        <f>+V12/SUM('Projection - Base'!K12)</f>
        <v>0.3</v>
      </c>
      <c r="X12" s="35"/>
      <c r="Y12" s="36">
        <f>IF($B12&lt;6,'Projection - Base'!H12*0,'Projection - Base'!H12*'Other Inputs'!$C$7)</f>
        <v>377589.76289750409</v>
      </c>
      <c r="Z12" s="36">
        <f>IF($B12&lt;6,'Projection - Base'!I12*0,'Projection - Base'!I12*'Other Inputs'!$C$7)</f>
        <v>166583.71892536944</v>
      </c>
      <c r="AA12" s="36">
        <f>IF($B12&lt;6,'Projection - Base'!J12*0,'Projection - Base'!J12*'Other Inputs'!$C$7)</f>
        <v>148074.41682255061</v>
      </c>
      <c r="AB12" s="36">
        <f t="shared" si="4"/>
        <v>692247.89864542405</v>
      </c>
      <c r="AC12" s="53">
        <f>AB12/SUM('Projection - Base'!K12)</f>
        <v>0.19999999999999998</v>
      </c>
      <c r="AE12" s="37">
        <f>K12*(Inputs!$C$19)*(1+Inputs!$C$20)^('Projection - ScenarioA'!B12-'Projection - ScenarioA'!$B$4)/100000</f>
        <v>2178.9948133766929</v>
      </c>
      <c r="AF12" s="37">
        <f>Q12*(Inputs!$C$21)*(1+Inputs!$C$22)^('Projection - ScenarioA'!B12-'Projection - ScenarioA'!$B$4)/100000</f>
        <v>4207.2764691700313</v>
      </c>
      <c r="AG12" s="40">
        <f>+V12*'Other Inputs'!$C$9/100000*(1+Inputs!$C$20)^('Projection - Base'!$B12-1)</f>
        <v>923.70432306185899</v>
      </c>
      <c r="AH12" s="40">
        <f>+AB12*'Other Inputs'!$C$10/100000*(1+0)^('Projection - Base'!$B12-1)</f>
        <v>276.89915945816966</v>
      </c>
      <c r="AJ12" s="38">
        <f>H12*Inputs!$C$25/1000</f>
        <v>2529.8514114132777</v>
      </c>
      <c r="AK12" s="38">
        <f>I12*Inputs!$C$25/1000</f>
        <v>1116.1109167999753</v>
      </c>
      <c r="AL12" s="38">
        <f>J12*Inputs!$C$25/1000</f>
        <v>992.09859271108917</v>
      </c>
      <c r="AM12" s="38">
        <f t="shared" si="5"/>
        <v>4638.0609209243421</v>
      </c>
      <c r="AO12" s="38">
        <f>N12*Inputs!$C$26/1000</f>
        <v>21855.783923008472</v>
      </c>
      <c r="AP12" s="38">
        <f>O12*Inputs!$C$26/1000</f>
        <v>10814.059753571897</v>
      </c>
      <c r="AQ12" s="38">
        <f>P12*Inputs!$C$26/1000</f>
        <v>3642.6306538347444</v>
      </c>
      <c r="AR12" s="38">
        <f t="shared" si="6"/>
        <v>36312.474330415112</v>
      </c>
      <c r="AT12" s="37">
        <f>+S12*'Other Inputs'!$C$8/1000</f>
        <v>1551.8939255087419</v>
      </c>
      <c r="AU12" s="37">
        <f>+T12*'Other Inputs'!$C$8/1000</f>
        <v>684.65908478326844</v>
      </c>
      <c r="AV12" s="37">
        <f>+U12*'Other Inputs'!$C$8/1000</f>
        <v>608.58585314068307</v>
      </c>
      <c r="AW12" s="38">
        <f t="shared" si="7"/>
        <v>2845.1388634326931</v>
      </c>
      <c r="AY12" s="38">
        <f t="shared" si="8"/>
        <v>43795.674114772148</v>
      </c>
      <c r="AZ12" s="35"/>
      <c r="BA12" s="37">
        <f>AM12*'Other Inputs'!$C$11</f>
        <v>1623.3213223235196</v>
      </c>
      <c r="BB12" s="37">
        <f>AR12*'Other Inputs'!$C$11</f>
        <v>12709.366015645288</v>
      </c>
      <c r="BC12" s="37">
        <f>AW12*'Other Inputs'!$C$11</f>
        <v>995.79860220144258</v>
      </c>
      <c r="BD12" s="37">
        <f t="shared" si="9"/>
        <v>15328.485940170251</v>
      </c>
      <c r="BF12" s="39">
        <f>Inputs!$C$29</f>
        <v>200</v>
      </c>
      <c r="BH12" s="39">
        <f>Inputs!$C$30</f>
        <v>50</v>
      </c>
      <c r="BJ12" s="40">
        <f t="shared" si="10"/>
        <v>7586.8747650667528</v>
      </c>
      <c r="BK12" s="40">
        <f t="shared" si="11"/>
        <v>87.591348229544295</v>
      </c>
      <c r="BL12" s="40">
        <f>BD12*Inputs!$C$31*BH12/100000</f>
        <v>689.78186730766129</v>
      </c>
      <c r="BM12" s="40">
        <f t="shared" si="12"/>
        <v>8364.2479806039591</v>
      </c>
    </row>
    <row r="13" spans="2:65" ht="14.25" customHeight="1" x14ac:dyDescent="0.35">
      <c r="B13" s="15">
        <v>10</v>
      </c>
      <c r="C13" s="36">
        <f>C12*(1+Inputs!$C$7)</f>
        <v>239880.55525253204</v>
      </c>
      <c r="D13" s="36">
        <f>D12*(1+Inputs!$C$7)</f>
        <v>149925.34703283251</v>
      </c>
      <c r="E13" s="36">
        <f>E12*(1+Inputs!$C$7)</f>
        <v>79960.185084177341</v>
      </c>
      <c r="F13" s="36">
        <f t="shared" si="0"/>
        <v>469766.08736954193</v>
      </c>
      <c r="H13" s="36">
        <f>'Projection - Base'!H13*IF($B13&lt;3,100%,IF($B13&lt;6,70%,50%))</f>
        <v>1019492.3598232612</v>
      </c>
      <c r="I13" s="36">
        <f>'Projection - Base'!I13*IF($B13&lt;3,100%,IF($B13&lt;6,70%,50%))</f>
        <v>449776.04109849752</v>
      </c>
      <c r="J13" s="36">
        <f>'Projection - Base'!J13*IF($B13&lt;3,100%,IF($B13&lt;6,70%,50%))</f>
        <v>399800.92542088672</v>
      </c>
      <c r="K13" s="36">
        <f t="shared" si="1"/>
        <v>1869069.3263426456</v>
      </c>
      <c r="L13" s="53">
        <f>K13/'Projection - Base'!K13</f>
        <v>0.5</v>
      </c>
      <c r="N13" s="36">
        <f>C13*Inputs!$C$16</f>
        <v>28785666.630303845</v>
      </c>
      <c r="O13" s="36">
        <f>+D13*Inputs!$C$17</f>
        <v>14242907.968119089</v>
      </c>
      <c r="P13" s="36">
        <f>+E13*Inputs!$C$18</f>
        <v>4797611.1050506402</v>
      </c>
      <c r="Q13" s="36">
        <f t="shared" si="2"/>
        <v>47826185.703473568</v>
      </c>
      <c r="S13" s="36">
        <f>IF($B13&lt;3,'Projection - Base'!H13*0,'Projection - Base'!H13*'Other Inputs'!$C$6)</f>
        <v>611695.41589395667</v>
      </c>
      <c r="T13" s="36">
        <f>IF($B13&lt;3,'Projection - Base'!I13*0,'Projection - Base'!I13*'Other Inputs'!$C$6)</f>
        <v>269865.62465909851</v>
      </c>
      <c r="U13" s="36">
        <f>IF($B13&lt;3,'Projection - Base'!J13*0,'Projection - Base'!J13*'Other Inputs'!$C$6)</f>
        <v>239880.55525253201</v>
      </c>
      <c r="V13" s="36">
        <f t="shared" si="3"/>
        <v>1121441.5958055872</v>
      </c>
      <c r="W13" s="53">
        <f>+V13/SUM('Projection - Base'!K13)</f>
        <v>0.3</v>
      </c>
      <c r="X13" s="35"/>
      <c r="Y13" s="36">
        <f>IF($B13&lt;6,'Projection - Base'!H13*0,'Projection - Base'!H13*'Other Inputs'!$C$7)</f>
        <v>407796.94392930449</v>
      </c>
      <c r="Z13" s="36">
        <f>IF($B13&lt;6,'Projection - Base'!I13*0,'Projection - Base'!I13*'Other Inputs'!$C$7)</f>
        <v>179910.41643939901</v>
      </c>
      <c r="AA13" s="36">
        <f>IF($B13&lt;6,'Projection - Base'!J13*0,'Projection - Base'!J13*'Other Inputs'!$C$7)</f>
        <v>159920.37016835471</v>
      </c>
      <c r="AB13" s="36">
        <f t="shared" si="4"/>
        <v>747627.7305370582</v>
      </c>
      <c r="AC13" s="53">
        <f>AB13/SUM('Projection - Base'!K13)</f>
        <v>0.19999999999999998</v>
      </c>
      <c r="AE13" s="37">
        <f>K13*(Inputs!$C$19)*(1+Inputs!$C$20)^('Projection - ScenarioA'!B13-'Projection - ScenarioA'!$B$4)/100000</f>
        <v>2447.4469743847026</v>
      </c>
      <c r="AF13" s="37">
        <f>Q13*(Inputs!$C$21)*(1+Inputs!$C$22)^('Projection - ScenarioA'!B13-'Projection - ScenarioA'!$B$4)/100000</f>
        <v>4680.1743443047426</v>
      </c>
      <c r="AG13" s="40">
        <f>+V13*'Other Inputs'!$C$9/100000*(1+Inputs!$C$20)^('Projection - Base'!$B13-1)</f>
        <v>1037.5046956630806</v>
      </c>
      <c r="AH13" s="40">
        <f>+AB13*'Other Inputs'!$C$10/100000*(1+0)^('Projection - Base'!$B13-1)</f>
        <v>299.05109221482331</v>
      </c>
      <c r="AJ13" s="38">
        <f>H13*Inputs!$C$25/1000</f>
        <v>2732.23952432634</v>
      </c>
      <c r="AK13" s="38">
        <f>I13*Inputs!$C$25/1000</f>
        <v>1205.3997901439734</v>
      </c>
      <c r="AL13" s="38">
        <f>J13*Inputs!$C$25/1000</f>
        <v>1071.4664801279764</v>
      </c>
      <c r="AM13" s="38">
        <f t="shared" si="5"/>
        <v>5009.1057945982902</v>
      </c>
      <c r="AO13" s="38">
        <f>N13*Inputs!$C$26/1000</f>
        <v>23604.246636849151</v>
      </c>
      <c r="AP13" s="38">
        <f>O13*Inputs!$C$26/1000</f>
        <v>11679.184533857651</v>
      </c>
      <c r="AQ13" s="38">
        <f>P13*Inputs!$C$26/1000</f>
        <v>3934.0411061415248</v>
      </c>
      <c r="AR13" s="38">
        <f t="shared" si="6"/>
        <v>39217.472276848326</v>
      </c>
      <c r="AT13" s="37">
        <f>+S13*'Other Inputs'!$C$8/1000</f>
        <v>1676.0454395494414</v>
      </c>
      <c r="AU13" s="37">
        <f>+T13*'Other Inputs'!$C$8/1000</f>
        <v>739.43181156593005</v>
      </c>
      <c r="AV13" s="37">
        <f>+U13*'Other Inputs'!$C$8/1000</f>
        <v>657.27272139193781</v>
      </c>
      <c r="AW13" s="38">
        <f t="shared" si="7"/>
        <v>3072.7499725073094</v>
      </c>
      <c r="AY13" s="38">
        <f t="shared" si="8"/>
        <v>47299.328043953923</v>
      </c>
      <c r="AZ13" s="35"/>
      <c r="BA13" s="37">
        <f>AM13*'Other Inputs'!$C$11</f>
        <v>1753.1870281094016</v>
      </c>
      <c r="BB13" s="37">
        <f>AR13*'Other Inputs'!$C$11</f>
        <v>13726.115296896913</v>
      </c>
      <c r="BC13" s="37">
        <f>AW13*'Other Inputs'!$C$11</f>
        <v>1075.4624903775582</v>
      </c>
      <c r="BD13" s="37">
        <f t="shared" si="9"/>
        <v>16554.764815383871</v>
      </c>
      <c r="BF13" s="39">
        <f>Inputs!$C$29</f>
        <v>200</v>
      </c>
      <c r="BH13" s="39">
        <f>Inputs!$C$30</f>
        <v>50</v>
      </c>
      <c r="BJ13" s="40">
        <f t="shared" si="10"/>
        <v>8464.1771065673493</v>
      </c>
      <c r="BK13" s="40">
        <f t="shared" si="11"/>
        <v>94.598656087907855</v>
      </c>
      <c r="BL13" s="40">
        <f>BD13*Inputs!$C$31*BH13/100000</f>
        <v>744.9644166922742</v>
      </c>
      <c r="BM13" s="40">
        <f t="shared" si="12"/>
        <v>9303.740179347531</v>
      </c>
    </row>
    <row r="14" spans="2:65" ht="14.25" customHeight="1" x14ac:dyDescent="0.35">
      <c r="B14" s="41" t="s">
        <v>93</v>
      </c>
      <c r="C14" s="42">
        <f>SUM(C4:C13)</f>
        <v>1738387.495909181</v>
      </c>
      <c r="D14" s="42">
        <f>SUM(D4:D13)</f>
        <v>1086492.1849432378</v>
      </c>
      <c r="E14" s="42">
        <f>SUM(E4:E13)</f>
        <v>579462.49863639357</v>
      </c>
      <c r="F14" s="42">
        <f>SUM(F4:F13)</f>
        <v>3404342.1794888121</v>
      </c>
      <c r="G14" s="42"/>
      <c r="H14" s="42">
        <f>SUM(H4:H13)</f>
        <v>9221413.4534540176</v>
      </c>
      <c r="I14" s="42">
        <f>SUM(I4:I13)</f>
        <v>4068270.6412297129</v>
      </c>
      <c r="J14" s="42">
        <f>SUM(J4:J13)</f>
        <v>3616240.5699819676</v>
      </c>
      <c r="K14" s="42">
        <f>SUM(K4:K13)</f>
        <v>16905924.664665699</v>
      </c>
      <c r="L14" s="42"/>
      <c r="M14" s="42"/>
      <c r="N14" s="42">
        <f>SUM(N4:N13)</f>
        <v>208606499.50910169</v>
      </c>
      <c r="O14" s="42">
        <f>SUM(O4:O13)</f>
        <v>103216757.56960759</v>
      </c>
      <c r="P14" s="42">
        <f>SUM(P4:P13)</f>
        <v>34767749.918183617</v>
      </c>
      <c r="Q14" s="42">
        <f>SUM(Q4:Q13)</f>
        <v>346591006.99689293</v>
      </c>
      <c r="R14" s="42"/>
      <c r="S14" s="42">
        <f>SUM(S4:S13)</f>
        <v>3796408.1145684109</v>
      </c>
      <c r="T14" s="42">
        <f>SUM(T4:T13)</f>
        <v>1674885.9328978281</v>
      </c>
      <c r="U14" s="42">
        <f>SUM(U4:U13)</f>
        <v>1488787.4959091807</v>
      </c>
      <c r="V14" s="42">
        <f>SUM(V4:V13)</f>
        <v>6960081.5433754185</v>
      </c>
      <c r="W14" s="42"/>
      <c r="X14" s="42"/>
      <c r="Y14" s="42">
        <f>SUM(Y4:Y13)</f>
        <v>1758472.147205607</v>
      </c>
      <c r="Z14" s="42">
        <f>SUM(Z4:Z13)</f>
        <v>775796.53553188534</v>
      </c>
      <c r="AA14" s="42">
        <f>SUM(AA4:AA13)</f>
        <v>689596.92047278711</v>
      </c>
      <c r="AB14" s="42">
        <f>SUM(AB4:AB13)</f>
        <v>3223865.6032102793</v>
      </c>
      <c r="AC14" s="42"/>
      <c r="AD14" s="42"/>
      <c r="AE14" s="42">
        <f>SUM(AE4:AE13)</f>
        <v>18626.599321832142</v>
      </c>
      <c r="AF14" s="42">
        <f>SUM(AF4:AF13)</f>
        <v>30354.545734916319</v>
      </c>
      <c r="AG14" s="42">
        <f>SUM(AG4:AG13)</f>
        <v>5724.7627350062585</v>
      </c>
      <c r="AH14" s="42">
        <f>SUM(AH4:AH13)</f>
        <v>1289.5462412841118</v>
      </c>
      <c r="AI14" s="42"/>
      <c r="AJ14" s="42">
        <f>SUM(AJ4:AJ13)</f>
        <v>24713.388055256772</v>
      </c>
      <c r="AK14" s="42">
        <f>SUM(AK4:AK13)</f>
        <v>10902.965318495633</v>
      </c>
      <c r="AL14" s="42">
        <f>SUM(AL4:AL13)</f>
        <v>9691.5247275516722</v>
      </c>
      <c r="AM14" s="42">
        <f>SUM(AM4:AM13)</f>
        <v>45307.878101304079</v>
      </c>
      <c r="AN14" s="42"/>
      <c r="AO14" s="42">
        <f>SUM(AO4:AO13)</f>
        <v>171057.32959746339</v>
      </c>
      <c r="AP14" s="42">
        <f>SUM(AP4:AP13)</f>
        <v>84637.74120707823</v>
      </c>
      <c r="AQ14" s="42">
        <f>SUM(AQ4:AQ13)</f>
        <v>28509.55493291056</v>
      </c>
      <c r="AR14" s="42">
        <f>SUM(AR4:AR13)</f>
        <v>284204.62573745212</v>
      </c>
      <c r="AS14" s="42"/>
      <c r="AT14" s="42">
        <f>SUM(AT4:AT13)</f>
        <v>10402.158233917447</v>
      </c>
      <c r="AU14" s="42">
        <f>SUM(AU4:AU13)</f>
        <v>4589.18745614005</v>
      </c>
      <c r="AV14" s="42">
        <f>SUM(AV4:AV13)</f>
        <v>4079.2777387911551</v>
      </c>
      <c r="AW14" s="42">
        <f>SUM(AW4:AW13)</f>
        <v>19070.623428848652</v>
      </c>
      <c r="AX14" s="42"/>
      <c r="AY14" s="42">
        <f>SUM(AY4:AY13)</f>
        <v>348583.12726760487</v>
      </c>
      <c r="AZ14" s="35"/>
      <c r="BA14" s="42">
        <f>SUM(BA4:BA13)</f>
        <v>15857.757335456428</v>
      </c>
      <c r="BB14" s="42">
        <f>SUM(BB4:BB13)</f>
        <v>99471.619008108246</v>
      </c>
      <c r="BC14" s="42">
        <f>SUM(BC4:BC13)</f>
        <v>6674.7182000970279</v>
      </c>
      <c r="BD14" s="42">
        <f>SUM(BD4:BD13)</f>
        <v>122004.09454366172</v>
      </c>
      <c r="BE14" s="42"/>
      <c r="BF14" s="42">
        <f>SUM(BF4:BF13)</f>
        <v>2000</v>
      </c>
      <c r="BG14" s="42"/>
      <c r="BH14" s="42">
        <f>SUM(BH4:BH13)</f>
        <v>500</v>
      </c>
      <c r="BI14" s="42"/>
      <c r="BJ14" s="42">
        <f>SUM(BJ4:BJ13)</f>
        <v>55995.454033038826</v>
      </c>
      <c r="BK14" s="42">
        <f>SUM(BK4:BK13)</f>
        <v>697.16625453520987</v>
      </c>
      <c r="BL14" s="42">
        <f>SUM(BL4:BL13)</f>
        <v>5490.1842544647761</v>
      </c>
      <c r="BM14" s="43">
        <f>SUM(BM4:BM13)</f>
        <v>62182.804542038823</v>
      </c>
    </row>
    <row r="15" spans="2:65" ht="14.25" customHeight="1" x14ac:dyDescent="0.35">
      <c r="B15" s="41" t="s">
        <v>141</v>
      </c>
      <c r="C15" s="42" t="b">
        <f>C14='Projection - Base'!C14</f>
        <v>1</v>
      </c>
      <c r="D15" s="42" t="b">
        <f>D14='Projection - Base'!D14</f>
        <v>1</v>
      </c>
      <c r="E15" s="42" t="b">
        <f>E14='Projection - Base'!E14</f>
        <v>1</v>
      </c>
      <c r="F15" s="42" t="b">
        <f>F14='Projection - Base'!F14</f>
        <v>1</v>
      </c>
      <c r="G15" s="42"/>
      <c r="H15" s="42"/>
      <c r="I15" s="42"/>
      <c r="J15" s="42"/>
      <c r="K15" s="42"/>
      <c r="L15" s="42"/>
      <c r="M15" s="42"/>
      <c r="N15" s="42" t="b">
        <f>N14='Projection - Base'!M14</f>
        <v>1</v>
      </c>
      <c r="O15" s="42" t="b">
        <f>O14='Projection - Base'!N14</f>
        <v>1</v>
      </c>
      <c r="P15" s="42" t="b">
        <f>P14='Projection - Base'!O14</f>
        <v>1</v>
      </c>
      <c r="Q15" s="42" t="b">
        <f>Q14='Projection - Base'!P14</f>
        <v>1</v>
      </c>
      <c r="R15" s="42"/>
      <c r="AE15" s="42"/>
      <c r="AF15" s="42"/>
      <c r="AG15" s="42"/>
      <c r="AH15" s="42"/>
      <c r="AI15" s="42"/>
      <c r="AJ15" s="42"/>
      <c r="AK15" s="42"/>
      <c r="AL15" s="42"/>
      <c r="AM15" s="42"/>
      <c r="AN15" s="42"/>
      <c r="AO15" s="42"/>
      <c r="AP15" s="42"/>
      <c r="AQ15" s="42"/>
      <c r="AR15" s="42"/>
      <c r="AS15" s="42"/>
      <c r="AX15" s="42"/>
      <c r="AY15" s="42"/>
      <c r="BA15" s="42"/>
      <c r="BB15" s="42"/>
      <c r="BC15" s="42"/>
      <c r="BD15" s="42"/>
      <c r="BE15" s="42"/>
      <c r="BF15" s="42"/>
      <c r="BG15" s="42"/>
      <c r="BH15" s="42"/>
      <c r="BI15" s="42"/>
      <c r="BJ15" s="42"/>
      <c r="BK15" s="42"/>
      <c r="BL15" s="42"/>
      <c r="BM15" s="42"/>
    </row>
    <row r="16" spans="2:65" ht="14.25" customHeight="1" x14ac:dyDescent="0.35">
      <c r="B16" s="44" t="s">
        <v>115</v>
      </c>
      <c r="S16" s="42"/>
      <c r="T16" s="42"/>
      <c r="U16" s="42"/>
      <c r="V16" s="42"/>
      <c r="W16" s="42"/>
      <c r="X16" s="54"/>
      <c r="Y16" s="42"/>
      <c r="Z16" s="42"/>
      <c r="AA16" s="42"/>
      <c r="AB16" s="42"/>
      <c r="AC16" s="42"/>
      <c r="AD16" s="54"/>
      <c r="AT16" s="55"/>
      <c r="AU16" s="55"/>
      <c r="AV16" s="55"/>
      <c r="AW16" s="56"/>
      <c r="AZ16" s="54"/>
      <c r="BJ16" s="45">
        <f>NPV(Inputs!$C$32,BJ4:BJ13)</f>
        <v>33583.466167043414</v>
      </c>
      <c r="BK16" s="45">
        <f>NPV(Inputs!$C$32,BK4:BK13)</f>
        <v>425.5680322087091</v>
      </c>
      <c r="BL16" s="45">
        <f>NPV(Inputs!$C$32,BL4:BL13)</f>
        <v>3351.3482536435836</v>
      </c>
      <c r="BM16" s="45">
        <f>NPV(Inputs!$C$32,BM4:BM13)</f>
        <v>37360.382452895705</v>
      </c>
    </row>
    <row r="17" spans="2:65" ht="14.25" customHeight="1" x14ac:dyDescent="0.35">
      <c r="B17" s="35" t="s">
        <v>142</v>
      </c>
      <c r="S17" s="36"/>
      <c r="T17" s="36"/>
      <c r="U17" s="36"/>
      <c r="V17" s="36"/>
      <c r="W17" s="36"/>
      <c r="X17" s="35"/>
      <c r="Y17" s="36"/>
      <c r="Z17" s="36"/>
      <c r="AA17" s="36"/>
      <c r="AB17" s="36"/>
      <c r="AC17" s="36"/>
      <c r="AT17" s="35"/>
      <c r="AU17" s="35"/>
      <c r="AV17" s="35"/>
      <c r="AW17" s="35"/>
      <c r="AZ17" s="35"/>
    </row>
    <row r="18" spans="2:65" ht="14.25" customHeight="1" x14ac:dyDescent="0.35">
      <c r="C18" s="57" t="s">
        <v>143</v>
      </c>
      <c r="D18" s="57"/>
      <c r="E18" s="57"/>
      <c r="F18" s="48"/>
    </row>
    <row r="19" spans="2:65" ht="14.25" customHeight="1" x14ac:dyDescent="0.35">
      <c r="C19" s="111" t="s">
        <v>89</v>
      </c>
      <c r="D19" s="111"/>
      <c r="E19" s="111"/>
      <c r="F19" s="48"/>
    </row>
    <row r="20" spans="2:65" ht="14.25" customHeight="1" x14ac:dyDescent="0.35">
      <c r="C20" s="58" t="s">
        <v>78</v>
      </c>
      <c r="D20" s="58" t="s">
        <v>144</v>
      </c>
      <c r="E20" s="58" t="s">
        <v>145</v>
      </c>
      <c r="F20" s="48"/>
      <c r="H20" s="48"/>
      <c r="I20" s="48"/>
      <c r="J20" s="48"/>
      <c r="K20" s="48"/>
      <c r="L20" s="48"/>
      <c r="P20" s="48"/>
      <c r="AE20" s="48"/>
      <c r="AF20" s="48"/>
      <c r="AG20" s="48"/>
      <c r="AH20" s="48"/>
      <c r="BJ20" s="49"/>
      <c r="BK20" s="49"/>
      <c r="BL20" s="49"/>
      <c r="BM20" s="49"/>
    </row>
    <row r="21" spans="2:65" ht="14.25" customHeight="1" x14ac:dyDescent="0.35">
      <c r="C21" s="59">
        <f t="shared" ref="C21:C30" si="13">B4</f>
        <v>1</v>
      </c>
      <c r="D21" s="60">
        <f>'Projection - Base'!AR4</f>
        <v>3979.0166500000005</v>
      </c>
      <c r="E21" s="61">
        <f t="shared" ref="E21:E30" si="14">BM4</f>
        <v>3951.9592750000002</v>
      </c>
      <c r="F21" s="48"/>
      <c r="H21" s="48"/>
      <c r="I21" s="48"/>
      <c r="J21" s="48"/>
      <c r="K21" s="48"/>
      <c r="L21" s="48"/>
      <c r="P21" s="48"/>
      <c r="AE21" s="48"/>
      <c r="AF21" s="48"/>
      <c r="AG21" s="48"/>
      <c r="AH21" s="48"/>
    </row>
    <row r="22" spans="2:65" ht="14.25" customHeight="1" x14ac:dyDescent="0.35">
      <c r="C22" s="59">
        <f t="shared" si="13"/>
        <v>2</v>
      </c>
      <c r="D22" s="60">
        <f>'Projection - Base'!AR5</f>
        <v>4429.797012</v>
      </c>
      <c r="E22" s="61">
        <f t="shared" si="14"/>
        <v>4400.5750470000003</v>
      </c>
      <c r="F22" s="48"/>
      <c r="H22" s="48"/>
      <c r="I22" s="48"/>
      <c r="J22" s="48"/>
      <c r="K22" s="48"/>
      <c r="L22" s="48"/>
      <c r="P22" s="48"/>
      <c r="AE22" s="48"/>
      <c r="AF22" s="48"/>
      <c r="AG22" s="48"/>
      <c r="AH22" s="48"/>
      <c r="BM22" s="41"/>
    </row>
    <row r="23" spans="2:65" ht="14.25" customHeight="1" x14ac:dyDescent="0.35">
      <c r="C23" s="59">
        <f t="shared" si="13"/>
        <v>3</v>
      </c>
      <c r="D23" s="60">
        <f>'Projection - Base'!AR6</f>
        <v>4932.3308677560017</v>
      </c>
      <c r="E23" s="61">
        <f t="shared" si="14"/>
        <v>4710.3767727192017</v>
      </c>
      <c r="F23" s="48"/>
      <c r="H23" s="48"/>
      <c r="I23" s="48"/>
      <c r="J23" s="48"/>
      <c r="K23" s="48"/>
      <c r="L23" s="48"/>
      <c r="P23" s="48"/>
      <c r="AE23" s="48"/>
      <c r="AF23" s="48"/>
      <c r="AG23" s="48"/>
      <c r="AH23" s="48"/>
    </row>
    <row r="24" spans="2:65" ht="14.25" customHeight="1" x14ac:dyDescent="0.35">
      <c r="C24" s="59">
        <f t="shared" si="13"/>
        <v>4</v>
      </c>
      <c r="D24" s="60">
        <f>'Projection - Base'!AR7</f>
        <v>5492.6210613738676</v>
      </c>
      <c r="E24" s="61">
        <f t="shared" si="14"/>
        <v>5244.6554964743718</v>
      </c>
      <c r="F24" s="48"/>
      <c r="H24" s="48"/>
      <c r="I24" s="48"/>
      <c r="J24" s="48"/>
      <c r="K24" s="48"/>
      <c r="L24" s="48"/>
      <c r="P24" s="48"/>
      <c r="AE24" s="48"/>
      <c r="AF24" s="48"/>
      <c r="AG24" s="48"/>
      <c r="AH24" s="48"/>
    </row>
    <row r="25" spans="2:65" ht="14.25" customHeight="1" x14ac:dyDescent="0.35">
      <c r="C25" s="59">
        <f t="shared" si="13"/>
        <v>5</v>
      </c>
      <c r="D25" s="60">
        <f>'Projection - Base'!AR8</f>
        <v>6117.3721998648143</v>
      </c>
      <c r="E25" s="61">
        <f t="shared" si="14"/>
        <v>5840.2972139872036</v>
      </c>
      <c r="F25" s="48"/>
      <c r="H25" s="48"/>
      <c r="I25" s="48"/>
      <c r="J25" s="48"/>
      <c r="K25" s="48"/>
      <c r="L25" s="48"/>
      <c r="P25" s="48"/>
      <c r="AE25" s="48"/>
      <c r="AF25" s="48"/>
      <c r="AG25" s="48"/>
      <c r="AH25" s="48"/>
    </row>
    <row r="26" spans="2:65" ht="14.25" customHeight="1" x14ac:dyDescent="0.35">
      <c r="C26" s="59">
        <f t="shared" si="13"/>
        <v>6</v>
      </c>
      <c r="D26" s="60">
        <f>'Projection - Base'!AR9</f>
        <v>6814.0731957139815</v>
      </c>
      <c r="E26" s="61">
        <f t="shared" si="14"/>
        <v>6082.9892695270046</v>
      </c>
      <c r="F26" s="48"/>
      <c r="H26" s="48"/>
      <c r="I26" s="48"/>
      <c r="J26" s="48"/>
      <c r="K26" s="48"/>
      <c r="L26" s="48"/>
      <c r="P26" s="48"/>
      <c r="AE26" s="48"/>
      <c r="AF26" s="48"/>
      <c r="AG26" s="48"/>
      <c r="AH26" s="48"/>
    </row>
    <row r="27" spans="2:65" ht="14.25" customHeight="1" x14ac:dyDescent="0.35">
      <c r="C27" s="59">
        <f t="shared" si="13"/>
        <v>7</v>
      </c>
      <c r="D27" s="60">
        <f>'Projection - Base'!AR10</f>
        <v>7591.0895653054195</v>
      </c>
      <c r="E27" s="61">
        <f t="shared" si="14"/>
        <v>6763.2490802030425</v>
      </c>
      <c r="F27" s="36"/>
      <c r="H27" s="48"/>
      <c r="I27" s="48"/>
      <c r="J27" s="48"/>
      <c r="K27" s="48"/>
      <c r="L27" s="48"/>
      <c r="P27" s="48"/>
      <c r="AE27" s="48"/>
      <c r="AF27" s="48"/>
      <c r="AG27" s="48"/>
      <c r="AH27" s="48"/>
    </row>
    <row r="28" spans="2:65" ht="14.25" customHeight="1" x14ac:dyDescent="0.35">
      <c r="C28" s="59">
        <f t="shared" si="13"/>
        <v>8</v>
      </c>
      <c r="D28" s="60">
        <f>'Projection - Base'!AR11</f>
        <v>8457.7666407893921</v>
      </c>
      <c r="E28" s="61">
        <f t="shared" si="14"/>
        <v>7520.7142271765015</v>
      </c>
      <c r="H28" s="48"/>
      <c r="I28" s="48"/>
      <c r="J28" s="48"/>
      <c r="K28" s="48"/>
      <c r="L28" s="48"/>
      <c r="P28" s="48"/>
      <c r="AE28" s="48"/>
      <c r="AF28" s="48"/>
      <c r="AG28" s="48"/>
      <c r="AH28" s="48"/>
    </row>
    <row r="29" spans="2:65" ht="14.25" customHeight="1" x14ac:dyDescent="0.35">
      <c r="C29" s="59">
        <f t="shared" si="13"/>
        <v>9</v>
      </c>
      <c r="D29" s="60">
        <f>'Projection - Base'!AR12</f>
        <v>9424.5449907795228</v>
      </c>
      <c r="E29" s="61">
        <f t="shared" si="14"/>
        <v>8364.2479806039591</v>
      </c>
      <c r="H29" s="36"/>
      <c r="I29" s="36"/>
      <c r="J29" s="36"/>
      <c r="K29" s="36"/>
      <c r="L29" s="36"/>
      <c r="P29" s="36"/>
      <c r="Q29" s="36"/>
      <c r="AE29" s="40"/>
      <c r="AF29" s="40"/>
      <c r="AG29" s="40"/>
      <c r="AH29" s="40"/>
      <c r="BA29" s="37"/>
      <c r="BB29" s="37"/>
      <c r="BC29" s="37"/>
      <c r="BD29" s="37"/>
      <c r="BF29" s="39"/>
      <c r="BH29" s="39"/>
      <c r="BJ29" s="40"/>
      <c r="BK29" s="40"/>
      <c r="BL29" s="40"/>
      <c r="BM29" s="40"/>
    </row>
    <row r="30" spans="2:65" ht="13.5" customHeight="1" x14ac:dyDescent="0.35">
      <c r="C30" s="59">
        <f t="shared" si="13"/>
        <v>10</v>
      </c>
      <c r="D30" s="60">
        <f>'Projection - Base'!AR13</f>
        <v>10503.089499518745</v>
      </c>
      <c r="E30" s="61">
        <f t="shared" si="14"/>
        <v>9303.740179347531</v>
      </c>
    </row>
    <row r="31" spans="2:65" ht="14.25" customHeight="1" x14ac:dyDescent="0.35">
      <c r="B31" s="50"/>
      <c r="AE31" s="48"/>
      <c r="AF31" s="48"/>
      <c r="AG31" s="48"/>
      <c r="AH31" s="48"/>
    </row>
    <row r="32" spans="2:65" ht="14.25" customHeight="1" x14ac:dyDescent="0.35">
      <c r="B32" s="50"/>
      <c r="AE32" s="48"/>
      <c r="AF32" s="48"/>
      <c r="AG32" s="48"/>
      <c r="AH32" s="48"/>
    </row>
    <row r="33" spans="2:34" ht="14.25" customHeight="1" x14ac:dyDescent="0.35">
      <c r="B33" s="50"/>
      <c r="AE33" s="48"/>
      <c r="AF33" s="48"/>
      <c r="AG33" s="48"/>
      <c r="AH33" s="48"/>
    </row>
    <row r="34" spans="2:34" ht="14.25" customHeight="1" x14ac:dyDescent="0.35">
      <c r="B34" s="50"/>
      <c r="AE34" s="48"/>
      <c r="AF34" s="48"/>
      <c r="AG34" s="48"/>
      <c r="AH34" s="48"/>
    </row>
    <row r="35" spans="2:34" ht="14.25" customHeight="1" x14ac:dyDescent="0.35">
      <c r="B35" s="50"/>
      <c r="AE35" s="48"/>
      <c r="AF35" s="48"/>
      <c r="AG35" s="48"/>
      <c r="AH35" s="48"/>
    </row>
    <row r="36" spans="2:34" ht="14.25" customHeight="1" x14ac:dyDescent="0.35">
      <c r="B36" s="50"/>
      <c r="AE36" s="48"/>
      <c r="AF36" s="48"/>
      <c r="AG36" s="48"/>
      <c r="AH36" s="48"/>
    </row>
    <row r="37" spans="2:34" ht="14.25" customHeight="1" x14ac:dyDescent="0.35">
      <c r="B37" s="50"/>
      <c r="AE37" s="48"/>
      <c r="AF37" s="48"/>
      <c r="AG37" s="48"/>
      <c r="AH37" s="48"/>
    </row>
    <row r="38" spans="2:34" ht="14.25" customHeight="1" x14ac:dyDescent="0.35">
      <c r="B38" s="50"/>
      <c r="AE38" s="48"/>
      <c r="AF38" s="48"/>
      <c r="AG38" s="48"/>
      <c r="AH38" s="48"/>
    </row>
    <row r="39" spans="2:34" ht="14.25" customHeight="1" x14ac:dyDescent="0.35">
      <c r="B39" s="50"/>
      <c r="AE39" s="48"/>
      <c r="AF39" s="48"/>
      <c r="AG39" s="48"/>
      <c r="AH39" s="48"/>
    </row>
  </sheetData>
  <mergeCells count="13">
    <mergeCell ref="BA2:BD2"/>
    <mergeCell ref="BJ2:BM2"/>
    <mergeCell ref="C19:E19"/>
    <mergeCell ref="AE2:AH2"/>
    <mergeCell ref="AJ2:AM2"/>
    <mergeCell ref="AO2:AR2"/>
    <mergeCell ref="AT2:AW2"/>
    <mergeCell ref="AY2:AY3"/>
    <mergeCell ref="C2:F2"/>
    <mergeCell ref="H2:K2"/>
    <mergeCell ref="N2:Q2"/>
    <mergeCell ref="S2:W2"/>
    <mergeCell ref="Y2:AC2"/>
  </mergeCells>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V39"/>
  <sheetViews>
    <sheetView showGridLines="0" zoomScale="70" zoomScaleNormal="70" workbookViewId="0">
      <pane xSplit="2" ySplit="3" topLeftCell="C4" activePane="bottomRight" state="frozen"/>
      <selection pane="topRight" activeCell="AA1" sqref="AA1"/>
      <selection pane="bottomLeft" activeCell="A4" sqref="A4"/>
      <selection pane="bottomRight" activeCell="C4" sqref="C4"/>
    </sheetView>
  </sheetViews>
  <sheetFormatPr defaultColWidth="8.54296875" defaultRowHeight="14.5" x14ac:dyDescent="0.35"/>
  <cols>
    <col min="1" max="1" width="2.54296875" style="35" customWidth="1"/>
    <col min="2" max="6" width="12.54296875" style="35" customWidth="1"/>
    <col min="7" max="7" width="2.54296875" style="35" customWidth="1"/>
    <col min="8" max="11" width="12.54296875" style="35" customWidth="1"/>
    <col min="12" max="12" width="2.54296875" style="35" customWidth="1"/>
    <col min="13" max="15" width="15.453125" style="35" customWidth="1"/>
    <col min="16" max="16" width="12.54296875" style="35" customWidth="1"/>
    <col min="17" max="17" width="2.54296875" style="35" customWidth="1"/>
    <col min="18" max="19" width="12.54296875" style="35" customWidth="1"/>
    <col min="20" max="20" width="2.54296875" style="35" customWidth="1"/>
    <col min="21" max="21" width="13.54296875" style="35" customWidth="1"/>
    <col min="22" max="22" width="11.81640625" style="35" customWidth="1"/>
    <col min="23" max="23" width="12.7265625" style="35" customWidth="1"/>
    <col min="24" max="24" width="15" style="35" customWidth="1"/>
    <col min="25" max="25" width="2.54296875" style="35" customWidth="1"/>
    <col min="26" max="26" width="13.54296875" style="35" customWidth="1"/>
    <col min="27" max="27" width="11.81640625" style="35" customWidth="1"/>
    <col min="28" max="28" width="12.7265625" style="35" customWidth="1"/>
    <col min="29" max="29" width="13.81640625" style="35" customWidth="1"/>
    <col min="30" max="30" width="2.54296875" style="35" customWidth="1"/>
    <col min="31" max="31" width="13.81640625" style="35" customWidth="1"/>
    <col min="32" max="32" width="2.54296875" style="35" customWidth="1"/>
    <col min="33" max="35" width="12.54296875" style="35" customWidth="1"/>
    <col min="36" max="36" width="2.54296875" style="35" customWidth="1"/>
    <col min="37" max="37" width="12.54296875" style="35" customWidth="1"/>
    <col min="38" max="38" width="2.54296875" style="35" customWidth="1"/>
    <col min="39" max="39" width="12.54296875" style="35" customWidth="1"/>
    <col min="40" max="40" width="2.54296875" style="35" customWidth="1"/>
    <col min="41" max="44" width="12.54296875" style="35" customWidth="1"/>
    <col min="45" max="45" width="2.1796875" style="35" customWidth="1"/>
    <col min="46" max="46" width="15.453125" customWidth="1"/>
    <col min="47" max="47" width="10" customWidth="1"/>
    <col min="48" max="48" width="10.453125" customWidth="1"/>
    <col min="49" max="16384" width="8.54296875" style="35"/>
  </cols>
  <sheetData>
    <row r="2" spans="2:48" ht="24.75" customHeight="1" x14ac:dyDescent="0.35">
      <c r="C2" s="110" t="s">
        <v>81</v>
      </c>
      <c r="D2" s="110"/>
      <c r="E2" s="110"/>
      <c r="F2" s="110"/>
      <c r="H2" s="110" t="s">
        <v>82</v>
      </c>
      <c r="I2" s="110"/>
      <c r="J2" s="110"/>
      <c r="K2" s="110"/>
      <c r="M2" s="110" t="s">
        <v>83</v>
      </c>
      <c r="N2" s="110"/>
      <c r="O2" s="110"/>
      <c r="P2" s="110"/>
      <c r="R2" s="110" t="s">
        <v>84</v>
      </c>
      <c r="S2" s="110"/>
      <c r="U2" s="110" t="s">
        <v>85</v>
      </c>
      <c r="V2" s="110"/>
      <c r="W2" s="110"/>
      <c r="X2" s="110"/>
      <c r="Z2" s="110" t="s">
        <v>86</v>
      </c>
      <c r="AA2" s="110"/>
      <c r="AB2" s="110"/>
      <c r="AC2" s="110"/>
      <c r="AE2" s="110" t="s">
        <v>87</v>
      </c>
      <c r="AG2" s="110" t="s">
        <v>88</v>
      </c>
      <c r="AH2" s="110"/>
      <c r="AI2" s="110"/>
      <c r="AK2" s="6"/>
      <c r="AM2" s="6"/>
      <c r="AO2" s="110" t="s">
        <v>89</v>
      </c>
      <c r="AP2" s="110"/>
      <c r="AQ2" s="110"/>
      <c r="AR2" s="110"/>
      <c r="AT2" s="110" t="s">
        <v>146</v>
      </c>
      <c r="AU2" s="110"/>
      <c r="AV2" s="110"/>
    </row>
    <row r="3" spans="2:48" ht="51.75" customHeight="1" x14ac:dyDescent="0.35">
      <c r="B3" s="6" t="s">
        <v>78</v>
      </c>
      <c r="C3" s="6" t="s">
        <v>90</v>
      </c>
      <c r="D3" s="6" t="s">
        <v>91</v>
      </c>
      <c r="E3" s="6" t="s">
        <v>92</v>
      </c>
      <c r="F3" s="6" t="s">
        <v>93</v>
      </c>
      <c r="H3" s="6" t="s">
        <v>94</v>
      </c>
      <c r="I3" s="6" t="s">
        <v>95</v>
      </c>
      <c r="J3" s="6" t="s">
        <v>96</v>
      </c>
      <c r="K3" s="6" t="s">
        <v>93</v>
      </c>
      <c r="M3" s="6" t="s">
        <v>97</v>
      </c>
      <c r="N3" s="6" t="s">
        <v>98</v>
      </c>
      <c r="O3" s="6" t="s">
        <v>99</v>
      </c>
      <c r="P3" s="6" t="s">
        <v>100</v>
      </c>
      <c r="R3" s="6" t="s">
        <v>101</v>
      </c>
      <c r="S3" s="6" t="s">
        <v>102</v>
      </c>
      <c r="U3" s="6" t="s">
        <v>103</v>
      </c>
      <c r="V3" s="6" t="s">
        <v>104</v>
      </c>
      <c r="W3" s="6" t="s">
        <v>105</v>
      </c>
      <c r="X3" s="6" t="s">
        <v>106</v>
      </c>
      <c r="Z3" s="6" t="s">
        <v>103</v>
      </c>
      <c r="AA3" s="6" t="s">
        <v>104</v>
      </c>
      <c r="AB3" s="6" t="s">
        <v>105</v>
      </c>
      <c r="AC3" s="6" t="s">
        <v>107</v>
      </c>
      <c r="AE3" s="110"/>
      <c r="AG3" s="6" t="s">
        <v>108</v>
      </c>
      <c r="AH3" s="6" t="s">
        <v>109</v>
      </c>
      <c r="AI3" s="6" t="s">
        <v>93</v>
      </c>
      <c r="AK3" s="6" t="s">
        <v>110</v>
      </c>
      <c r="AM3" s="6" t="s">
        <v>111</v>
      </c>
      <c r="AO3" s="6" t="s">
        <v>112</v>
      </c>
      <c r="AP3" s="6" t="s">
        <v>113</v>
      </c>
      <c r="AQ3" s="6" t="s">
        <v>114</v>
      </c>
      <c r="AR3" s="6" t="s">
        <v>93</v>
      </c>
      <c r="AT3" s="6" t="s">
        <v>147</v>
      </c>
      <c r="AU3" s="6" t="s">
        <v>148</v>
      </c>
      <c r="AV3" s="6" t="s">
        <v>149</v>
      </c>
    </row>
    <row r="4" spans="2:48" ht="14.25" customHeight="1" x14ac:dyDescent="0.35">
      <c r="B4" s="15">
        <v>1</v>
      </c>
      <c r="C4" s="36">
        <f>Inputs!C4</f>
        <v>120000</v>
      </c>
      <c r="D4" s="36">
        <f>Inputs!C5</f>
        <v>75000</v>
      </c>
      <c r="E4" s="36">
        <f>Inputs!C6</f>
        <v>40000</v>
      </c>
      <c r="F4" s="36">
        <f t="shared" ref="F4:F13" si="0">SUM(C4:E4)</f>
        <v>235000</v>
      </c>
      <c r="H4" s="36">
        <f>C4*Inputs!$C$13</f>
        <v>1020000</v>
      </c>
      <c r="I4" s="36">
        <f>D4*Inputs!$C$14</f>
        <v>450000</v>
      </c>
      <c r="J4" s="36">
        <f>E4*Inputs!$C$15</f>
        <v>400000</v>
      </c>
      <c r="K4" s="36">
        <f t="shared" ref="K4:K13" si="1">SUM(H4:J4)</f>
        <v>1870000</v>
      </c>
      <c r="M4" s="36">
        <f>C4*Inputs!$C$16</f>
        <v>14400000</v>
      </c>
      <c r="N4" s="36">
        <f>+D4*Inputs!$C$17</f>
        <v>7125000</v>
      </c>
      <c r="O4" s="36">
        <f>+E4*Inputs!$C$18</f>
        <v>2400000</v>
      </c>
      <c r="P4" s="36">
        <f t="shared" ref="P4:P13" si="2">SUM(M4:O4)</f>
        <v>23925000</v>
      </c>
      <c r="R4" s="37">
        <f>K4*(Inputs!$C$19)*(1+Inputs!$C$20)^('Projection - ScenarioB'!B4-'Projection - ScenarioB'!$B$4)/100000</f>
        <v>1720.4</v>
      </c>
      <c r="S4" s="37">
        <f>P4*(Inputs!$C$21)*(1+Inputs!$C$22)^('Projection - ScenarioB'!B4-'Projection - ScenarioB'!$B$4)/100000</f>
        <v>1794.375</v>
      </c>
      <c r="U4" s="38">
        <f>H4*Inputs!$C$25/1000</f>
        <v>2733.6</v>
      </c>
      <c r="V4" s="38">
        <f>I4*Inputs!$C$25/1000</f>
        <v>1206</v>
      </c>
      <c r="W4" s="38">
        <f>J4*Inputs!$C$25/1000</f>
        <v>1072</v>
      </c>
      <c r="X4" s="38">
        <f t="shared" ref="X4:X13" si="3">SUM(U4:W4)</f>
        <v>5011.6000000000004</v>
      </c>
      <c r="Z4" s="38">
        <f>M4*Inputs!$C$26/1000</f>
        <v>11808</v>
      </c>
      <c r="AA4" s="38">
        <f>N4*Inputs!$C$26/1000</f>
        <v>5842.5</v>
      </c>
      <c r="AB4" s="38">
        <f>O4*Inputs!$C$26/1000</f>
        <v>1967.9999999999998</v>
      </c>
      <c r="AC4" s="38">
        <f t="shared" ref="AC4:AC13" si="4">SUM(Z4:AB4)</f>
        <v>19618.5</v>
      </c>
      <c r="AE4" s="38">
        <f t="shared" ref="AE4:AE13" si="5">AC4+X4</f>
        <v>24630.1</v>
      </c>
      <c r="AG4" s="37">
        <f t="array" ref="AG4">SUMPRODUCT(U4:W4,TRANSPOSE(Inputs!$C$8:$C$10))</f>
        <v>1774.1599999999999</v>
      </c>
      <c r="AH4" s="37">
        <f t="array" ref="AH4">SUMPRODUCT(Z4:AB4,TRANSPOSE(Inputs!$C$8:$C$10))</f>
        <v>7447.6500000000005</v>
      </c>
      <c r="AI4" s="37">
        <f t="shared" ref="AI4:AI13" si="6">AH4+AG4</f>
        <v>9221.8100000000013</v>
      </c>
      <c r="AK4" s="39">
        <f>Inputs!$C$29</f>
        <v>200</v>
      </c>
      <c r="AM4" s="39">
        <f>Inputs!$C$30</f>
        <v>50</v>
      </c>
      <c r="AO4" s="40">
        <f t="shared" ref="AO4:AO13" si="7">R4+S4</f>
        <v>3514.7750000000001</v>
      </c>
      <c r="AP4" s="40">
        <f t="shared" ref="AP4:AP13" si="8">AE4*AK4/100000</f>
        <v>49.260199999999998</v>
      </c>
      <c r="AQ4" s="40">
        <f>AI4*Inputs!$C$31*AM4/100000</f>
        <v>414.98145000000005</v>
      </c>
      <c r="AR4" s="40">
        <f t="shared" ref="AR4:AR13" si="9">SUM(AO4:AQ4)</f>
        <v>3979.0166500000005</v>
      </c>
      <c r="AT4" s="62">
        <f>+(AC4+X4)*IF($B4&lt;6,'Other Inputs'!$C$16/100000,'Other Inputs'!$C$17/100000)</f>
        <v>197.04079999999999</v>
      </c>
      <c r="AU4" s="62">
        <f t="shared" ref="AU4:AU13" si="10">+AP4-AT4</f>
        <v>-147.78059999999999</v>
      </c>
      <c r="AV4" s="62">
        <f t="shared" ref="AV4:AV13" si="11">+AT4+AO4+AQ4</f>
        <v>4126.7972500000005</v>
      </c>
    </row>
    <row r="5" spans="2:48" ht="14.25" customHeight="1" x14ac:dyDescent="0.35">
      <c r="B5" s="15">
        <v>2</v>
      </c>
      <c r="C5" s="36">
        <f>C4*(1+Inputs!$C$7)</f>
        <v>129600.00000000001</v>
      </c>
      <c r="D5" s="36">
        <f>D4*(1+Inputs!$C$7)</f>
        <v>81000</v>
      </c>
      <c r="E5" s="36">
        <f>E4*(1+Inputs!$C$7)</f>
        <v>43200</v>
      </c>
      <c r="F5" s="36">
        <f t="shared" si="0"/>
        <v>253800</v>
      </c>
      <c r="H5" s="36">
        <f>C5*Inputs!$C$13</f>
        <v>1101600.0000000002</v>
      </c>
      <c r="I5" s="36">
        <f>D5*Inputs!$C$14</f>
        <v>486000</v>
      </c>
      <c r="J5" s="36">
        <f>E5*Inputs!$C$15</f>
        <v>432000</v>
      </c>
      <c r="K5" s="36">
        <f t="shared" si="1"/>
        <v>2019600.0000000002</v>
      </c>
      <c r="M5" s="36">
        <f>C5*Inputs!$C$16</f>
        <v>15552000.000000002</v>
      </c>
      <c r="N5" s="36">
        <f>+D5*Inputs!$C$17</f>
        <v>7695000</v>
      </c>
      <c r="O5" s="36">
        <f>+E5*Inputs!$C$18</f>
        <v>2592000</v>
      </c>
      <c r="P5" s="36">
        <f t="shared" si="2"/>
        <v>25839000</v>
      </c>
      <c r="R5" s="37">
        <f>K5*(Inputs!$C$19)*(1+Inputs!$C$20)^('Projection - ScenarioB'!B5-'Projection - ScenarioB'!$B$4)/100000</f>
        <v>1932.3532800000003</v>
      </c>
      <c r="S5" s="37">
        <f>P5*(Inputs!$C$21)*(1+Inputs!$C$22)^('Projection - ScenarioB'!B5-'Projection - ScenarioB'!$B$4)/100000</f>
        <v>1996.0627500000001</v>
      </c>
      <c r="U5" s="38">
        <f>H5*Inputs!$C$25/1000</f>
        <v>2952.2880000000009</v>
      </c>
      <c r="V5" s="38">
        <f>I5*Inputs!$C$25/1000</f>
        <v>1302.48</v>
      </c>
      <c r="W5" s="38">
        <f>J5*Inputs!$C$25/1000</f>
        <v>1157.76</v>
      </c>
      <c r="X5" s="38">
        <f t="shared" si="3"/>
        <v>5412.5280000000012</v>
      </c>
      <c r="Z5" s="38">
        <f>M5*Inputs!$C$26/1000</f>
        <v>12752.64</v>
      </c>
      <c r="AA5" s="38">
        <f>N5*Inputs!$C$26/1000</f>
        <v>6309.9</v>
      </c>
      <c r="AB5" s="38">
        <f>O5*Inputs!$C$26/1000</f>
        <v>2125.44</v>
      </c>
      <c r="AC5" s="38">
        <f t="shared" si="4"/>
        <v>21187.98</v>
      </c>
      <c r="AE5" s="38">
        <f t="shared" si="5"/>
        <v>26600.508000000002</v>
      </c>
      <c r="AG5" s="37">
        <f t="array" ref="AG5">SUMPRODUCT(U5:W5,TRANSPOSE(Inputs!$C$8:$C$10))</f>
        <v>1916.0928000000004</v>
      </c>
      <c r="AH5" s="37">
        <f t="array" ref="AH5">SUMPRODUCT(Z5:AB5,TRANSPOSE(Inputs!$C$8:$C$10))</f>
        <v>8043.4619999999986</v>
      </c>
      <c r="AI5" s="37">
        <f t="shared" si="6"/>
        <v>9959.5547999999981</v>
      </c>
      <c r="AK5" s="39">
        <f>Inputs!$C$29</f>
        <v>200</v>
      </c>
      <c r="AM5" s="39">
        <f>Inputs!$C$30</f>
        <v>50</v>
      </c>
      <c r="AO5" s="40">
        <f t="shared" si="7"/>
        <v>3928.4160300000003</v>
      </c>
      <c r="AP5" s="40">
        <f t="shared" si="8"/>
        <v>53.201016000000003</v>
      </c>
      <c r="AQ5" s="40">
        <f>AI5*Inputs!$C$31*AM5/100000</f>
        <v>448.17996599999987</v>
      </c>
      <c r="AR5" s="40">
        <f t="shared" si="9"/>
        <v>4429.797012</v>
      </c>
      <c r="AT5" s="62">
        <f>+(AC5+X5)*IF($B5&lt;6,'Other Inputs'!$C$16/100000,'Other Inputs'!$C$17/100000)</f>
        <v>212.80406400000001</v>
      </c>
      <c r="AU5" s="62">
        <f t="shared" si="10"/>
        <v>-159.603048</v>
      </c>
      <c r="AV5" s="62">
        <f t="shared" si="11"/>
        <v>4589.4000599999999</v>
      </c>
    </row>
    <row r="6" spans="2:48" ht="14.25" customHeight="1" x14ac:dyDescent="0.35">
      <c r="B6" s="15">
        <v>3</v>
      </c>
      <c r="C6" s="36">
        <f>C5*(1+Inputs!$C$7)</f>
        <v>139968.00000000003</v>
      </c>
      <c r="D6" s="36">
        <f>D5*(1+Inputs!$C$7)</f>
        <v>87480</v>
      </c>
      <c r="E6" s="36">
        <f>E5*(1+Inputs!$C$7)</f>
        <v>46656</v>
      </c>
      <c r="F6" s="36">
        <f t="shared" si="0"/>
        <v>274104</v>
      </c>
      <c r="H6" s="36">
        <f>C6*Inputs!$C$13</f>
        <v>1189728.0000000002</v>
      </c>
      <c r="I6" s="36">
        <f>D6*Inputs!$C$14</f>
        <v>524880</v>
      </c>
      <c r="J6" s="36">
        <f>E6*Inputs!$C$15</f>
        <v>466560</v>
      </c>
      <c r="K6" s="36">
        <f t="shared" si="1"/>
        <v>2181168</v>
      </c>
      <c r="M6" s="36">
        <f>C6*Inputs!$C$16</f>
        <v>16796160.000000004</v>
      </c>
      <c r="N6" s="36">
        <f>+D6*Inputs!$C$17</f>
        <v>8310600</v>
      </c>
      <c r="O6" s="36">
        <f>+E6*Inputs!$C$18</f>
        <v>2799360</v>
      </c>
      <c r="P6" s="36">
        <f t="shared" si="2"/>
        <v>27906120.000000004</v>
      </c>
      <c r="R6" s="37">
        <f>K6*(Inputs!$C$19)*(1+Inputs!$C$20)^('Projection - ScenarioB'!B6-'Projection - ScenarioB'!$B$4)/100000</f>
        <v>2170.4192040960002</v>
      </c>
      <c r="S6" s="37">
        <f>P6*(Inputs!$C$21)*(1+Inputs!$C$22)^('Projection - ScenarioB'!B6-'Projection - ScenarioB'!$B$4)/100000</f>
        <v>2220.4202031000004</v>
      </c>
      <c r="U6" s="38">
        <f>H6*Inputs!$C$25/1000</f>
        <v>3188.4710400000008</v>
      </c>
      <c r="V6" s="38">
        <f>I6*Inputs!$C$25/1000</f>
        <v>1406.6784000000002</v>
      </c>
      <c r="W6" s="38">
        <f>J6*Inputs!$C$25/1000</f>
        <v>1250.3808000000001</v>
      </c>
      <c r="X6" s="38">
        <f t="shared" si="3"/>
        <v>5845.530240000001</v>
      </c>
      <c r="Z6" s="38">
        <f>M6*Inputs!$C$26/1000</f>
        <v>13772.851200000003</v>
      </c>
      <c r="AA6" s="38">
        <f>N6*Inputs!$C$26/1000</f>
        <v>6814.692</v>
      </c>
      <c r="AB6" s="38">
        <f>O6*Inputs!$C$26/1000</f>
        <v>2295.4751999999999</v>
      </c>
      <c r="AC6" s="38">
        <f t="shared" si="4"/>
        <v>22883.018400000004</v>
      </c>
      <c r="AE6" s="38">
        <f t="shared" si="5"/>
        <v>28728.548640000005</v>
      </c>
      <c r="AG6" s="37">
        <f t="array" ref="AG6">SUMPRODUCT(U6:W6,TRANSPOSE(Inputs!$C$8:$C$10))</f>
        <v>2069.3802240000005</v>
      </c>
      <c r="AH6" s="37">
        <f t="array" ref="AH6">SUMPRODUCT(Z6:AB6,TRANSPOSE(Inputs!$C$8:$C$10))</f>
        <v>8686.9389600000013</v>
      </c>
      <c r="AI6" s="37">
        <f t="shared" si="6"/>
        <v>10756.319184000002</v>
      </c>
      <c r="AK6" s="39">
        <f>Inputs!$C$29</f>
        <v>200</v>
      </c>
      <c r="AM6" s="39">
        <f>Inputs!$C$30</f>
        <v>50</v>
      </c>
      <c r="AO6" s="40">
        <f t="shared" si="7"/>
        <v>4390.839407196001</v>
      </c>
      <c r="AP6" s="40">
        <f t="shared" si="8"/>
        <v>57.457097280000013</v>
      </c>
      <c r="AQ6" s="40">
        <f>AI6*Inputs!$C$31*AM6/100000</f>
        <v>484.03436328000009</v>
      </c>
      <c r="AR6" s="40">
        <f t="shared" si="9"/>
        <v>4932.3308677560017</v>
      </c>
      <c r="AT6" s="62">
        <f>+(AC6+X6)*IF($B6&lt;6,'Other Inputs'!$C$16/100000,'Other Inputs'!$C$17/100000)</f>
        <v>229.82838912000005</v>
      </c>
      <c r="AU6" s="62">
        <f t="shared" si="10"/>
        <v>-172.37129184000003</v>
      </c>
      <c r="AV6" s="62">
        <f t="shared" si="11"/>
        <v>5104.7021595960014</v>
      </c>
    </row>
    <row r="7" spans="2:48" ht="14.25" customHeight="1" x14ac:dyDescent="0.35">
      <c r="B7" s="15">
        <v>4</v>
      </c>
      <c r="C7" s="36">
        <f>C6*(1+Inputs!$C$7)</f>
        <v>151165.44000000003</v>
      </c>
      <c r="D7" s="36">
        <f>D6*(1+Inputs!$C$7)</f>
        <v>94478.400000000009</v>
      </c>
      <c r="E7" s="36">
        <f>E6*(1+Inputs!$C$7)</f>
        <v>50388.480000000003</v>
      </c>
      <c r="F7" s="36">
        <f t="shared" si="0"/>
        <v>296032.32</v>
      </c>
      <c r="H7" s="36">
        <f>C7*Inputs!$C$13</f>
        <v>1284906.2400000002</v>
      </c>
      <c r="I7" s="36">
        <f>D7*Inputs!$C$14</f>
        <v>566870.4</v>
      </c>
      <c r="J7" s="36">
        <f>E7*Inputs!$C$15</f>
        <v>503884.80000000005</v>
      </c>
      <c r="K7" s="36">
        <f t="shared" si="1"/>
        <v>2355661.4400000004</v>
      </c>
      <c r="M7" s="36">
        <f>C7*Inputs!$C$16</f>
        <v>18139852.800000004</v>
      </c>
      <c r="N7" s="36">
        <f>+D7*Inputs!$C$17</f>
        <v>8975448</v>
      </c>
      <c r="O7" s="36">
        <f>+E7*Inputs!$C$18</f>
        <v>3023308.8000000003</v>
      </c>
      <c r="P7" s="36">
        <f t="shared" si="2"/>
        <v>30138609.600000005</v>
      </c>
      <c r="R7" s="37">
        <f>K7*(Inputs!$C$19)*(1+Inputs!$C$20)^('Projection - ScenarioB'!B7-'Projection - ScenarioB'!$B$4)/100000</f>
        <v>2437.8148500406278</v>
      </c>
      <c r="S7" s="37">
        <f>P7*(Inputs!$C$21)*(1+Inputs!$C$22)^('Projection - ScenarioB'!B7-'Projection - ScenarioB'!$B$4)/100000</f>
        <v>2469.9954339284404</v>
      </c>
      <c r="U7" s="38">
        <f>H7*Inputs!$C$25/1000</f>
        <v>3443.5487232000009</v>
      </c>
      <c r="V7" s="38">
        <f>I7*Inputs!$C$25/1000</f>
        <v>1519.2126720000003</v>
      </c>
      <c r="W7" s="38">
        <f>J7*Inputs!$C$25/1000</f>
        <v>1350.4112640000003</v>
      </c>
      <c r="X7" s="38">
        <f t="shared" si="3"/>
        <v>6313.1726592000014</v>
      </c>
      <c r="Z7" s="38">
        <f>M7*Inputs!$C$26/1000</f>
        <v>14874.679296000002</v>
      </c>
      <c r="AA7" s="38">
        <f>N7*Inputs!$C$26/1000</f>
        <v>7359.8673599999993</v>
      </c>
      <c r="AB7" s="38">
        <f>O7*Inputs!$C$26/1000</f>
        <v>2479.1132160000002</v>
      </c>
      <c r="AC7" s="38">
        <f t="shared" si="4"/>
        <v>24713.659872000004</v>
      </c>
      <c r="AE7" s="38">
        <f t="shared" si="5"/>
        <v>31026.832531200005</v>
      </c>
      <c r="AG7" s="37">
        <f t="array" ref="AG7">SUMPRODUCT(U7:W7,TRANSPOSE(Inputs!$C$8:$C$10))</f>
        <v>2234.9306419200002</v>
      </c>
      <c r="AH7" s="37">
        <f t="array" ref="AH7">SUMPRODUCT(Z7:AB7,TRANSPOSE(Inputs!$C$8:$C$10))</f>
        <v>9381.8940767999993</v>
      </c>
      <c r="AI7" s="37">
        <f t="shared" si="6"/>
        <v>11616.82471872</v>
      </c>
      <c r="AK7" s="39">
        <f>Inputs!$C$29</f>
        <v>200</v>
      </c>
      <c r="AM7" s="39">
        <f>Inputs!$C$30</f>
        <v>50</v>
      </c>
      <c r="AO7" s="40">
        <f t="shared" si="7"/>
        <v>4907.8102839690682</v>
      </c>
      <c r="AP7" s="40">
        <f t="shared" si="8"/>
        <v>62.053665062400007</v>
      </c>
      <c r="AQ7" s="40">
        <f>AI7*Inputs!$C$31*AM7/100000</f>
        <v>522.75711234239998</v>
      </c>
      <c r="AR7" s="40">
        <f t="shared" si="9"/>
        <v>5492.6210613738676</v>
      </c>
      <c r="AT7" s="62">
        <f>+(AC7+X7)*IF($B7&lt;6,'Other Inputs'!$C$16/100000,'Other Inputs'!$C$17/100000)</f>
        <v>248.21466024960006</v>
      </c>
      <c r="AU7" s="62">
        <f t="shared" si="10"/>
        <v>-186.16099518720006</v>
      </c>
      <c r="AV7" s="62">
        <f t="shared" si="11"/>
        <v>5678.7820565610691</v>
      </c>
    </row>
    <row r="8" spans="2:48" ht="14.25" customHeight="1" x14ac:dyDescent="0.35">
      <c r="B8" s="15">
        <v>5</v>
      </c>
      <c r="C8" s="36">
        <f>C7*(1+Inputs!$C$7)</f>
        <v>163258.67520000006</v>
      </c>
      <c r="D8" s="36">
        <f>D7*(1+Inputs!$C$7)</f>
        <v>102036.67200000002</v>
      </c>
      <c r="E8" s="36">
        <f>E7*(1+Inputs!$C$7)</f>
        <v>54419.558400000009</v>
      </c>
      <c r="F8" s="36">
        <f t="shared" si="0"/>
        <v>319714.90560000006</v>
      </c>
      <c r="H8" s="36">
        <f>C8*Inputs!$C$13</f>
        <v>1387698.7392000004</v>
      </c>
      <c r="I8" s="36">
        <f>D8*Inputs!$C$14</f>
        <v>612220.03200000012</v>
      </c>
      <c r="J8" s="36">
        <f>E8*Inputs!$C$15</f>
        <v>544195.58400000003</v>
      </c>
      <c r="K8" s="36">
        <f t="shared" si="1"/>
        <v>2544114.3552000006</v>
      </c>
      <c r="M8" s="36">
        <f>C8*Inputs!$C$16</f>
        <v>19591041.024000008</v>
      </c>
      <c r="N8" s="36">
        <f>+D8*Inputs!$C$17</f>
        <v>9693483.8400000017</v>
      </c>
      <c r="O8" s="36">
        <f>+E8*Inputs!$C$18</f>
        <v>3265173.5040000007</v>
      </c>
      <c r="P8" s="36">
        <f t="shared" si="2"/>
        <v>32549698.368000008</v>
      </c>
      <c r="R8" s="37">
        <f>K8*(Inputs!$C$19)*(1+Inputs!$C$20)^('Projection - ScenarioB'!B8-'Projection - ScenarioB'!$B$4)/100000</f>
        <v>2738.1536395656335</v>
      </c>
      <c r="S8" s="37">
        <f>P8*(Inputs!$C$21)*(1+Inputs!$C$22)^('Projection - ScenarioB'!B8-'Projection - ScenarioB'!$B$4)/100000</f>
        <v>2747.6229207019974</v>
      </c>
      <c r="U8" s="38">
        <f>H8*Inputs!$C$25/1000</f>
        <v>3719.0326210560011</v>
      </c>
      <c r="V8" s="38">
        <f>I8*Inputs!$C$25/1000</f>
        <v>1640.7496857600004</v>
      </c>
      <c r="W8" s="38">
        <f>J8*Inputs!$C$25/1000</f>
        <v>1458.4441651200002</v>
      </c>
      <c r="X8" s="38">
        <f t="shared" si="3"/>
        <v>6818.2264719360019</v>
      </c>
      <c r="Z8" s="38">
        <f>M8*Inputs!$C$26/1000</f>
        <v>16064.653639680006</v>
      </c>
      <c r="AA8" s="38">
        <f>N8*Inputs!$C$26/1000</f>
        <v>7948.656748800001</v>
      </c>
      <c r="AB8" s="38">
        <f>O8*Inputs!$C$26/1000</f>
        <v>2677.4422732800003</v>
      </c>
      <c r="AC8" s="38">
        <f t="shared" si="4"/>
        <v>26690.752661760009</v>
      </c>
      <c r="AE8" s="38">
        <f t="shared" si="5"/>
        <v>33508.979133696012</v>
      </c>
      <c r="AG8" s="37">
        <f t="array" ref="AG8">SUMPRODUCT(U8:W8,TRANSPOSE(Inputs!$C$8:$C$10))</f>
        <v>2413.7250932736006</v>
      </c>
      <c r="AH8" s="37">
        <f t="array" ref="AH8">SUMPRODUCT(Z8:AB8,TRANSPOSE(Inputs!$C$8:$C$10))</f>
        <v>10132.445602944003</v>
      </c>
      <c r="AI8" s="37">
        <f t="shared" si="6"/>
        <v>12546.170696217603</v>
      </c>
      <c r="AK8" s="39">
        <f>Inputs!$C$29</f>
        <v>200</v>
      </c>
      <c r="AM8" s="39">
        <f>Inputs!$C$30</f>
        <v>50</v>
      </c>
      <c r="AO8" s="40">
        <f t="shared" si="7"/>
        <v>5485.7765602676309</v>
      </c>
      <c r="AP8" s="40">
        <f t="shared" si="8"/>
        <v>67.017958267392018</v>
      </c>
      <c r="AQ8" s="40">
        <f>AI8*Inputs!$C$31*AM8/100000</f>
        <v>564.57768132979209</v>
      </c>
      <c r="AR8" s="40">
        <f t="shared" si="9"/>
        <v>6117.3721998648143</v>
      </c>
      <c r="AT8" s="62">
        <f>+(AC8+X8)*IF($B8&lt;6,'Other Inputs'!$C$16/100000,'Other Inputs'!$C$17/100000)</f>
        <v>268.07183306956807</v>
      </c>
      <c r="AU8" s="62">
        <f t="shared" si="10"/>
        <v>-201.05387480217604</v>
      </c>
      <c r="AV8" s="62">
        <f t="shared" si="11"/>
        <v>6318.4260746669916</v>
      </c>
    </row>
    <row r="9" spans="2:48" ht="14.25" customHeight="1" x14ac:dyDescent="0.35">
      <c r="B9" s="15">
        <v>6</v>
      </c>
      <c r="C9" s="36">
        <f>C8*(1+Inputs!$C$7)</f>
        <v>176319.36921600008</v>
      </c>
      <c r="D9" s="36">
        <f>D8*(1+Inputs!$C$7)</f>
        <v>110199.60576000003</v>
      </c>
      <c r="E9" s="36">
        <f>E8*(1+Inputs!$C$7)</f>
        <v>58773.123072000017</v>
      </c>
      <c r="F9" s="36">
        <f t="shared" si="0"/>
        <v>345292.09804800013</v>
      </c>
      <c r="H9" s="36">
        <f>C9*Inputs!$C$13</f>
        <v>1498714.6383360007</v>
      </c>
      <c r="I9" s="36">
        <f>D9*Inputs!$C$14</f>
        <v>661197.63456000015</v>
      </c>
      <c r="J9" s="36">
        <f>E9*Inputs!$C$15</f>
        <v>587731.23072000011</v>
      </c>
      <c r="K9" s="36">
        <f t="shared" si="1"/>
        <v>2747643.5036160015</v>
      </c>
      <c r="M9" s="36">
        <f>C9*Inputs!$C$16</f>
        <v>21158324.305920009</v>
      </c>
      <c r="N9" s="36">
        <f>+D9*Inputs!$C$17</f>
        <v>10468962.547200004</v>
      </c>
      <c r="O9" s="36">
        <f>+E9*Inputs!$C$18</f>
        <v>3526387.3843200011</v>
      </c>
      <c r="P9" s="36">
        <f t="shared" si="2"/>
        <v>35153674.237440012</v>
      </c>
      <c r="R9" s="37">
        <f>K9*(Inputs!$C$19)*(1+Inputs!$C$20)^('Projection - ScenarioB'!B9-'Projection - ScenarioB'!$B$4)/100000</f>
        <v>3075.4941679601206</v>
      </c>
      <c r="S9" s="37">
        <f>P9*(Inputs!$C$21)*(1+Inputs!$C$22)^('Projection - ScenarioB'!B9-'Projection - ScenarioB'!$B$4)/100000</f>
        <v>3056.4557369889021</v>
      </c>
      <c r="U9" s="38">
        <f>H9*Inputs!$C$25/1000</f>
        <v>4016.5552307404819</v>
      </c>
      <c r="V9" s="38">
        <f>I9*Inputs!$C$25/1000</f>
        <v>1772.0096606208006</v>
      </c>
      <c r="W9" s="38">
        <f>J9*Inputs!$C$25/1000</f>
        <v>1575.1196983296002</v>
      </c>
      <c r="X9" s="38">
        <f t="shared" si="3"/>
        <v>7363.6845896908826</v>
      </c>
      <c r="Z9" s="38">
        <f>M9*Inputs!$C$26/1000</f>
        <v>17349.825930854407</v>
      </c>
      <c r="AA9" s="38">
        <f>N9*Inputs!$C$26/1000</f>
        <v>8584.5492887040018</v>
      </c>
      <c r="AB9" s="38">
        <f>O9*Inputs!$C$26/1000</f>
        <v>2891.6376551424009</v>
      </c>
      <c r="AC9" s="38">
        <f t="shared" si="4"/>
        <v>28826.012874700809</v>
      </c>
      <c r="AE9" s="38">
        <f t="shared" si="5"/>
        <v>36189.697464391691</v>
      </c>
      <c r="AG9" s="37">
        <f t="array" ref="AG9">SUMPRODUCT(U9:W9,TRANSPOSE(Inputs!$C$8:$C$10))</f>
        <v>2606.8231007354889</v>
      </c>
      <c r="AH9" s="37">
        <f t="array" ref="AH9">SUMPRODUCT(Z9:AB9,TRANSPOSE(Inputs!$C$8:$C$10))</f>
        <v>10943.041251179524</v>
      </c>
      <c r="AI9" s="37">
        <f t="shared" si="6"/>
        <v>13549.864351915014</v>
      </c>
      <c r="AK9" s="39">
        <f>Inputs!$C$29</f>
        <v>200</v>
      </c>
      <c r="AM9" s="39">
        <f>Inputs!$C$30</f>
        <v>50</v>
      </c>
      <c r="AO9" s="40">
        <f t="shared" si="7"/>
        <v>6131.9499049490223</v>
      </c>
      <c r="AP9" s="40">
        <f t="shared" si="8"/>
        <v>72.379394928783384</v>
      </c>
      <c r="AQ9" s="40">
        <f>AI9*Inputs!$C$31*AM9/100000</f>
        <v>609.74389583617562</v>
      </c>
      <c r="AR9" s="40">
        <f t="shared" si="9"/>
        <v>6814.0731957139815</v>
      </c>
      <c r="AT9" s="62">
        <f>+(AC9+X9)*IF($B9&lt;6,'Other Inputs'!$C$16/100000,'Other Inputs'!$C$17/100000)</f>
        <v>398.08667210830856</v>
      </c>
      <c r="AU9" s="62">
        <f t="shared" si="10"/>
        <v>-325.70727717952519</v>
      </c>
      <c r="AV9" s="62">
        <f t="shared" si="11"/>
        <v>7139.7804728935062</v>
      </c>
    </row>
    <row r="10" spans="2:48" ht="14.25" customHeight="1" x14ac:dyDescent="0.35">
      <c r="B10" s="15">
        <v>7</v>
      </c>
      <c r="C10" s="36">
        <f>C9*(1+Inputs!$C$7)</f>
        <v>190424.9187532801</v>
      </c>
      <c r="D10" s="36">
        <f>D9*(1+Inputs!$C$7)</f>
        <v>119015.57422080004</v>
      </c>
      <c r="E10" s="36">
        <f>E9*(1+Inputs!$C$7)</f>
        <v>63474.972917760024</v>
      </c>
      <c r="F10" s="36">
        <f t="shared" si="0"/>
        <v>372915.46589184017</v>
      </c>
      <c r="H10" s="36">
        <f>C10*Inputs!$C$13</f>
        <v>1618611.809402881</v>
      </c>
      <c r="I10" s="36">
        <f>D10*Inputs!$C$14</f>
        <v>714093.44532480021</v>
      </c>
      <c r="J10" s="36">
        <f>E10*Inputs!$C$15</f>
        <v>634749.72917760024</v>
      </c>
      <c r="K10" s="36">
        <f t="shared" si="1"/>
        <v>2967454.9839052814</v>
      </c>
      <c r="M10" s="36">
        <f>C10*Inputs!$C$16</f>
        <v>22850990.25039361</v>
      </c>
      <c r="N10" s="36">
        <f>+D10*Inputs!$C$17</f>
        <v>11306479.550976004</v>
      </c>
      <c r="O10" s="36">
        <f>+E10*Inputs!$C$18</f>
        <v>3808498.3750656014</v>
      </c>
      <c r="P10" s="36">
        <f t="shared" si="2"/>
        <v>37965968.176435217</v>
      </c>
      <c r="R10" s="37">
        <f>K10*(Inputs!$C$19)*(1+Inputs!$C$20)^('Projection - ScenarioB'!B10-'Projection - ScenarioB'!$B$4)/100000</f>
        <v>3454.3950494528081</v>
      </c>
      <c r="S10" s="37">
        <f>P10*(Inputs!$C$21)*(1+Inputs!$C$22)^('Projection - ScenarioB'!B10-'Projection - ScenarioB'!$B$4)/100000</f>
        <v>3400.0013618264552</v>
      </c>
      <c r="U10" s="38">
        <f>H10*Inputs!$C$25/1000</f>
        <v>4337.8796491997218</v>
      </c>
      <c r="V10" s="38">
        <f>I10*Inputs!$C$25/1000</f>
        <v>1913.7704334704647</v>
      </c>
      <c r="W10" s="38">
        <f>J10*Inputs!$C$25/1000</f>
        <v>1701.1292741959687</v>
      </c>
      <c r="X10" s="38">
        <f t="shared" si="3"/>
        <v>7952.7793568661555</v>
      </c>
      <c r="Z10" s="38">
        <f>M10*Inputs!$C$26/1000</f>
        <v>18737.812005322758</v>
      </c>
      <c r="AA10" s="38">
        <f>N10*Inputs!$C$26/1000</f>
        <v>9271.3132318003227</v>
      </c>
      <c r="AB10" s="38">
        <f>O10*Inputs!$C$26/1000</f>
        <v>3122.9686675537932</v>
      </c>
      <c r="AC10" s="38">
        <f t="shared" si="4"/>
        <v>31132.093904676873</v>
      </c>
      <c r="AE10" s="38">
        <f t="shared" si="5"/>
        <v>39084.873261543027</v>
      </c>
      <c r="AG10" s="37">
        <f t="array" ref="AG10">SUMPRODUCT(U10:W10,TRANSPOSE(Inputs!$C$8:$C$10))</f>
        <v>2815.3689487943288</v>
      </c>
      <c r="AH10" s="37">
        <f t="array" ref="AH10">SUMPRODUCT(Z10:AB10,TRANSPOSE(Inputs!$C$8:$C$10))</f>
        <v>11818.484551273887</v>
      </c>
      <c r="AI10" s="37">
        <f t="shared" si="6"/>
        <v>14633.853500068215</v>
      </c>
      <c r="AK10" s="39">
        <f>Inputs!$C$29</f>
        <v>200</v>
      </c>
      <c r="AM10" s="39">
        <f>Inputs!$C$30</f>
        <v>50</v>
      </c>
      <c r="AO10" s="40">
        <f t="shared" si="7"/>
        <v>6854.3964112792637</v>
      </c>
      <c r="AP10" s="40">
        <f t="shared" si="8"/>
        <v>78.169746523086062</v>
      </c>
      <c r="AQ10" s="40">
        <f>AI10*Inputs!$C$31*AM10/100000</f>
        <v>658.52340750306973</v>
      </c>
      <c r="AR10" s="40">
        <f t="shared" si="9"/>
        <v>7591.0895653054195</v>
      </c>
      <c r="AT10" s="62">
        <f>+(AC10+X10)*IF($B10&lt;6,'Other Inputs'!$C$16/100000,'Other Inputs'!$C$17/100000)</f>
        <v>429.93360587697327</v>
      </c>
      <c r="AU10" s="62">
        <f t="shared" si="10"/>
        <v>-351.7638593538872</v>
      </c>
      <c r="AV10" s="62">
        <f t="shared" si="11"/>
        <v>7942.8534246593063</v>
      </c>
    </row>
    <row r="11" spans="2:48" ht="14.25" customHeight="1" x14ac:dyDescent="0.35">
      <c r="B11" s="15">
        <v>8</v>
      </c>
      <c r="C11" s="36">
        <f>C10*(1+Inputs!$C$7)</f>
        <v>205658.91225354251</v>
      </c>
      <c r="D11" s="36">
        <f>D10*(1+Inputs!$C$7)</f>
        <v>128536.82015846406</v>
      </c>
      <c r="E11" s="36">
        <f>E10*(1+Inputs!$C$7)</f>
        <v>68552.970751180837</v>
      </c>
      <c r="F11" s="36">
        <f t="shared" si="0"/>
        <v>402748.70316318743</v>
      </c>
      <c r="H11" s="36">
        <f>C11*Inputs!$C$13</f>
        <v>1748100.7541551113</v>
      </c>
      <c r="I11" s="36">
        <f>D11*Inputs!$C$14</f>
        <v>771220.92095078435</v>
      </c>
      <c r="J11" s="36">
        <f>E11*Inputs!$C$15</f>
        <v>685529.70751180837</v>
      </c>
      <c r="K11" s="36">
        <f t="shared" si="1"/>
        <v>3204851.3826177041</v>
      </c>
      <c r="M11" s="36">
        <f>C11*Inputs!$C$16</f>
        <v>24679069.470425103</v>
      </c>
      <c r="N11" s="36">
        <f>+D11*Inputs!$C$17</f>
        <v>12210997.915054087</v>
      </c>
      <c r="O11" s="36">
        <f>+E11*Inputs!$C$18</f>
        <v>4113178.2450708505</v>
      </c>
      <c r="P11" s="36">
        <f t="shared" si="2"/>
        <v>41003245.630550042</v>
      </c>
      <c r="R11" s="37">
        <f>K11*(Inputs!$C$19)*(1+Inputs!$C$20)^('Projection - ScenarioB'!B11-'Projection - ScenarioB'!$B$4)/100000</f>
        <v>3879.9765195453938</v>
      </c>
      <c r="S11" s="37">
        <f>P11*(Inputs!$C$21)*(1+Inputs!$C$22)^('Projection - ScenarioB'!B11-'Projection - ScenarioB'!$B$4)/100000</f>
        <v>3782.161514895749</v>
      </c>
      <c r="U11" s="38">
        <f>H11*Inputs!$C$25/1000</f>
        <v>4684.9100211356981</v>
      </c>
      <c r="V11" s="38">
        <f>I11*Inputs!$C$25/1000</f>
        <v>2066.8720681481022</v>
      </c>
      <c r="W11" s="38">
        <f>J11*Inputs!$C$25/1000</f>
        <v>1837.2196161316465</v>
      </c>
      <c r="X11" s="38">
        <f t="shared" si="3"/>
        <v>8589.0017054154468</v>
      </c>
      <c r="Z11" s="38">
        <f>M11*Inputs!$C$26/1000</f>
        <v>20236.836965748582</v>
      </c>
      <c r="AA11" s="38">
        <f>N11*Inputs!$C$26/1000</f>
        <v>10013.018290344349</v>
      </c>
      <c r="AB11" s="38">
        <f>O11*Inputs!$C$26/1000</f>
        <v>3372.8061609580973</v>
      </c>
      <c r="AC11" s="38">
        <f t="shared" si="4"/>
        <v>33622.661417051029</v>
      </c>
      <c r="AE11" s="38">
        <f t="shared" si="5"/>
        <v>42211.663122466474</v>
      </c>
      <c r="AG11" s="37">
        <f t="array" ref="AG11">SUMPRODUCT(U11:W11,TRANSPOSE(Inputs!$C$8:$C$10))</f>
        <v>3040.598464697875</v>
      </c>
      <c r="AH11" s="37">
        <f t="array" ref="AH11">SUMPRODUCT(Z11:AB11,TRANSPOSE(Inputs!$C$8:$C$10))</f>
        <v>12763.963315375797</v>
      </c>
      <c r="AI11" s="37">
        <f t="shared" si="6"/>
        <v>15804.561780073673</v>
      </c>
      <c r="AK11" s="39">
        <f>Inputs!$C$29</f>
        <v>200</v>
      </c>
      <c r="AM11" s="39">
        <f>Inputs!$C$30</f>
        <v>50</v>
      </c>
      <c r="AO11" s="40">
        <f t="shared" si="7"/>
        <v>7662.1380344411427</v>
      </c>
      <c r="AP11" s="40">
        <f t="shared" si="8"/>
        <v>84.423326244932952</v>
      </c>
      <c r="AQ11" s="40">
        <f>AI11*Inputs!$C$31*AM11/100000</f>
        <v>711.20528010331532</v>
      </c>
      <c r="AR11" s="40">
        <f t="shared" si="9"/>
        <v>8457.7666407893921</v>
      </c>
      <c r="AT11" s="62">
        <f>+(AC11+X11)*IF($B11&lt;6,'Other Inputs'!$C$16/100000,'Other Inputs'!$C$17/100000)</f>
        <v>464.32829434713119</v>
      </c>
      <c r="AU11" s="62">
        <f t="shared" si="10"/>
        <v>-379.90496810219827</v>
      </c>
      <c r="AV11" s="62">
        <f t="shared" si="11"/>
        <v>8837.6716088915891</v>
      </c>
    </row>
    <row r="12" spans="2:48" ht="14.25" customHeight="1" x14ac:dyDescent="0.35">
      <c r="B12" s="15">
        <v>9</v>
      </c>
      <c r="C12" s="36">
        <f>C11*(1+Inputs!$C$7)</f>
        <v>222111.62523382594</v>
      </c>
      <c r="D12" s="36">
        <f>D11*(1+Inputs!$C$7)</f>
        <v>138819.76577114119</v>
      </c>
      <c r="E12" s="36">
        <f>E11*(1+Inputs!$C$7)</f>
        <v>74037.208411275307</v>
      </c>
      <c r="F12" s="36">
        <f t="shared" si="0"/>
        <v>434968.59941624245</v>
      </c>
      <c r="H12" s="36">
        <f>C12*Inputs!$C$13</f>
        <v>1887948.8144875204</v>
      </c>
      <c r="I12" s="36">
        <f>D12*Inputs!$C$14</f>
        <v>832918.59462684719</v>
      </c>
      <c r="J12" s="36">
        <f>E12*Inputs!$C$15</f>
        <v>740372.08411275304</v>
      </c>
      <c r="K12" s="36">
        <f t="shared" si="1"/>
        <v>3461239.4932271205</v>
      </c>
      <c r="M12" s="36">
        <f>C12*Inputs!$C$16</f>
        <v>26653395.028059114</v>
      </c>
      <c r="N12" s="36">
        <f>+D12*Inputs!$C$17</f>
        <v>13187877.748258414</v>
      </c>
      <c r="O12" s="36">
        <f>+E12*Inputs!$C$18</f>
        <v>4442232.504676518</v>
      </c>
      <c r="P12" s="36">
        <f t="shared" si="2"/>
        <v>44283505.28099405</v>
      </c>
      <c r="R12" s="37">
        <f>K12*(Inputs!$C$19)*(1+Inputs!$C$20)^('Projection - ScenarioB'!B12-'Projection - ScenarioB'!$B$4)/100000</f>
        <v>4357.9896267533859</v>
      </c>
      <c r="S12" s="37">
        <f>P12*(Inputs!$C$21)*(1+Inputs!$C$22)^('Projection - ScenarioB'!B12-'Projection - ScenarioB'!$B$4)/100000</f>
        <v>4207.2764691700313</v>
      </c>
      <c r="U12" s="38">
        <f>H12*Inputs!$C$25/1000</f>
        <v>5059.7028228265553</v>
      </c>
      <c r="V12" s="38">
        <f>I12*Inputs!$C$25/1000</f>
        <v>2232.2218335999505</v>
      </c>
      <c r="W12" s="38">
        <f>J12*Inputs!$C$25/1000</f>
        <v>1984.1971854221783</v>
      </c>
      <c r="X12" s="38">
        <f t="shared" si="3"/>
        <v>9276.1218418486842</v>
      </c>
      <c r="Z12" s="38">
        <f>M12*Inputs!$C$26/1000</f>
        <v>21855.783923008472</v>
      </c>
      <c r="AA12" s="38">
        <f>N12*Inputs!$C$26/1000</f>
        <v>10814.059753571897</v>
      </c>
      <c r="AB12" s="38">
        <f>O12*Inputs!$C$26/1000</f>
        <v>3642.6306538347444</v>
      </c>
      <c r="AC12" s="38">
        <f t="shared" si="4"/>
        <v>36312.474330415112</v>
      </c>
      <c r="AE12" s="38">
        <f t="shared" si="5"/>
        <v>45588.596172263795</v>
      </c>
      <c r="AG12" s="37">
        <f t="array" ref="AG12">SUMPRODUCT(U12:W12,TRANSPOSE(Inputs!$C$8:$C$10))</f>
        <v>3283.8463418737051</v>
      </c>
      <c r="AH12" s="37">
        <f t="array" ref="AH12">SUMPRODUCT(Z12:AB12,TRANSPOSE(Inputs!$C$8:$C$10))</f>
        <v>13785.080380605861</v>
      </c>
      <c r="AI12" s="37">
        <f t="shared" si="6"/>
        <v>17068.926722479566</v>
      </c>
      <c r="AK12" s="39">
        <f>Inputs!$C$29</f>
        <v>200</v>
      </c>
      <c r="AM12" s="39">
        <f>Inputs!$C$30</f>
        <v>50</v>
      </c>
      <c r="AO12" s="40">
        <f t="shared" si="7"/>
        <v>8565.2660959234163</v>
      </c>
      <c r="AP12" s="40">
        <f t="shared" si="8"/>
        <v>91.177192344527597</v>
      </c>
      <c r="AQ12" s="40">
        <f>AI12*Inputs!$C$31*AM12/100000</f>
        <v>768.10170251158047</v>
      </c>
      <c r="AR12" s="40">
        <f t="shared" si="9"/>
        <v>9424.5449907795228</v>
      </c>
      <c r="AT12" s="62">
        <f>+(AC12+X12)*IF($B12&lt;6,'Other Inputs'!$C$16/100000,'Other Inputs'!$C$17/100000)</f>
        <v>501.47455789490169</v>
      </c>
      <c r="AU12" s="62">
        <f t="shared" si="10"/>
        <v>-410.29736555037408</v>
      </c>
      <c r="AV12" s="62">
        <f t="shared" si="11"/>
        <v>9834.8423563298984</v>
      </c>
    </row>
    <row r="13" spans="2:48" ht="14.25" customHeight="1" x14ac:dyDescent="0.35">
      <c r="B13" s="15">
        <v>10</v>
      </c>
      <c r="C13" s="36">
        <f>C12*(1+Inputs!$C$7)</f>
        <v>239880.55525253204</v>
      </c>
      <c r="D13" s="36">
        <f>D12*(1+Inputs!$C$7)</f>
        <v>149925.34703283251</v>
      </c>
      <c r="E13" s="36">
        <f>E12*(1+Inputs!$C$7)</f>
        <v>79960.185084177341</v>
      </c>
      <c r="F13" s="36">
        <f t="shared" si="0"/>
        <v>469766.08736954193</v>
      </c>
      <c r="H13" s="36">
        <f>C13*Inputs!$C$13</f>
        <v>2038984.7196465223</v>
      </c>
      <c r="I13" s="36">
        <f>D13*Inputs!$C$14</f>
        <v>899552.08219699503</v>
      </c>
      <c r="J13" s="36">
        <f>E13*Inputs!$C$15</f>
        <v>799601.85084177344</v>
      </c>
      <c r="K13" s="36">
        <f t="shared" si="1"/>
        <v>3738138.6526852911</v>
      </c>
      <c r="M13" s="36">
        <f>C13*Inputs!$C$16</f>
        <v>28785666.630303845</v>
      </c>
      <c r="N13" s="36">
        <f>+D13*Inputs!$C$17</f>
        <v>14242907.968119089</v>
      </c>
      <c r="O13" s="36">
        <f>+E13*Inputs!$C$18</f>
        <v>4797611.1050506402</v>
      </c>
      <c r="P13" s="36">
        <f t="shared" si="2"/>
        <v>47826185.703473568</v>
      </c>
      <c r="R13" s="37">
        <f>K13*(Inputs!$C$19)*(1+Inputs!$C$20)^('Projection - ScenarioB'!B13-'Projection - ScenarioB'!$B$4)/100000</f>
        <v>4894.8939487694051</v>
      </c>
      <c r="S13" s="37">
        <f>P13*(Inputs!$C$21)*(1+Inputs!$C$22)^('Projection - ScenarioB'!B13-'Projection - ScenarioB'!$B$4)/100000</f>
        <v>4680.1743443047426</v>
      </c>
      <c r="U13" s="38">
        <f>H13*Inputs!$C$25/1000</f>
        <v>5464.4790486526799</v>
      </c>
      <c r="V13" s="38">
        <f>I13*Inputs!$C$25/1000</f>
        <v>2410.7995802879468</v>
      </c>
      <c r="W13" s="38">
        <f>J13*Inputs!$C$25/1000</f>
        <v>2142.9329602559528</v>
      </c>
      <c r="X13" s="38">
        <f t="shared" si="3"/>
        <v>10018.21158919658</v>
      </c>
      <c r="Z13" s="38">
        <f>M13*Inputs!$C$26/1000</f>
        <v>23604.246636849151</v>
      </c>
      <c r="AA13" s="38">
        <f>N13*Inputs!$C$26/1000</f>
        <v>11679.184533857651</v>
      </c>
      <c r="AB13" s="38">
        <f>O13*Inputs!$C$26/1000</f>
        <v>3934.0411061415248</v>
      </c>
      <c r="AC13" s="38">
        <f t="shared" si="4"/>
        <v>39217.472276848326</v>
      </c>
      <c r="AE13" s="38">
        <f t="shared" si="5"/>
        <v>49235.683866044907</v>
      </c>
      <c r="AG13" s="37">
        <f t="array" ref="AG13">SUMPRODUCT(U13:W13,TRANSPOSE(Inputs!$C$8:$C$10))</f>
        <v>3546.5540492236019</v>
      </c>
      <c r="AH13" s="37">
        <f t="array" ref="AH13">SUMPRODUCT(Z13:AB13,TRANSPOSE(Inputs!$C$8:$C$10))</f>
        <v>14887.886811054334</v>
      </c>
      <c r="AI13" s="37">
        <f t="shared" si="6"/>
        <v>18434.440860277937</v>
      </c>
      <c r="AK13" s="39">
        <f>Inputs!$C$29</f>
        <v>200</v>
      </c>
      <c r="AM13" s="39">
        <f>Inputs!$C$30</f>
        <v>50</v>
      </c>
      <c r="AO13" s="40">
        <f t="shared" si="7"/>
        <v>9575.0682930741477</v>
      </c>
      <c r="AP13" s="40">
        <f t="shared" si="8"/>
        <v>98.471367732089817</v>
      </c>
      <c r="AQ13" s="40">
        <f>AI13*Inputs!$C$31*AM13/100000</f>
        <v>829.54983871250715</v>
      </c>
      <c r="AR13" s="40">
        <f t="shared" si="9"/>
        <v>10503.089499518745</v>
      </c>
      <c r="AT13" s="62">
        <f>+(AC13+X13)*IF($B13&lt;6,'Other Inputs'!$C$16/100000,'Other Inputs'!$C$17/100000)</f>
        <v>541.59252252649389</v>
      </c>
      <c r="AU13" s="62">
        <f t="shared" si="10"/>
        <v>-443.12115479440411</v>
      </c>
      <c r="AV13" s="62">
        <f t="shared" si="11"/>
        <v>10946.210654313149</v>
      </c>
    </row>
    <row r="14" spans="2:48" ht="14.25" customHeight="1" x14ac:dyDescent="0.35">
      <c r="B14" s="41" t="s">
        <v>93</v>
      </c>
      <c r="C14" s="42">
        <f>SUM(C4:C13)</f>
        <v>1738387.495909181</v>
      </c>
      <c r="D14" s="42">
        <f>SUM(D4:D13)</f>
        <v>1086492.1849432378</v>
      </c>
      <c r="E14" s="42">
        <f>SUM(E4:E13)</f>
        <v>579462.49863639357</v>
      </c>
      <c r="F14" s="42">
        <f>SUM(F4:F13)</f>
        <v>3404342.1794888121</v>
      </c>
      <c r="G14" s="42"/>
      <c r="H14" s="42">
        <f>SUM(H4:H13)</f>
        <v>14776293.715228036</v>
      </c>
      <c r="I14" s="42">
        <f>SUM(I4:I13)</f>
        <v>6518953.1096594268</v>
      </c>
      <c r="J14" s="42">
        <f>SUM(J4:J13)</f>
        <v>5794624.9863639353</v>
      </c>
      <c r="K14" s="42">
        <f>SUM(K4:K13)</f>
        <v>27089871.811251402</v>
      </c>
      <c r="L14" s="42"/>
      <c r="M14" s="42">
        <f>SUM(M4:M13)</f>
        <v>208606499.50910169</v>
      </c>
      <c r="N14" s="42">
        <f>SUM(N4:N13)</f>
        <v>103216757.56960759</v>
      </c>
      <c r="O14" s="42">
        <f>SUM(O4:O13)</f>
        <v>34767749.918183617</v>
      </c>
      <c r="P14" s="42">
        <f>SUM(P4:P13)</f>
        <v>346591006.99689293</v>
      </c>
      <c r="Q14" s="42"/>
      <c r="R14" s="42">
        <f>SUM(R4:R13)</f>
        <v>30661.890286183374</v>
      </c>
      <c r="S14" s="42">
        <f>SUM(S4:S13)</f>
        <v>30354.545734916319</v>
      </c>
      <c r="T14" s="42"/>
      <c r="U14" s="42">
        <f>SUM(U4:U13)</f>
        <v>39600.467156811137</v>
      </c>
      <c r="V14" s="42">
        <f>SUM(V4:V13)</f>
        <v>17470.794333887265</v>
      </c>
      <c r="W14" s="42">
        <f>SUM(W4:W13)</f>
        <v>15529.594963455347</v>
      </c>
      <c r="X14" s="42">
        <f>SUM(X4:X13)</f>
        <v>72600.856454153749</v>
      </c>
      <c r="Y14" s="42"/>
      <c r="Z14" s="42">
        <f>SUM(Z4:Z13)</f>
        <v>171057.32959746339</v>
      </c>
      <c r="AA14" s="42">
        <f>SUM(AA4:AA13)</f>
        <v>84637.74120707823</v>
      </c>
      <c r="AB14" s="42">
        <f>SUM(AB4:AB13)</f>
        <v>28509.55493291056</v>
      </c>
      <c r="AC14" s="42">
        <f>SUM(AC4:AC13)</f>
        <v>284204.62573745212</v>
      </c>
      <c r="AD14" s="42"/>
      <c r="AE14" s="42">
        <f>SUM(AE4:AE13)</f>
        <v>356805.48219160596</v>
      </c>
      <c r="AF14" s="42"/>
      <c r="AG14" s="42">
        <f>SUM(AG4:AG13)</f>
        <v>25701.4796645186</v>
      </c>
      <c r="AH14" s="42">
        <f>SUM(AH4:AH13)</f>
        <v>107890.84694923341</v>
      </c>
      <c r="AI14" s="42">
        <f>SUM(AI4:AI13)</f>
        <v>133592.326613752</v>
      </c>
      <c r="AJ14" s="42"/>
      <c r="AK14" s="42">
        <f>SUM(AK4:AK13)</f>
        <v>2000</v>
      </c>
      <c r="AL14" s="42"/>
      <c r="AM14" s="42">
        <f>SUM(AM4:AM13)</f>
        <v>500</v>
      </c>
      <c r="AN14" s="42"/>
      <c r="AO14" s="42">
        <f>SUM(AO4:AO13)</f>
        <v>61016.436021099697</v>
      </c>
      <c r="AP14" s="42">
        <f>SUM(AP4:AP13)</f>
        <v>713.61096438321181</v>
      </c>
      <c r="AQ14" s="42">
        <f>SUM(AQ4:AQ13)</f>
        <v>6011.6546976188411</v>
      </c>
      <c r="AR14" s="43">
        <f>SUM(AR4:AR13)</f>
        <v>67741.701683101739</v>
      </c>
      <c r="AT14" s="63">
        <f>SUM(AT4:AT13)</f>
        <v>3491.3753991929771</v>
      </c>
      <c r="AU14" s="63">
        <f>SUM(AU4:AU13)</f>
        <v>-2777.7644348097651</v>
      </c>
      <c r="AV14" s="63">
        <f>SUM(AV4:AV13)</f>
        <v>70519.466117911521</v>
      </c>
    </row>
    <row r="15" spans="2:48" ht="14.25" customHeight="1" x14ac:dyDescent="0.35">
      <c r="B15" s="15"/>
      <c r="C15" s="42" t="b">
        <f>C14='Projection - Base'!C14</f>
        <v>1</v>
      </c>
      <c r="D15" s="42" t="b">
        <f>D14='Projection - Base'!D14</f>
        <v>1</v>
      </c>
      <c r="E15" s="42" t="b">
        <f>E14='Projection - Base'!E14</f>
        <v>1</v>
      </c>
      <c r="F15" s="42" t="b">
        <f>F14='Projection - Base'!F14</f>
        <v>1</v>
      </c>
      <c r="G15" s="42"/>
      <c r="H15" s="42" t="b">
        <f>H14='Projection - Base'!H14</f>
        <v>1</v>
      </c>
      <c r="I15" s="42" t="b">
        <f>I14='Projection - Base'!I14</f>
        <v>1</v>
      </c>
      <c r="J15" s="42" t="b">
        <f>J14='Projection - Base'!J14</f>
        <v>1</v>
      </c>
      <c r="K15" s="42" t="b">
        <f>K14='Projection - Base'!K14</f>
        <v>1</v>
      </c>
      <c r="L15" s="42"/>
      <c r="M15" s="42" t="b">
        <f>M14='Projection - Base'!M14</f>
        <v>1</v>
      </c>
      <c r="N15" s="42" t="b">
        <f>N14='Projection - Base'!N14</f>
        <v>1</v>
      </c>
      <c r="O15" s="42" t="b">
        <f>O14='Projection - Base'!O14</f>
        <v>1</v>
      </c>
      <c r="P15" s="42" t="b">
        <f>P14='Projection - Base'!P14</f>
        <v>1</v>
      </c>
      <c r="Q15" s="42"/>
      <c r="R15" s="42" t="b">
        <f>R14='Projection - Base'!R14</f>
        <v>1</v>
      </c>
      <c r="S15" s="42" t="b">
        <f>S14='Projection - Base'!S14</f>
        <v>1</v>
      </c>
      <c r="T15" s="42"/>
      <c r="U15" s="42" t="b">
        <f>U14='Projection - Base'!U14</f>
        <v>1</v>
      </c>
      <c r="V15" s="42" t="b">
        <f>V14='Projection - Base'!V14</f>
        <v>1</v>
      </c>
      <c r="W15" s="42" t="b">
        <f>W14='Projection - Base'!W14</f>
        <v>1</v>
      </c>
      <c r="X15" s="42" t="b">
        <f>X14='Projection - Base'!X14</f>
        <v>1</v>
      </c>
      <c r="Y15" s="42"/>
      <c r="Z15" s="42" t="b">
        <f>Z14='Projection - Base'!Z14</f>
        <v>1</v>
      </c>
      <c r="AA15" s="42" t="b">
        <f>AA14='Projection - Base'!AA14</f>
        <v>1</v>
      </c>
      <c r="AB15" s="42" t="b">
        <f>AB14='Projection - Base'!AB14</f>
        <v>1</v>
      </c>
      <c r="AC15" s="42" t="b">
        <f>AC14='Projection - Base'!AC14</f>
        <v>1</v>
      </c>
      <c r="AD15" s="42"/>
      <c r="AE15" s="42" t="b">
        <f>AE14='Projection - Base'!AE14</f>
        <v>1</v>
      </c>
      <c r="AF15" s="42"/>
      <c r="AG15" s="42" t="b">
        <f>AG14='Projection - Base'!AG14</f>
        <v>1</v>
      </c>
      <c r="AH15" s="42" t="b">
        <f>AH14='Projection - Base'!AH14</f>
        <v>1</v>
      </c>
      <c r="AI15" s="42" t="b">
        <f>AI14='Projection - Base'!AI14</f>
        <v>1</v>
      </c>
      <c r="AJ15" s="42"/>
      <c r="AK15" s="42"/>
      <c r="AL15" s="42"/>
      <c r="AM15" s="42"/>
      <c r="AN15" s="42"/>
      <c r="AO15" s="42" t="b">
        <f>AO14='Projection - Base'!AO14</f>
        <v>1</v>
      </c>
      <c r="AP15" s="42" t="b">
        <f>AP14='Projection - Base'!AP14</f>
        <v>1</v>
      </c>
      <c r="AQ15" s="42" t="b">
        <f>AQ14='Projection - Base'!AQ14</f>
        <v>1</v>
      </c>
      <c r="AR15" s="42" t="b">
        <f>AR14='Projection - Base'!AR14</f>
        <v>1</v>
      </c>
      <c r="AT15" s="64"/>
      <c r="AU15" s="64"/>
      <c r="AV15" s="64"/>
    </row>
    <row r="16" spans="2:48" ht="14.25" customHeight="1" x14ac:dyDescent="0.35">
      <c r="B16" s="44" t="s">
        <v>115</v>
      </c>
      <c r="AO16" s="45">
        <f>NPV(Inputs!$C$32,AO4:AO13)</f>
        <v>36203.300378763794</v>
      </c>
      <c r="AP16" s="45">
        <f>NPV(Inputs!$C$32,AP4:AP13)</f>
        <v>433.72005081791053</v>
      </c>
      <c r="AQ16" s="45">
        <f>NPV(Inputs!$C$32,AQ4:AQ13)</f>
        <v>3653.7767930802188</v>
      </c>
      <c r="AR16" s="45">
        <f>NPV(Inputs!$C$32,AR4:AR13)</f>
        <v>40290.797222661917</v>
      </c>
      <c r="AT16" s="65">
        <f>NPV(Inputs!$C$32,AT4:AT13)</f>
        <v>2052.676352323449</v>
      </c>
      <c r="AU16" s="65">
        <f>NPV(Inputs!$C$32,AU4:AU13)</f>
        <v>-1618.9563015055385</v>
      </c>
      <c r="AV16" s="65">
        <f>NPV(Inputs!$C$32,AV4:AV13)</f>
        <v>41909.753524167463</v>
      </c>
    </row>
    <row r="17" spans="2:44" ht="14.25" customHeight="1" x14ac:dyDescent="0.35">
      <c r="B17" s="44"/>
    </row>
    <row r="18" spans="2:44" ht="14.25" customHeight="1" x14ac:dyDescent="0.35">
      <c r="B18" s="46"/>
    </row>
    <row r="19" spans="2:44" ht="14.25" customHeight="1" x14ac:dyDescent="0.35">
      <c r="B19" s="46"/>
    </row>
    <row r="20" spans="2:44" ht="14.25" customHeight="1" x14ac:dyDescent="0.35">
      <c r="B20" s="15"/>
      <c r="C20" s="48"/>
      <c r="D20" s="48"/>
      <c r="E20" s="48"/>
      <c r="F20" s="48"/>
      <c r="H20" s="48"/>
      <c r="I20" s="48"/>
      <c r="J20" s="48"/>
      <c r="K20" s="48"/>
      <c r="O20" s="48"/>
      <c r="R20" s="48"/>
      <c r="S20" s="48"/>
      <c r="AO20" s="49"/>
      <c r="AP20" s="49"/>
      <c r="AQ20" s="49"/>
      <c r="AR20" s="49"/>
    </row>
    <row r="21" spans="2:44" ht="14.25" customHeight="1" x14ac:dyDescent="0.35">
      <c r="B21" s="15"/>
      <c r="C21" s="48"/>
      <c r="D21" s="48"/>
      <c r="E21" s="48"/>
      <c r="F21" s="48"/>
      <c r="H21" s="48"/>
      <c r="I21" s="48"/>
      <c r="J21" s="48"/>
      <c r="K21" s="48"/>
      <c r="O21" s="48"/>
      <c r="R21" s="48"/>
      <c r="S21" s="48"/>
    </row>
    <row r="22" spans="2:44" ht="14.25" customHeight="1" x14ac:dyDescent="0.35">
      <c r="B22" s="15"/>
      <c r="C22" s="48"/>
      <c r="D22" s="48"/>
      <c r="E22" s="48"/>
      <c r="F22" s="48"/>
      <c r="H22" s="48"/>
      <c r="I22" s="48"/>
      <c r="J22" s="48"/>
      <c r="K22" s="48"/>
      <c r="O22" s="48"/>
      <c r="R22" s="48"/>
      <c r="S22" s="48"/>
      <c r="AR22" s="41"/>
    </row>
    <row r="23" spans="2:44" ht="14.25" customHeight="1" x14ac:dyDescent="0.35">
      <c r="B23" s="50"/>
      <c r="C23" s="48"/>
      <c r="D23" s="48"/>
      <c r="E23" s="48"/>
      <c r="F23" s="48"/>
      <c r="H23" s="48"/>
      <c r="I23" s="48"/>
      <c r="J23" s="48"/>
      <c r="K23" s="48"/>
      <c r="O23" s="48"/>
      <c r="R23" s="48"/>
      <c r="S23" s="48"/>
    </row>
    <row r="24" spans="2:44" ht="14.25" customHeight="1" x14ac:dyDescent="0.35">
      <c r="B24" s="50"/>
      <c r="C24" s="48"/>
      <c r="D24" s="48"/>
      <c r="E24" s="48"/>
      <c r="F24" s="48"/>
      <c r="H24" s="48"/>
      <c r="I24" s="48"/>
      <c r="J24" s="48"/>
      <c r="K24" s="48"/>
      <c r="O24" s="48"/>
      <c r="R24" s="48"/>
      <c r="S24" s="48"/>
    </row>
    <row r="25" spans="2:44" ht="14.25" customHeight="1" x14ac:dyDescent="0.35">
      <c r="B25" s="50"/>
      <c r="C25" s="48"/>
      <c r="D25" s="48"/>
      <c r="E25" s="48"/>
      <c r="F25" s="48"/>
      <c r="H25" s="48"/>
      <c r="I25" s="48"/>
      <c r="J25" s="48"/>
      <c r="K25" s="48"/>
      <c r="O25" s="48"/>
      <c r="R25" s="48"/>
      <c r="S25" s="48"/>
    </row>
    <row r="26" spans="2:44" ht="14.25" customHeight="1" x14ac:dyDescent="0.35">
      <c r="B26" s="50"/>
      <c r="C26" s="48"/>
      <c r="D26" s="48"/>
      <c r="E26" s="48"/>
      <c r="F26" s="48"/>
      <c r="H26" s="48"/>
      <c r="I26" s="48"/>
      <c r="J26" s="48"/>
      <c r="K26" s="48"/>
      <c r="O26" s="48"/>
      <c r="R26" s="48"/>
      <c r="S26" s="48"/>
    </row>
    <row r="27" spans="2:44" ht="14.25" customHeight="1" x14ac:dyDescent="0.35">
      <c r="B27" s="50"/>
      <c r="C27" s="48"/>
      <c r="D27" s="48"/>
      <c r="E27" s="48"/>
      <c r="F27" s="48"/>
      <c r="H27" s="48"/>
      <c r="I27" s="48"/>
      <c r="J27" s="48"/>
      <c r="K27" s="48"/>
      <c r="O27" s="48"/>
      <c r="R27" s="48"/>
      <c r="S27" s="48"/>
    </row>
    <row r="28" spans="2:44" ht="14.25" customHeight="1" x14ac:dyDescent="0.35">
      <c r="B28" s="50"/>
      <c r="C28" s="48"/>
      <c r="D28" s="48"/>
      <c r="E28" s="48"/>
      <c r="F28" s="48"/>
      <c r="H28" s="48"/>
      <c r="I28" s="48"/>
      <c r="J28" s="48"/>
      <c r="K28" s="48"/>
      <c r="O28" s="48"/>
      <c r="R28" s="48"/>
      <c r="S28" s="48"/>
    </row>
    <row r="29" spans="2:44" ht="14.25" customHeight="1" x14ac:dyDescent="0.35">
      <c r="B29" s="15"/>
      <c r="C29" s="36"/>
      <c r="D29" s="36"/>
      <c r="E29" s="36"/>
      <c r="F29" s="36"/>
      <c r="H29" s="36"/>
      <c r="I29" s="36"/>
      <c r="J29" s="36"/>
      <c r="K29" s="36"/>
      <c r="O29" s="36"/>
      <c r="P29" s="36"/>
      <c r="R29" s="40"/>
      <c r="S29" s="40"/>
      <c r="AG29" s="37"/>
      <c r="AH29" s="37"/>
      <c r="AI29" s="37"/>
      <c r="AK29" s="39"/>
      <c r="AM29" s="39"/>
      <c r="AO29" s="40"/>
      <c r="AP29" s="40"/>
      <c r="AQ29" s="40"/>
      <c r="AR29" s="40"/>
    </row>
    <row r="30" spans="2:44" ht="13.5" customHeight="1" x14ac:dyDescent="0.35">
      <c r="B30" s="15"/>
    </row>
    <row r="31" spans="2:44" ht="14.25" customHeight="1" x14ac:dyDescent="0.35">
      <c r="B31" s="50"/>
      <c r="R31" s="48"/>
      <c r="S31" s="48"/>
    </row>
    <row r="32" spans="2:44" ht="14.25" customHeight="1" x14ac:dyDescent="0.35">
      <c r="B32" s="50"/>
      <c r="R32" s="48"/>
      <c r="S32" s="48"/>
    </row>
    <row r="33" spans="2:19" ht="14.25" customHeight="1" x14ac:dyDescent="0.35">
      <c r="B33" s="50"/>
      <c r="R33" s="48"/>
      <c r="S33" s="48"/>
    </row>
    <row r="34" spans="2:19" ht="14.25" customHeight="1" x14ac:dyDescent="0.35">
      <c r="B34" s="50"/>
      <c r="R34" s="48"/>
      <c r="S34" s="48"/>
    </row>
    <row r="35" spans="2:19" ht="14.25" customHeight="1" x14ac:dyDescent="0.35">
      <c r="B35" s="50"/>
      <c r="R35" s="48"/>
      <c r="S35" s="48"/>
    </row>
    <row r="36" spans="2:19" ht="14.25" customHeight="1" x14ac:dyDescent="0.35">
      <c r="B36" s="50"/>
      <c r="R36" s="48"/>
      <c r="S36" s="48"/>
    </row>
    <row r="37" spans="2:19" ht="14.25" customHeight="1" x14ac:dyDescent="0.35">
      <c r="B37" s="50"/>
      <c r="R37" s="48"/>
      <c r="S37" s="48"/>
    </row>
    <row r="38" spans="2:19" ht="14.25" customHeight="1" x14ac:dyDescent="0.35">
      <c r="B38" s="50"/>
      <c r="R38" s="48"/>
      <c r="S38" s="48"/>
    </row>
    <row r="39" spans="2:19" ht="14.25" customHeight="1" x14ac:dyDescent="0.35">
      <c r="B39" s="50"/>
      <c r="R39" s="48"/>
      <c r="S39" s="48"/>
    </row>
  </sheetData>
  <mergeCells count="10">
    <mergeCell ref="Z2:AC2"/>
    <mergeCell ref="AE2:AE3"/>
    <mergeCell ref="AG2:AI2"/>
    <mergeCell ref="AO2:AR2"/>
    <mergeCell ref="AT2:AV2"/>
    <mergeCell ref="C2:F2"/>
    <mergeCell ref="H2:K2"/>
    <mergeCell ref="M2:P2"/>
    <mergeCell ref="R2:S2"/>
    <mergeCell ref="U2:X2"/>
  </mergeCells>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B39"/>
  <sheetViews>
    <sheetView showGridLines="0" zoomScale="70" zoomScaleNormal="70" workbookViewId="0">
      <pane xSplit="2" ySplit="3" topLeftCell="C4" activePane="bottomRight" state="frozen"/>
      <selection pane="topRight" activeCell="AD1" sqref="AD1"/>
      <selection pane="bottomLeft" activeCell="A4" sqref="A4"/>
      <selection pane="bottomRight" activeCell="C4" sqref="C4"/>
    </sheetView>
  </sheetViews>
  <sheetFormatPr defaultColWidth="8.54296875" defaultRowHeight="14.5" x14ac:dyDescent="0.35"/>
  <cols>
    <col min="1" max="1" width="2.54296875" style="35" customWidth="1"/>
    <col min="2" max="6" width="12.54296875" style="35" customWidth="1"/>
    <col min="7" max="7" width="2.54296875" style="35" customWidth="1"/>
    <col min="8" max="11" width="12.54296875" style="35" customWidth="1"/>
    <col min="12" max="12" width="2.54296875" style="35" customWidth="1"/>
    <col min="13" max="15" width="15.453125" style="35" customWidth="1"/>
    <col min="16" max="16" width="12.54296875" style="35" customWidth="1"/>
    <col min="17" max="17" width="2.54296875" style="35" customWidth="1"/>
    <col min="18" max="19" width="12.54296875" style="35" customWidth="1"/>
    <col min="20" max="20" width="2.54296875" style="35" customWidth="1"/>
    <col min="21" max="21" width="13.54296875" style="35" customWidth="1"/>
    <col min="22" max="22" width="11.81640625" style="35" customWidth="1"/>
    <col min="23" max="23" width="12.7265625" style="35" customWidth="1"/>
    <col min="24" max="24" width="15" style="35" customWidth="1"/>
    <col min="25" max="25" width="2.54296875" style="35" customWidth="1"/>
    <col min="26" max="26" width="13.54296875" style="35" customWidth="1"/>
    <col min="27" max="27" width="11.81640625" style="35" customWidth="1"/>
    <col min="28" max="28" width="12.7265625" style="35" customWidth="1"/>
    <col min="29" max="29" width="13.81640625" style="35" customWidth="1"/>
    <col min="30" max="30" width="2.54296875" style="35" customWidth="1"/>
    <col min="31" max="31" width="13.81640625" style="35" customWidth="1"/>
    <col min="32" max="32" width="2.54296875" style="35" customWidth="1"/>
    <col min="33" max="35" width="12.54296875" style="35" customWidth="1"/>
    <col min="36" max="36" width="2.54296875" style="35" customWidth="1"/>
    <col min="37" max="37" width="12.54296875" style="35" customWidth="1"/>
    <col min="38" max="38" width="2.54296875" style="35" customWidth="1"/>
    <col min="39" max="39" width="12.54296875" style="35" customWidth="1"/>
    <col min="40" max="40" width="2.54296875" style="35" customWidth="1"/>
    <col min="41" max="44" width="12.54296875" style="35" customWidth="1"/>
    <col min="45" max="45" width="8.54296875" style="35"/>
    <col min="46" max="49" width="12.81640625" customWidth="1"/>
    <col min="50" max="50" width="14.1796875" customWidth="1"/>
    <col min="51" max="51" width="8.6328125"/>
    <col min="52" max="54" width="14" customWidth="1"/>
    <col min="55" max="16384" width="8.54296875" style="35"/>
  </cols>
  <sheetData>
    <row r="2" spans="2:54" ht="24.75" customHeight="1" x14ac:dyDescent="0.35">
      <c r="C2" s="110" t="s">
        <v>81</v>
      </c>
      <c r="D2" s="110"/>
      <c r="E2" s="110"/>
      <c r="F2" s="110"/>
      <c r="H2" s="110" t="s">
        <v>82</v>
      </c>
      <c r="I2" s="110"/>
      <c r="J2" s="110"/>
      <c r="K2" s="110"/>
      <c r="M2" s="110" t="s">
        <v>83</v>
      </c>
      <c r="N2" s="110"/>
      <c r="O2" s="110"/>
      <c r="P2" s="110"/>
      <c r="R2" s="110" t="s">
        <v>84</v>
      </c>
      <c r="S2" s="110"/>
      <c r="U2" s="110" t="s">
        <v>85</v>
      </c>
      <c r="V2" s="110"/>
      <c r="W2" s="110"/>
      <c r="X2" s="110"/>
      <c r="Z2" s="110" t="s">
        <v>86</v>
      </c>
      <c r="AA2" s="110"/>
      <c r="AB2" s="110"/>
      <c r="AC2" s="110"/>
      <c r="AE2" s="110" t="s">
        <v>87</v>
      </c>
      <c r="AG2" s="110" t="s">
        <v>88</v>
      </c>
      <c r="AH2" s="110"/>
      <c r="AI2" s="110"/>
      <c r="AK2" s="6"/>
      <c r="AM2" s="6"/>
      <c r="AO2" s="110" t="s">
        <v>89</v>
      </c>
      <c r="AP2" s="110"/>
      <c r="AQ2" s="110"/>
      <c r="AR2" s="110"/>
      <c r="AT2" s="113" t="s">
        <v>150</v>
      </c>
      <c r="AU2" s="113"/>
      <c r="AV2" s="113" t="s">
        <v>151</v>
      </c>
      <c r="AW2" s="113"/>
      <c r="AX2" s="5" t="s">
        <v>152</v>
      </c>
      <c r="AZ2" s="114" t="s">
        <v>153</v>
      </c>
      <c r="BA2" s="114"/>
      <c r="BB2" s="114"/>
    </row>
    <row r="3" spans="2:54" ht="51.75" customHeight="1" x14ac:dyDescent="0.35">
      <c r="B3" s="6" t="s">
        <v>78</v>
      </c>
      <c r="C3" s="6" t="s">
        <v>90</v>
      </c>
      <c r="D3" s="6" t="s">
        <v>91</v>
      </c>
      <c r="E3" s="6" t="s">
        <v>92</v>
      </c>
      <c r="F3" s="6" t="s">
        <v>93</v>
      </c>
      <c r="H3" s="6" t="s">
        <v>94</v>
      </c>
      <c r="I3" s="6" t="s">
        <v>95</v>
      </c>
      <c r="J3" s="6" t="s">
        <v>96</v>
      </c>
      <c r="K3" s="6" t="s">
        <v>93</v>
      </c>
      <c r="M3" s="6" t="s">
        <v>97</v>
      </c>
      <c r="N3" s="6" t="s">
        <v>98</v>
      </c>
      <c r="O3" s="6" t="s">
        <v>99</v>
      </c>
      <c r="P3" s="6" t="s">
        <v>100</v>
      </c>
      <c r="R3" s="6" t="s">
        <v>101</v>
      </c>
      <c r="S3" s="6" t="s">
        <v>102</v>
      </c>
      <c r="U3" s="6" t="s">
        <v>103</v>
      </c>
      <c r="V3" s="6" t="s">
        <v>104</v>
      </c>
      <c r="W3" s="6" t="s">
        <v>105</v>
      </c>
      <c r="X3" s="6" t="s">
        <v>106</v>
      </c>
      <c r="Z3" s="6" t="s">
        <v>103</v>
      </c>
      <c r="AA3" s="6" t="s">
        <v>104</v>
      </c>
      <c r="AB3" s="6" t="s">
        <v>105</v>
      </c>
      <c r="AC3" s="6" t="s">
        <v>107</v>
      </c>
      <c r="AE3" s="110"/>
      <c r="AG3" s="6" t="s">
        <v>108</v>
      </c>
      <c r="AH3" s="6" t="s">
        <v>109</v>
      </c>
      <c r="AI3" s="6" t="s">
        <v>93</v>
      </c>
      <c r="AK3" s="6" t="s">
        <v>110</v>
      </c>
      <c r="AM3" s="6" t="s">
        <v>111</v>
      </c>
      <c r="AO3" s="6" t="s">
        <v>112</v>
      </c>
      <c r="AP3" s="6" t="s">
        <v>113</v>
      </c>
      <c r="AQ3" s="6" t="s">
        <v>114</v>
      </c>
      <c r="AR3" s="6" t="s">
        <v>93</v>
      </c>
      <c r="AT3" s="6" t="s">
        <v>154</v>
      </c>
      <c r="AU3" s="6" t="s">
        <v>155</v>
      </c>
      <c r="AV3" s="6" t="s">
        <v>156</v>
      </c>
      <c r="AW3" s="6" t="s">
        <v>157</v>
      </c>
      <c r="AX3" s="6" t="s">
        <v>158</v>
      </c>
      <c r="AZ3" s="23" t="s">
        <v>159</v>
      </c>
      <c r="BA3" s="23" t="s">
        <v>160</v>
      </c>
      <c r="BB3" s="23" t="s">
        <v>161</v>
      </c>
    </row>
    <row r="4" spans="2:54" ht="14.25" customHeight="1" x14ac:dyDescent="0.35">
      <c r="B4" s="15">
        <v>1</v>
      </c>
      <c r="C4" s="36">
        <f>Inputs!C4</f>
        <v>120000</v>
      </c>
      <c r="D4" s="36">
        <f>Inputs!C5</f>
        <v>75000</v>
      </c>
      <c r="E4" s="36">
        <f>Inputs!C6</f>
        <v>40000</v>
      </c>
      <c r="F4" s="36">
        <f t="shared" ref="F4:F13" si="0">SUM(C4:E4)</f>
        <v>235000</v>
      </c>
      <c r="H4" s="36">
        <f>C4*Inputs!$C$13</f>
        <v>1020000</v>
      </c>
      <c r="I4" s="36">
        <f>D4*Inputs!$C$14</f>
        <v>450000</v>
      </c>
      <c r="J4" s="36">
        <f>E4*Inputs!$C$15</f>
        <v>400000</v>
      </c>
      <c r="K4" s="36">
        <f t="shared" ref="K4:K13" si="1">SUM(H4:J4)</f>
        <v>1870000</v>
      </c>
      <c r="M4" s="36">
        <f>C4*Inputs!$C$16</f>
        <v>14400000</v>
      </c>
      <c r="N4" s="36">
        <f>+D4*Inputs!$C$17</f>
        <v>7125000</v>
      </c>
      <c r="O4" s="36">
        <f>+E4*Inputs!$C$18</f>
        <v>2400000</v>
      </c>
      <c r="P4" s="36">
        <f t="shared" ref="P4:P13" si="2">SUM(M4:O4)</f>
        <v>23925000</v>
      </c>
      <c r="R4" s="37">
        <f>K4*(Inputs!$C$19)*(1+Inputs!$C$20)^('Projection - ScenarioC'!B4-'Projection - ScenarioC'!$B$4)/100000</f>
        <v>1720.4</v>
      </c>
      <c r="S4" s="37">
        <f>P4*(Inputs!$C$21)*(1+Inputs!$C$22)^('Projection - ScenarioC'!B4-'Projection - ScenarioC'!$B$4)/100000</f>
        <v>1794.375</v>
      </c>
      <c r="U4" s="38">
        <f>H4*Inputs!$C$25/1000</f>
        <v>2733.6</v>
      </c>
      <c r="V4" s="38">
        <f>I4*Inputs!$C$25/1000</f>
        <v>1206</v>
      </c>
      <c r="W4" s="38">
        <f>J4*Inputs!$C$25/1000</f>
        <v>1072</v>
      </c>
      <c r="X4" s="38">
        <f t="shared" ref="X4:X13" si="3">SUM(U4:W4)</f>
        <v>5011.6000000000004</v>
      </c>
      <c r="Z4" s="38">
        <f>M4*Inputs!$C$26/1000</f>
        <v>11808</v>
      </c>
      <c r="AA4" s="38">
        <f>N4*Inputs!$C$26/1000</f>
        <v>5842.5</v>
      </c>
      <c r="AB4" s="38">
        <f>O4*Inputs!$C$26/1000</f>
        <v>1967.9999999999998</v>
      </c>
      <c r="AC4" s="38">
        <f t="shared" ref="AC4:AC13" si="4">SUM(Z4:AB4)</f>
        <v>19618.5</v>
      </c>
      <c r="AE4" s="38">
        <f t="shared" ref="AE4:AE13" si="5">AC4+X4</f>
        <v>24630.1</v>
      </c>
      <c r="AG4" s="37">
        <f t="array" ref="AG4">SUMPRODUCT(U4:W4,TRANSPOSE(Inputs!$C$8:$C$10))</f>
        <v>1774.1599999999999</v>
      </c>
      <c r="AH4" s="37">
        <f t="array" ref="AH4">SUMPRODUCT(Z4:AB4,TRANSPOSE(Inputs!$C$8:$C$10))</f>
        <v>7447.6500000000005</v>
      </c>
      <c r="AI4" s="37">
        <f t="shared" ref="AI4:AI13" si="6">AH4+AG4</f>
        <v>9221.8100000000013</v>
      </c>
      <c r="AK4" s="39">
        <f>Inputs!$C$29</f>
        <v>200</v>
      </c>
      <c r="AM4" s="39">
        <f>Inputs!$C$30</f>
        <v>50</v>
      </c>
      <c r="AO4" s="40">
        <f t="shared" ref="AO4:AO13" si="7">R4+S4</f>
        <v>3514.7750000000001</v>
      </c>
      <c r="AP4" s="40">
        <f>AE4*AK4/100000</f>
        <v>49.260199999999998</v>
      </c>
      <c r="AQ4" s="40">
        <f>AI4*Inputs!$C$31*AM4/100000</f>
        <v>414.98145000000005</v>
      </c>
      <c r="AR4" s="40">
        <f t="shared" ref="AR4:AR13" si="8">SUM(AO4:AQ4)</f>
        <v>3979.0166500000005</v>
      </c>
      <c r="AT4" s="53">
        <f>'Other Inputs'!D28</f>
        <v>0.1</v>
      </c>
      <c r="AU4" s="40">
        <f t="shared" ref="AU4:AU13" si="9">AT4*(X4+AC4)</f>
        <v>2463.0100000000002</v>
      </c>
      <c r="AV4" s="40">
        <f t="shared" ref="AV4:AV13" si="10">AP4*AT4</f>
        <v>4.9260200000000003</v>
      </c>
      <c r="AW4" s="40">
        <f t="shared" ref="AW4:AW13" si="11">AQ4*AT4</f>
        <v>41.498145000000008</v>
      </c>
      <c r="AX4" s="40">
        <f>'Other Inputs'!C23</f>
        <v>400</v>
      </c>
      <c r="AZ4" s="40">
        <f t="shared" ref="AZ4:AZ13" si="12">AP4-AV4</f>
        <v>44.334179999999996</v>
      </c>
      <c r="BA4" s="40">
        <f t="shared" ref="BA4:BA13" si="13">AQ4-AW4</f>
        <v>373.48330500000003</v>
      </c>
      <c r="BB4" s="40">
        <f t="shared" ref="BB4:BB13" si="14">AZ4+BA4+AX4+AO4</f>
        <v>4332.5924850000001</v>
      </c>
    </row>
    <row r="5" spans="2:54" ht="14.25" customHeight="1" x14ac:dyDescent="0.35">
      <c r="B5" s="15">
        <v>2</v>
      </c>
      <c r="C5" s="36">
        <f>C4*(1+Inputs!$C$7)</f>
        <v>129600.00000000001</v>
      </c>
      <c r="D5" s="36">
        <f>D4*(1+Inputs!$C$7)</f>
        <v>81000</v>
      </c>
      <c r="E5" s="36">
        <f>E4*(1+Inputs!$C$7)</f>
        <v>43200</v>
      </c>
      <c r="F5" s="36">
        <f t="shared" si="0"/>
        <v>253800</v>
      </c>
      <c r="H5" s="36">
        <f>C5*Inputs!$C$13</f>
        <v>1101600.0000000002</v>
      </c>
      <c r="I5" s="36">
        <f>D5*Inputs!$C$14</f>
        <v>486000</v>
      </c>
      <c r="J5" s="36">
        <f>E5*Inputs!$C$15</f>
        <v>432000</v>
      </c>
      <c r="K5" s="36">
        <f t="shared" si="1"/>
        <v>2019600.0000000002</v>
      </c>
      <c r="M5" s="36">
        <f>C5*Inputs!$C$16</f>
        <v>15552000.000000002</v>
      </c>
      <c r="N5" s="36">
        <f>+D5*Inputs!$C$17</f>
        <v>7695000</v>
      </c>
      <c r="O5" s="36">
        <f>+E5*Inputs!$C$18</f>
        <v>2592000</v>
      </c>
      <c r="P5" s="36">
        <f t="shared" si="2"/>
        <v>25839000</v>
      </c>
      <c r="R5" s="37">
        <f>K5*(Inputs!$C$19)*(1+Inputs!$C$20)^('Projection - ScenarioC'!B5-'Projection - ScenarioC'!$B$4)/100000</f>
        <v>1932.3532800000003</v>
      </c>
      <c r="S5" s="37">
        <f>P5*(Inputs!$C$21)*(1+Inputs!$C$22)^('Projection - ScenarioC'!B5-'Projection - ScenarioC'!$B$4)/100000</f>
        <v>1996.0627500000001</v>
      </c>
      <c r="U5" s="38">
        <f>H5*Inputs!$C$25/1000</f>
        <v>2952.2880000000009</v>
      </c>
      <c r="V5" s="38">
        <f>I5*Inputs!$C$25/1000</f>
        <v>1302.48</v>
      </c>
      <c r="W5" s="38">
        <f>J5*Inputs!$C$25/1000</f>
        <v>1157.76</v>
      </c>
      <c r="X5" s="38">
        <f t="shared" si="3"/>
        <v>5412.5280000000012</v>
      </c>
      <c r="Z5" s="38">
        <f>M5*Inputs!$C$26/1000</f>
        <v>12752.64</v>
      </c>
      <c r="AA5" s="38">
        <f>N5*Inputs!$C$26/1000</f>
        <v>6309.9</v>
      </c>
      <c r="AB5" s="38">
        <f>O5*Inputs!$C$26/1000</f>
        <v>2125.44</v>
      </c>
      <c r="AC5" s="38">
        <f t="shared" si="4"/>
        <v>21187.98</v>
      </c>
      <c r="AE5" s="38">
        <f t="shared" si="5"/>
        <v>26600.508000000002</v>
      </c>
      <c r="AG5" s="37">
        <f t="array" ref="AG5">SUMPRODUCT(U5:W5,TRANSPOSE(Inputs!$C$8:$C$10))</f>
        <v>1916.0928000000004</v>
      </c>
      <c r="AH5" s="37">
        <f t="array" ref="AH5">SUMPRODUCT(Z5:AB5,TRANSPOSE(Inputs!$C$8:$C$10))</f>
        <v>8043.4619999999986</v>
      </c>
      <c r="AI5" s="37">
        <f t="shared" si="6"/>
        <v>9959.5547999999981</v>
      </c>
      <c r="AK5" s="39">
        <f>Inputs!$C$29</f>
        <v>200</v>
      </c>
      <c r="AM5" s="39">
        <f>Inputs!$C$30</f>
        <v>50</v>
      </c>
      <c r="AO5" s="40">
        <f t="shared" si="7"/>
        <v>3928.4160300000003</v>
      </c>
      <c r="AP5" s="40">
        <f t="shared" ref="AP5:AP13" si="15">AE5*AK5/100000</f>
        <v>53.201016000000003</v>
      </c>
      <c r="AQ5" s="40">
        <f>AI5*Inputs!$C$31*AM5/100000</f>
        <v>448.17996599999987</v>
      </c>
      <c r="AR5" s="40">
        <f t="shared" si="8"/>
        <v>4429.797012</v>
      </c>
      <c r="AT5" s="53">
        <f>'Other Inputs'!D29</f>
        <v>0.2</v>
      </c>
      <c r="AU5" s="40">
        <f t="shared" si="9"/>
        <v>5320.1016000000009</v>
      </c>
      <c r="AV5" s="40">
        <f t="shared" si="10"/>
        <v>10.640203200000002</v>
      </c>
      <c r="AW5" s="40">
        <f t="shared" si="11"/>
        <v>89.635993199999973</v>
      </c>
      <c r="AX5" s="40">
        <f>AX4</f>
        <v>400</v>
      </c>
      <c r="AZ5" s="40">
        <f t="shared" si="12"/>
        <v>42.560812800000001</v>
      </c>
      <c r="BA5" s="40">
        <f t="shared" si="13"/>
        <v>358.54397279999989</v>
      </c>
      <c r="BB5" s="40">
        <f t="shared" si="14"/>
        <v>4729.5208155999999</v>
      </c>
    </row>
    <row r="6" spans="2:54" ht="14.25" customHeight="1" x14ac:dyDescent="0.35">
      <c r="B6" s="15">
        <v>3</v>
      </c>
      <c r="C6" s="36">
        <f>C5*(1+Inputs!$C$7)</f>
        <v>139968.00000000003</v>
      </c>
      <c r="D6" s="36">
        <f>D5*(1+Inputs!$C$7)</f>
        <v>87480</v>
      </c>
      <c r="E6" s="36">
        <f>E5*(1+Inputs!$C$7)</f>
        <v>46656</v>
      </c>
      <c r="F6" s="36">
        <f t="shared" si="0"/>
        <v>274104</v>
      </c>
      <c r="H6" s="36">
        <f>C6*Inputs!$C$13</f>
        <v>1189728.0000000002</v>
      </c>
      <c r="I6" s="36">
        <f>D6*Inputs!$C$14</f>
        <v>524880</v>
      </c>
      <c r="J6" s="36">
        <f>E6*Inputs!$C$15</f>
        <v>466560</v>
      </c>
      <c r="K6" s="36">
        <f t="shared" si="1"/>
        <v>2181168</v>
      </c>
      <c r="M6" s="36">
        <f>C6*Inputs!$C$16</f>
        <v>16796160.000000004</v>
      </c>
      <c r="N6" s="36">
        <f>+D6*Inputs!$C$17</f>
        <v>8310600</v>
      </c>
      <c r="O6" s="36">
        <f>+E6*Inputs!$C$18</f>
        <v>2799360</v>
      </c>
      <c r="P6" s="36">
        <f t="shared" si="2"/>
        <v>27906120.000000004</v>
      </c>
      <c r="R6" s="37">
        <f>K6*(Inputs!$C$19)*(1+Inputs!$C$20)^('Projection - ScenarioC'!B6-'Projection - ScenarioC'!$B$4)/100000</f>
        <v>2170.4192040960002</v>
      </c>
      <c r="S6" s="37">
        <f>P6*(Inputs!$C$21)*(1+Inputs!$C$22)^('Projection - ScenarioC'!B6-'Projection - ScenarioC'!$B$4)/100000</f>
        <v>2220.4202031000004</v>
      </c>
      <c r="U6" s="38">
        <f>H6*Inputs!$C$25/1000</f>
        <v>3188.4710400000008</v>
      </c>
      <c r="V6" s="38">
        <f>I6*Inputs!$C$25/1000</f>
        <v>1406.6784000000002</v>
      </c>
      <c r="W6" s="38">
        <f>J6*Inputs!$C$25/1000</f>
        <v>1250.3808000000001</v>
      </c>
      <c r="X6" s="38">
        <f t="shared" si="3"/>
        <v>5845.530240000001</v>
      </c>
      <c r="Z6" s="38">
        <f>M6*Inputs!$C$26/1000</f>
        <v>13772.851200000003</v>
      </c>
      <c r="AA6" s="38">
        <f>N6*Inputs!$C$26/1000</f>
        <v>6814.692</v>
      </c>
      <c r="AB6" s="38">
        <f>O6*Inputs!$C$26/1000</f>
        <v>2295.4751999999999</v>
      </c>
      <c r="AC6" s="38">
        <f t="shared" si="4"/>
        <v>22883.018400000004</v>
      </c>
      <c r="AE6" s="38">
        <f t="shared" si="5"/>
        <v>28728.548640000005</v>
      </c>
      <c r="AG6" s="37">
        <f t="array" ref="AG6">SUMPRODUCT(U6:W6,TRANSPOSE(Inputs!$C$8:$C$10))</f>
        <v>2069.3802240000005</v>
      </c>
      <c r="AH6" s="37">
        <f t="array" ref="AH6">SUMPRODUCT(Z6:AB6,TRANSPOSE(Inputs!$C$8:$C$10))</f>
        <v>8686.9389600000013</v>
      </c>
      <c r="AI6" s="37">
        <f t="shared" si="6"/>
        <v>10756.319184000002</v>
      </c>
      <c r="AK6" s="39">
        <f>Inputs!$C$29</f>
        <v>200</v>
      </c>
      <c r="AM6" s="39">
        <f>Inputs!$C$30</f>
        <v>50</v>
      </c>
      <c r="AO6" s="40">
        <f t="shared" si="7"/>
        <v>4390.839407196001</v>
      </c>
      <c r="AP6" s="40">
        <f t="shared" si="15"/>
        <v>57.457097280000013</v>
      </c>
      <c r="AQ6" s="40">
        <f>AI6*Inputs!$C$31*AM6/100000</f>
        <v>484.03436328000009</v>
      </c>
      <c r="AR6" s="40">
        <f t="shared" si="8"/>
        <v>4932.3308677560017</v>
      </c>
      <c r="AT6" s="53">
        <f>'Other Inputs'!D30</f>
        <v>0.3</v>
      </c>
      <c r="AU6" s="40">
        <f t="shared" si="9"/>
        <v>8618.5645920000006</v>
      </c>
      <c r="AV6" s="40">
        <f t="shared" si="10"/>
        <v>17.237129184000004</v>
      </c>
      <c r="AW6" s="40">
        <f t="shared" si="11"/>
        <v>145.21030898400002</v>
      </c>
      <c r="AX6" s="40">
        <f>AX5</f>
        <v>400</v>
      </c>
      <c r="AZ6" s="40">
        <f t="shared" si="12"/>
        <v>40.219968096000009</v>
      </c>
      <c r="BA6" s="40">
        <f t="shared" si="13"/>
        <v>338.8240542960001</v>
      </c>
      <c r="BB6" s="40">
        <f t="shared" si="14"/>
        <v>5169.8834295880015</v>
      </c>
    </row>
    <row r="7" spans="2:54" ht="14.25" customHeight="1" x14ac:dyDescent="0.35">
      <c r="B7" s="15">
        <v>4</v>
      </c>
      <c r="C7" s="36">
        <f>C6*(1+Inputs!$C$7)</f>
        <v>151165.44000000003</v>
      </c>
      <c r="D7" s="36">
        <f>D6*(1+Inputs!$C$7)</f>
        <v>94478.400000000009</v>
      </c>
      <c r="E7" s="36">
        <f>E6*(1+Inputs!$C$7)</f>
        <v>50388.480000000003</v>
      </c>
      <c r="F7" s="36">
        <f t="shared" si="0"/>
        <v>296032.32</v>
      </c>
      <c r="H7" s="36">
        <f>C7*Inputs!$C$13</f>
        <v>1284906.2400000002</v>
      </c>
      <c r="I7" s="36">
        <f>D7*Inputs!$C$14</f>
        <v>566870.4</v>
      </c>
      <c r="J7" s="36">
        <f>E7*Inputs!$C$15</f>
        <v>503884.80000000005</v>
      </c>
      <c r="K7" s="36">
        <f t="shared" si="1"/>
        <v>2355661.4400000004</v>
      </c>
      <c r="M7" s="36">
        <f>C7*Inputs!$C$16</f>
        <v>18139852.800000004</v>
      </c>
      <c r="N7" s="36">
        <f>+D7*Inputs!$C$17</f>
        <v>8975448</v>
      </c>
      <c r="O7" s="36">
        <f>+E7*Inputs!$C$18</f>
        <v>3023308.8000000003</v>
      </c>
      <c r="P7" s="36">
        <f t="shared" si="2"/>
        <v>30138609.600000005</v>
      </c>
      <c r="R7" s="37">
        <f>K7*(Inputs!$C$19)*(1+Inputs!$C$20)^('Projection - ScenarioC'!B7-'Projection - ScenarioC'!$B$4)/100000</f>
        <v>2437.8148500406278</v>
      </c>
      <c r="S7" s="37">
        <f>P7*(Inputs!$C$21)*(1+Inputs!$C$22)^('Projection - ScenarioC'!B7-'Projection - ScenarioC'!$B$4)/100000</f>
        <v>2469.9954339284404</v>
      </c>
      <c r="U7" s="38">
        <f>H7*Inputs!$C$25/1000</f>
        <v>3443.5487232000009</v>
      </c>
      <c r="V7" s="38">
        <f>I7*Inputs!$C$25/1000</f>
        <v>1519.2126720000003</v>
      </c>
      <c r="W7" s="38">
        <f>J7*Inputs!$C$25/1000</f>
        <v>1350.4112640000003</v>
      </c>
      <c r="X7" s="38">
        <f t="shared" si="3"/>
        <v>6313.1726592000014</v>
      </c>
      <c r="Z7" s="38">
        <f>M7*Inputs!$C$26/1000</f>
        <v>14874.679296000002</v>
      </c>
      <c r="AA7" s="38">
        <f>N7*Inputs!$C$26/1000</f>
        <v>7359.8673599999993</v>
      </c>
      <c r="AB7" s="38">
        <f>O7*Inputs!$C$26/1000</f>
        <v>2479.1132160000002</v>
      </c>
      <c r="AC7" s="38">
        <f t="shared" si="4"/>
        <v>24713.659872000004</v>
      </c>
      <c r="AE7" s="38">
        <f t="shared" si="5"/>
        <v>31026.832531200005</v>
      </c>
      <c r="AG7" s="37">
        <f t="array" ref="AG7">SUMPRODUCT(U7:W7,TRANSPOSE(Inputs!$C$8:$C$10))</f>
        <v>2234.9306419200002</v>
      </c>
      <c r="AH7" s="37">
        <f t="array" ref="AH7">SUMPRODUCT(Z7:AB7,TRANSPOSE(Inputs!$C$8:$C$10))</f>
        <v>9381.8940767999993</v>
      </c>
      <c r="AI7" s="37">
        <f t="shared" si="6"/>
        <v>11616.82471872</v>
      </c>
      <c r="AK7" s="39">
        <f>Inputs!$C$29</f>
        <v>200</v>
      </c>
      <c r="AM7" s="39">
        <f>Inputs!$C$30</f>
        <v>50</v>
      </c>
      <c r="AO7" s="40">
        <f t="shared" si="7"/>
        <v>4907.8102839690682</v>
      </c>
      <c r="AP7" s="40">
        <f t="shared" si="15"/>
        <v>62.053665062400007</v>
      </c>
      <c r="AQ7" s="40">
        <f>AI7*Inputs!$C$31*AM7/100000</f>
        <v>522.75711234239998</v>
      </c>
      <c r="AR7" s="40">
        <f t="shared" si="8"/>
        <v>5492.6210613738676</v>
      </c>
      <c r="AT7" s="53">
        <f>'Other Inputs'!D31</f>
        <v>0.4</v>
      </c>
      <c r="AU7" s="40">
        <f t="shared" si="9"/>
        <v>12410.733012480003</v>
      </c>
      <c r="AV7" s="40">
        <f t="shared" si="10"/>
        <v>24.821466024960003</v>
      </c>
      <c r="AW7" s="40">
        <f t="shared" si="11"/>
        <v>209.10284493696</v>
      </c>
      <c r="AX7" s="40">
        <f>'Other Inputs'!C24</f>
        <v>80</v>
      </c>
      <c r="AZ7" s="40">
        <f t="shared" si="12"/>
        <v>37.232199037440004</v>
      </c>
      <c r="BA7" s="40">
        <f t="shared" si="13"/>
        <v>313.65426740544001</v>
      </c>
      <c r="BB7" s="40">
        <f t="shared" si="14"/>
        <v>5338.6967504119484</v>
      </c>
    </row>
    <row r="8" spans="2:54" ht="14.25" customHeight="1" x14ac:dyDescent="0.35">
      <c r="B8" s="15">
        <v>5</v>
      </c>
      <c r="C8" s="36">
        <f>C7*(1+Inputs!$C$7)</f>
        <v>163258.67520000006</v>
      </c>
      <c r="D8" s="36">
        <f>D7*(1+Inputs!$C$7)</f>
        <v>102036.67200000002</v>
      </c>
      <c r="E8" s="36">
        <f>E7*(1+Inputs!$C$7)</f>
        <v>54419.558400000009</v>
      </c>
      <c r="F8" s="36">
        <f t="shared" si="0"/>
        <v>319714.90560000006</v>
      </c>
      <c r="H8" s="36">
        <f>C8*Inputs!$C$13</f>
        <v>1387698.7392000004</v>
      </c>
      <c r="I8" s="36">
        <f>D8*Inputs!$C$14</f>
        <v>612220.03200000012</v>
      </c>
      <c r="J8" s="36">
        <f>E8*Inputs!$C$15</f>
        <v>544195.58400000003</v>
      </c>
      <c r="K8" s="36">
        <f t="shared" si="1"/>
        <v>2544114.3552000006</v>
      </c>
      <c r="M8" s="36">
        <f>C8*Inputs!$C$16</f>
        <v>19591041.024000008</v>
      </c>
      <c r="N8" s="36">
        <f>+D8*Inputs!$C$17</f>
        <v>9693483.8400000017</v>
      </c>
      <c r="O8" s="36">
        <f>+E8*Inputs!$C$18</f>
        <v>3265173.5040000007</v>
      </c>
      <c r="P8" s="36">
        <f t="shared" si="2"/>
        <v>32549698.368000008</v>
      </c>
      <c r="R8" s="37">
        <f>K8*(Inputs!$C$19)*(1+Inputs!$C$20)^('Projection - ScenarioC'!B8-'Projection - ScenarioC'!$B$4)/100000</f>
        <v>2738.1536395656335</v>
      </c>
      <c r="S8" s="37">
        <f>P8*(Inputs!$C$21)*(1+Inputs!$C$22)^('Projection - ScenarioC'!B8-'Projection - ScenarioC'!$B$4)/100000</f>
        <v>2747.6229207019974</v>
      </c>
      <c r="U8" s="38">
        <f>H8*Inputs!$C$25/1000</f>
        <v>3719.0326210560011</v>
      </c>
      <c r="V8" s="38">
        <f>I8*Inputs!$C$25/1000</f>
        <v>1640.7496857600004</v>
      </c>
      <c r="W8" s="38">
        <f>J8*Inputs!$C$25/1000</f>
        <v>1458.4441651200002</v>
      </c>
      <c r="X8" s="38">
        <f t="shared" si="3"/>
        <v>6818.2264719360019</v>
      </c>
      <c r="Z8" s="38">
        <f>M8*Inputs!$C$26/1000</f>
        <v>16064.653639680006</v>
      </c>
      <c r="AA8" s="38">
        <f>N8*Inputs!$C$26/1000</f>
        <v>7948.656748800001</v>
      </c>
      <c r="AB8" s="38">
        <f>O8*Inputs!$C$26/1000</f>
        <v>2677.4422732800003</v>
      </c>
      <c r="AC8" s="38">
        <f t="shared" si="4"/>
        <v>26690.752661760009</v>
      </c>
      <c r="AE8" s="38">
        <f t="shared" si="5"/>
        <v>33508.979133696012</v>
      </c>
      <c r="AG8" s="37">
        <f t="array" ref="AG8">SUMPRODUCT(U8:W8,TRANSPOSE(Inputs!$C$8:$C$10))</f>
        <v>2413.7250932736006</v>
      </c>
      <c r="AH8" s="37">
        <f t="array" ref="AH8">SUMPRODUCT(Z8:AB8,TRANSPOSE(Inputs!$C$8:$C$10))</f>
        <v>10132.445602944003</v>
      </c>
      <c r="AI8" s="37">
        <f t="shared" si="6"/>
        <v>12546.170696217603</v>
      </c>
      <c r="AK8" s="39">
        <f>Inputs!$C$29</f>
        <v>200</v>
      </c>
      <c r="AM8" s="39">
        <f>Inputs!$C$30</f>
        <v>50</v>
      </c>
      <c r="AO8" s="40">
        <f t="shared" si="7"/>
        <v>5485.7765602676309</v>
      </c>
      <c r="AP8" s="40">
        <f t="shared" si="15"/>
        <v>67.017958267392018</v>
      </c>
      <c r="AQ8" s="40">
        <f>AI8*Inputs!$C$31*AM8/100000</f>
        <v>564.57768132979209</v>
      </c>
      <c r="AR8" s="40">
        <f t="shared" si="8"/>
        <v>6117.3721998648143</v>
      </c>
      <c r="AT8" s="53">
        <f>'Other Inputs'!D32</f>
        <v>0.5</v>
      </c>
      <c r="AU8" s="40">
        <f t="shared" si="9"/>
        <v>16754.489566848006</v>
      </c>
      <c r="AV8" s="40">
        <f t="shared" si="10"/>
        <v>33.508979133696009</v>
      </c>
      <c r="AW8" s="40">
        <f t="shared" si="11"/>
        <v>282.28884066489604</v>
      </c>
      <c r="AX8" s="40">
        <f t="shared" ref="AX8:AX13" si="16">AX7</f>
        <v>80</v>
      </c>
      <c r="AZ8" s="40">
        <f t="shared" si="12"/>
        <v>33.508979133696009</v>
      </c>
      <c r="BA8" s="40">
        <f t="shared" si="13"/>
        <v>282.28884066489604</v>
      </c>
      <c r="BB8" s="40">
        <f t="shared" si="14"/>
        <v>5881.5743800662231</v>
      </c>
    </row>
    <row r="9" spans="2:54" ht="14.25" customHeight="1" x14ac:dyDescent="0.35">
      <c r="B9" s="15">
        <v>6</v>
      </c>
      <c r="C9" s="36">
        <f>C8*(1+Inputs!$C$7)</f>
        <v>176319.36921600008</v>
      </c>
      <c r="D9" s="36">
        <f>D8*(1+Inputs!$C$7)</f>
        <v>110199.60576000003</v>
      </c>
      <c r="E9" s="36">
        <f>E8*(1+Inputs!$C$7)</f>
        <v>58773.123072000017</v>
      </c>
      <c r="F9" s="36">
        <f t="shared" si="0"/>
        <v>345292.09804800013</v>
      </c>
      <c r="H9" s="36">
        <f>C9*Inputs!$C$13</f>
        <v>1498714.6383360007</v>
      </c>
      <c r="I9" s="36">
        <f>D9*Inputs!$C$14</f>
        <v>661197.63456000015</v>
      </c>
      <c r="J9" s="36">
        <f>E9*Inputs!$C$15</f>
        <v>587731.23072000011</v>
      </c>
      <c r="K9" s="36">
        <f t="shared" si="1"/>
        <v>2747643.5036160015</v>
      </c>
      <c r="M9" s="36">
        <f>C9*Inputs!$C$16</f>
        <v>21158324.305920009</v>
      </c>
      <c r="N9" s="36">
        <f>+D9*Inputs!$C$17</f>
        <v>10468962.547200004</v>
      </c>
      <c r="O9" s="36">
        <f>+E9*Inputs!$C$18</f>
        <v>3526387.3843200011</v>
      </c>
      <c r="P9" s="36">
        <f t="shared" si="2"/>
        <v>35153674.237440012</v>
      </c>
      <c r="R9" s="37">
        <f>K9*(Inputs!$C$19)*(1+Inputs!$C$20)^('Projection - ScenarioC'!B9-'Projection - ScenarioC'!$B$4)/100000</f>
        <v>3075.4941679601206</v>
      </c>
      <c r="S9" s="37">
        <f>P9*(Inputs!$C$21)*(1+Inputs!$C$22)^('Projection - ScenarioC'!B9-'Projection - ScenarioC'!$B$4)/100000</f>
        <v>3056.4557369889021</v>
      </c>
      <c r="U9" s="38">
        <f>H9*Inputs!$C$25/1000</f>
        <v>4016.5552307404819</v>
      </c>
      <c r="V9" s="38">
        <f>I9*Inputs!$C$25/1000</f>
        <v>1772.0096606208006</v>
      </c>
      <c r="W9" s="38">
        <f>J9*Inputs!$C$25/1000</f>
        <v>1575.1196983296002</v>
      </c>
      <c r="X9" s="38">
        <f t="shared" si="3"/>
        <v>7363.6845896908826</v>
      </c>
      <c r="Z9" s="38">
        <f>M9*Inputs!$C$26/1000</f>
        <v>17349.825930854407</v>
      </c>
      <c r="AA9" s="38">
        <f>N9*Inputs!$C$26/1000</f>
        <v>8584.5492887040018</v>
      </c>
      <c r="AB9" s="38">
        <f>O9*Inputs!$C$26/1000</f>
        <v>2891.6376551424009</v>
      </c>
      <c r="AC9" s="38">
        <f t="shared" si="4"/>
        <v>28826.012874700809</v>
      </c>
      <c r="AE9" s="38">
        <f t="shared" si="5"/>
        <v>36189.697464391691</v>
      </c>
      <c r="AG9" s="37">
        <f t="array" ref="AG9">SUMPRODUCT(U9:W9,TRANSPOSE(Inputs!$C$8:$C$10))</f>
        <v>2606.8231007354889</v>
      </c>
      <c r="AH9" s="37">
        <f t="array" ref="AH9">SUMPRODUCT(Z9:AB9,TRANSPOSE(Inputs!$C$8:$C$10))</f>
        <v>10943.041251179524</v>
      </c>
      <c r="AI9" s="37">
        <f t="shared" si="6"/>
        <v>13549.864351915014</v>
      </c>
      <c r="AK9" s="39">
        <f>Inputs!$C$29</f>
        <v>200</v>
      </c>
      <c r="AM9" s="39">
        <f>Inputs!$C$30</f>
        <v>50</v>
      </c>
      <c r="AO9" s="40">
        <f t="shared" si="7"/>
        <v>6131.9499049490223</v>
      </c>
      <c r="AP9" s="40">
        <f t="shared" si="15"/>
        <v>72.379394928783384</v>
      </c>
      <c r="AQ9" s="40">
        <f>AI9*Inputs!$C$31*AM9/100000</f>
        <v>609.74389583617562</v>
      </c>
      <c r="AR9" s="40">
        <f t="shared" si="8"/>
        <v>6814.0731957139815</v>
      </c>
      <c r="AT9" s="53">
        <f>'Other Inputs'!D33</f>
        <v>0.5</v>
      </c>
      <c r="AU9" s="40">
        <f t="shared" si="9"/>
        <v>18094.848732195846</v>
      </c>
      <c r="AV9" s="40">
        <f t="shared" si="10"/>
        <v>36.189697464391692</v>
      </c>
      <c r="AW9" s="40">
        <f t="shared" si="11"/>
        <v>304.87194791808781</v>
      </c>
      <c r="AX9" s="40">
        <f t="shared" si="16"/>
        <v>80</v>
      </c>
      <c r="AZ9" s="40">
        <f t="shared" si="12"/>
        <v>36.189697464391692</v>
      </c>
      <c r="BA9" s="40">
        <f t="shared" si="13"/>
        <v>304.87194791808781</v>
      </c>
      <c r="BB9" s="40">
        <f t="shared" si="14"/>
        <v>6553.0115503315019</v>
      </c>
    </row>
    <row r="10" spans="2:54" ht="14.25" customHeight="1" x14ac:dyDescent="0.35">
      <c r="B10" s="15">
        <v>7</v>
      </c>
      <c r="C10" s="36">
        <f>C9*(1+Inputs!$C$7)</f>
        <v>190424.9187532801</v>
      </c>
      <c r="D10" s="36">
        <f>D9*(1+Inputs!$C$7)</f>
        <v>119015.57422080004</v>
      </c>
      <c r="E10" s="36">
        <f>E9*(1+Inputs!$C$7)</f>
        <v>63474.972917760024</v>
      </c>
      <c r="F10" s="36">
        <f t="shared" si="0"/>
        <v>372915.46589184017</v>
      </c>
      <c r="H10" s="36">
        <f>C10*Inputs!$C$13</f>
        <v>1618611.809402881</v>
      </c>
      <c r="I10" s="36">
        <f>D10*Inputs!$C$14</f>
        <v>714093.44532480021</v>
      </c>
      <c r="J10" s="36">
        <f>E10*Inputs!$C$15</f>
        <v>634749.72917760024</v>
      </c>
      <c r="K10" s="36">
        <f t="shared" si="1"/>
        <v>2967454.9839052814</v>
      </c>
      <c r="M10" s="36">
        <f>C10*Inputs!$C$16</f>
        <v>22850990.25039361</v>
      </c>
      <c r="N10" s="36">
        <f>+D10*Inputs!$C$17</f>
        <v>11306479.550976004</v>
      </c>
      <c r="O10" s="36">
        <f>+E10*Inputs!$C$18</f>
        <v>3808498.3750656014</v>
      </c>
      <c r="P10" s="36">
        <f t="shared" si="2"/>
        <v>37965968.176435217</v>
      </c>
      <c r="R10" s="37">
        <f>K10*(Inputs!$C$19)*(1+Inputs!$C$20)^('Projection - ScenarioC'!B10-'Projection - ScenarioC'!$B$4)/100000</f>
        <v>3454.3950494528081</v>
      </c>
      <c r="S10" s="37">
        <f>P10*(Inputs!$C$21)*(1+Inputs!$C$22)^('Projection - ScenarioC'!B10-'Projection - ScenarioC'!$B$4)/100000</f>
        <v>3400.0013618264552</v>
      </c>
      <c r="U10" s="38">
        <f>H10*Inputs!$C$25/1000</f>
        <v>4337.8796491997218</v>
      </c>
      <c r="V10" s="38">
        <f>I10*Inputs!$C$25/1000</f>
        <v>1913.7704334704647</v>
      </c>
      <c r="W10" s="38">
        <f>J10*Inputs!$C$25/1000</f>
        <v>1701.1292741959687</v>
      </c>
      <c r="X10" s="38">
        <f t="shared" si="3"/>
        <v>7952.7793568661555</v>
      </c>
      <c r="Z10" s="38">
        <f>M10*Inputs!$C$26/1000</f>
        <v>18737.812005322758</v>
      </c>
      <c r="AA10" s="38">
        <f>N10*Inputs!$C$26/1000</f>
        <v>9271.3132318003227</v>
      </c>
      <c r="AB10" s="38">
        <f>O10*Inputs!$C$26/1000</f>
        <v>3122.9686675537932</v>
      </c>
      <c r="AC10" s="38">
        <f t="shared" si="4"/>
        <v>31132.093904676873</v>
      </c>
      <c r="AE10" s="38">
        <f t="shared" si="5"/>
        <v>39084.873261543027</v>
      </c>
      <c r="AG10" s="37">
        <f t="array" ref="AG10">SUMPRODUCT(U10:W10,TRANSPOSE(Inputs!$C$8:$C$10))</f>
        <v>2815.3689487943288</v>
      </c>
      <c r="AH10" s="37">
        <f t="array" ref="AH10">SUMPRODUCT(Z10:AB10,TRANSPOSE(Inputs!$C$8:$C$10))</f>
        <v>11818.484551273887</v>
      </c>
      <c r="AI10" s="37">
        <f t="shared" si="6"/>
        <v>14633.853500068215</v>
      </c>
      <c r="AK10" s="39">
        <f>Inputs!$C$29</f>
        <v>200</v>
      </c>
      <c r="AM10" s="39">
        <f>Inputs!$C$30</f>
        <v>50</v>
      </c>
      <c r="AO10" s="40">
        <f t="shared" si="7"/>
        <v>6854.3964112792637</v>
      </c>
      <c r="AP10" s="40">
        <f t="shared" si="15"/>
        <v>78.169746523086062</v>
      </c>
      <c r="AQ10" s="40">
        <f>AI10*Inputs!$C$31*AM10/100000</f>
        <v>658.52340750306973</v>
      </c>
      <c r="AR10" s="40">
        <f t="shared" si="8"/>
        <v>7591.0895653054195</v>
      </c>
      <c r="AT10" s="53">
        <f>'Other Inputs'!D34</f>
        <v>0.5</v>
      </c>
      <c r="AU10" s="40">
        <f t="shared" si="9"/>
        <v>19542.436630771514</v>
      </c>
      <c r="AV10" s="40">
        <f t="shared" si="10"/>
        <v>39.084873261543031</v>
      </c>
      <c r="AW10" s="40">
        <f t="shared" si="11"/>
        <v>329.26170375153487</v>
      </c>
      <c r="AX10" s="40">
        <f t="shared" si="16"/>
        <v>80</v>
      </c>
      <c r="AZ10" s="40">
        <f t="shared" si="12"/>
        <v>39.084873261543031</v>
      </c>
      <c r="BA10" s="40">
        <f t="shared" si="13"/>
        <v>329.26170375153487</v>
      </c>
      <c r="BB10" s="40">
        <f t="shared" si="14"/>
        <v>7302.7429882923416</v>
      </c>
    </row>
    <row r="11" spans="2:54" ht="14.25" customHeight="1" x14ac:dyDescent="0.35">
      <c r="B11" s="15">
        <v>8</v>
      </c>
      <c r="C11" s="36">
        <f>C10*(1+Inputs!$C$7)</f>
        <v>205658.91225354251</v>
      </c>
      <c r="D11" s="36">
        <f>D10*(1+Inputs!$C$7)</f>
        <v>128536.82015846406</v>
      </c>
      <c r="E11" s="36">
        <f>E10*(1+Inputs!$C$7)</f>
        <v>68552.970751180837</v>
      </c>
      <c r="F11" s="36">
        <f t="shared" si="0"/>
        <v>402748.70316318743</v>
      </c>
      <c r="H11" s="36">
        <f>C11*Inputs!$C$13</f>
        <v>1748100.7541551113</v>
      </c>
      <c r="I11" s="36">
        <f>D11*Inputs!$C$14</f>
        <v>771220.92095078435</v>
      </c>
      <c r="J11" s="36">
        <f>E11*Inputs!$C$15</f>
        <v>685529.70751180837</v>
      </c>
      <c r="K11" s="36">
        <f t="shared" si="1"/>
        <v>3204851.3826177041</v>
      </c>
      <c r="M11" s="36">
        <f>C11*Inputs!$C$16</f>
        <v>24679069.470425103</v>
      </c>
      <c r="N11" s="36">
        <f>+D11*Inputs!$C$17</f>
        <v>12210997.915054087</v>
      </c>
      <c r="O11" s="36">
        <f>+E11*Inputs!$C$18</f>
        <v>4113178.2450708505</v>
      </c>
      <c r="P11" s="36">
        <f t="shared" si="2"/>
        <v>41003245.630550042</v>
      </c>
      <c r="R11" s="37">
        <f>K11*(Inputs!$C$19)*(1+Inputs!$C$20)^('Projection - ScenarioC'!B11-'Projection - ScenarioC'!$B$4)/100000</f>
        <v>3879.9765195453938</v>
      </c>
      <c r="S11" s="37">
        <f>P11*(Inputs!$C$21)*(1+Inputs!$C$22)^('Projection - ScenarioC'!B11-'Projection - ScenarioC'!$B$4)/100000</f>
        <v>3782.161514895749</v>
      </c>
      <c r="U11" s="38">
        <f>H11*Inputs!$C$25/1000</f>
        <v>4684.9100211356981</v>
      </c>
      <c r="V11" s="38">
        <f>I11*Inputs!$C$25/1000</f>
        <v>2066.8720681481022</v>
      </c>
      <c r="W11" s="38">
        <f>J11*Inputs!$C$25/1000</f>
        <v>1837.2196161316465</v>
      </c>
      <c r="X11" s="38">
        <f t="shared" si="3"/>
        <v>8589.0017054154468</v>
      </c>
      <c r="Z11" s="38">
        <f>M11*Inputs!$C$26/1000</f>
        <v>20236.836965748582</v>
      </c>
      <c r="AA11" s="38">
        <f>N11*Inputs!$C$26/1000</f>
        <v>10013.018290344349</v>
      </c>
      <c r="AB11" s="38">
        <f>O11*Inputs!$C$26/1000</f>
        <v>3372.8061609580973</v>
      </c>
      <c r="AC11" s="38">
        <f t="shared" si="4"/>
        <v>33622.661417051029</v>
      </c>
      <c r="AE11" s="38">
        <f t="shared" si="5"/>
        <v>42211.663122466474</v>
      </c>
      <c r="AG11" s="37">
        <f t="array" ref="AG11">SUMPRODUCT(U11:W11,TRANSPOSE(Inputs!$C$8:$C$10))</f>
        <v>3040.598464697875</v>
      </c>
      <c r="AH11" s="37">
        <f t="array" ref="AH11">SUMPRODUCT(Z11:AB11,TRANSPOSE(Inputs!$C$8:$C$10))</f>
        <v>12763.963315375797</v>
      </c>
      <c r="AI11" s="37">
        <f t="shared" si="6"/>
        <v>15804.561780073673</v>
      </c>
      <c r="AK11" s="39">
        <f>Inputs!$C$29</f>
        <v>200</v>
      </c>
      <c r="AM11" s="39">
        <f>Inputs!$C$30</f>
        <v>50</v>
      </c>
      <c r="AO11" s="40">
        <f t="shared" si="7"/>
        <v>7662.1380344411427</v>
      </c>
      <c r="AP11" s="40">
        <f t="shared" si="15"/>
        <v>84.423326244932952</v>
      </c>
      <c r="AQ11" s="40">
        <f>AI11*Inputs!$C$31*AM11/100000</f>
        <v>711.20528010331532</v>
      </c>
      <c r="AR11" s="40">
        <f t="shared" si="8"/>
        <v>8457.7666407893921</v>
      </c>
      <c r="AT11" s="53">
        <f>'Other Inputs'!D35</f>
        <v>0.5</v>
      </c>
      <c r="AU11" s="40">
        <f t="shared" si="9"/>
        <v>21105.831561233237</v>
      </c>
      <c r="AV11" s="40">
        <f t="shared" si="10"/>
        <v>42.211663122466476</v>
      </c>
      <c r="AW11" s="40">
        <f t="shared" si="11"/>
        <v>355.60264005165766</v>
      </c>
      <c r="AX11" s="40">
        <f t="shared" si="16"/>
        <v>80</v>
      </c>
      <c r="AZ11" s="40">
        <f t="shared" si="12"/>
        <v>42.211663122466476</v>
      </c>
      <c r="BA11" s="40">
        <f t="shared" si="13"/>
        <v>355.60264005165766</v>
      </c>
      <c r="BB11" s="40">
        <f t="shared" si="14"/>
        <v>8139.9523376152665</v>
      </c>
    </row>
    <row r="12" spans="2:54" ht="14.25" customHeight="1" x14ac:dyDescent="0.35">
      <c r="B12" s="15">
        <v>9</v>
      </c>
      <c r="C12" s="36">
        <f>C11*(1+Inputs!$C$7)</f>
        <v>222111.62523382594</v>
      </c>
      <c r="D12" s="36">
        <f>D11*(1+Inputs!$C$7)</f>
        <v>138819.76577114119</v>
      </c>
      <c r="E12" s="36">
        <f>E11*(1+Inputs!$C$7)</f>
        <v>74037.208411275307</v>
      </c>
      <c r="F12" s="36">
        <f t="shared" si="0"/>
        <v>434968.59941624245</v>
      </c>
      <c r="H12" s="36">
        <f>C12*Inputs!$C$13</f>
        <v>1887948.8144875204</v>
      </c>
      <c r="I12" s="36">
        <f>D12*Inputs!$C$14</f>
        <v>832918.59462684719</v>
      </c>
      <c r="J12" s="36">
        <f>E12*Inputs!$C$15</f>
        <v>740372.08411275304</v>
      </c>
      <c r="K12" s="36">
        <f t="shared" si="1"/>
        <v>3461239.4932271205</v>
      </c>
      <c r="M12" s="36">
        <f>C12*Inputs!$C$16</f>
        <v>26653395.028059114</v>
      </c>
      <c r="N12" s="36">
        <f>+D12*Inputs!$C$17</f>
        <v>13187877.748258414</v>
      </c>
      <c r="O12" s="36">
        <f>+E12*Inputs!$C$18</f>
        <v>4442232.504676518</v>
      </c>
      <c r="P12" s="36">
        <f t="shared" si="2"/>
        <v>44283505.28099405</v>
      </c>
      <c r="R12" s="37">
        <f>K12*(Inputs!$C$19)*(1+Inputs!$C$20)^('Projection - ScenarioC'!B12-'Projection - ScenarioC'!$B$4)/100000</f>
        <v>4357.9896267533859</v>
      </c>
      <c r="S12" s="37">
        <f>P12*(Inputs!$C$21)*(1+Inputs!$C$22)^('Projection - ScenarioC'!B12-'Projection - ScenarioC'!$B$4)/100000</f>
        <v>4207.2764691700313</v>
      </c>
      <c r="U12" s="38">
        <f>H12*Inputs!$C$25/1000</f>
        <v>5059.7028228265553</v>
      </c>
      <c r="V12" s="38">
        <f>I12*Inputs!$C$25/1000</f>
        <v>2232.2218335999505</v>
      </c>
      <c r="W12" s="38">
        <f>J12*Inputs!$C$25/1000</f>
        <v>1984.1971854221783</v>
      </c>
      <c r="X12" s="38">
        <f t="shared" si="3"/>
        <v>9276.1218418486842</v>
      </c>
      <c r="Z12" s="38">
        <f>M12*Inputs!$C$26/1000</f>
        <v>21855.783923008472</v>
      </c>
      <c r="AA12" s="38">
        <f>N12*Inputs!$C$26/1000</f>
        <v>10814.059753571897</v>
      </c>
      <c r="AB12" s="38">
        <f>O12*Inputs!$C$26/1000</f>
        <v>3642.6306538347444</v>
      </c>
      <c r="AC12" s="38">
        <f t="shared" si="4"/>
        <v>36312.474330415112</v>
      </c>
      <c r="AE12" s="38">
        <f t="shared" si="5"/>
        <v>45588.596172263795</v>
      </c>
      <c r="AG12" s="37">
        <f t="array" ref="AG12">SUMPRODUCT(U12:W12,TRANSPOSE(Inputs!$C$8:$C$10))</f>
        <v>3283.8463418737051</v>
      </c>
      <c r="AH12" s="37">
        <f t="array" ref="AH12">SUMPRODUCT(Z12:AB12,TRANSPOSE(Inputs!$C$8:$C$10))</f>
        <v>13785.080380605861</v>
      </c>
      <c r="AI12" s="37">
        <f t="shared" si="6"/>
        <v>17068.926722479566</v>
      </c>
      <c r="AK12" s="39">
        <f>Inputs!$C$29</f>
        <v>200</v>
      </c>
      <c r="AM12" s="39">
        <f>Inputs!$C$30</f>
        <v>50</v>
      </c>
      <c r="AO12" s="40">
        <f t="shared" si="7"/>
        <v>8565.2660959234163</v>
      </c>
      <c r="AP12" s="40">
        <f t="shared" si="15"/>
        <v>91.177192344527597</v>
      </c>
      <c r="AQ12" s="40">
        <f>AI12*Inputs!$C$31*AM12/100000</f>
        <v>768.10170251158047</v>
      </c>
      <c r="AR12" s="40">
        <f t="shared" si="8"/>
        <v>9424.5449907795228</v>
      </c>
      <c r="AT12" s="53">
        <f>'Other Inputs'!D36</f>
        <v>0.5</v>
      </c>
      <c r="AU12" s="40">
        <f t="shared" si="9"/>
        <v>22794.298086131897</v>
      </c>
      <c r="AV12" s="40">
        <f t="shared" si="10"/>
        <v>45.588596172263799</v>
      </c>
      <c r="AW12" s="40">
        <f t="shared" si="11"/>
        <v>384.05085125579023</v>
      </c>
      <c r="AX12" s="40">
        <f t="shared" si="16"/>
        <v>80</v>
      </c>
      <c r="AZ12" s="40">
        <f t="shared" si="12"/>
        <v>45.588596172263799</v>
      </c>
      <c r="BA12" s="40">
        <f t="shared" si="13"/>
        <v>384.05085125579023</v>
      </c>
      <c r="BB12" s="40">
        <f t="shared" si="14"/>
        <v>9074.9055433514695</v>
      </c>
    </row>
    <row r="13" spans="2:54" ht="14.25" customHeight="1" x14ac:dyDescent="0.35">
      <c r="B13" s="15">
        <v>10</v>
      </c>
      <c r="C13" s="36">
        <f>C12*(1+Inputs!$C$7)</f>
        <v>239880.55525253204</v>
      </c>
      <c r="D13" s="36">
        <f>D12*(1+Inputs!$C$7)</f>
        <v>149925.34703283251</v>
      </c>
      <c r="E13" s="36">
        <f>E12*(1+Inputs!$C$7)</f>
        <v>79960.185084177341</v>
      </c>
      <c r="F13" s="36">
        <f t="shared" si="0"/>
        <v>469766.08736954193</v>
      </c>
      <c r="H13" s="36">
        <f>C13*Inputs!$C$13</f>
        <v>2038984.7196465223</v>
      </c>
      <c r="I13" s="36">
        <f>D13*Inputs!$C$14</f>
        <v>899552.08219699503</v>
      </c>
      <c r="J13" s="36">
        <f>E13*Inputs!$C$15</f>
        <v>799601.85084177344</v>
      </c>
      <c r="K13" s="36">
        <f t="shared" si="1"/>
        <v>3738138.6526852911</v>
      </c>
      <c r="M13" s="36">
        <f>C13*Inputs!$C$16</f>
        <v>28785666.630303845</v>
      </c>
      <c r="N13" s="36">
        <f>+D13*Inputs!$C$17</f>
        <v>14242907.968119089</v>
      </c>
      <c r="O13" s="36">
        <f>+E13*Inputs!$C$18</f>
        <v>4797611.1050506402</v>
      </c>
      <c r="P13" s="36">
        <f t="shared" si="2"/>
        <v>47826185.703473568</v>
      </c>
      <c r="R13" s="37">
        <f>K13*(Inputs!$C$19)*(1+Inputs!$C$20)^('Projection - ScenarioC'!B13-'Projection - ScenarioC'!$B$4)/100000</f>
        <v>4894.8939487694051</v>
      </c>
      <c r="S13" s="37">
        <f>P13*(Inputs!$C$21)*(1+Inputs!$C$22)^('Projection - ScenarioC'!B13-'Projection - ScenarioC'!$B$4)/100000</f>
        <v>4680.1743443047426</v>
      </c>
      <c r="U13" s="38">
        <f>H13*Inputs!$C$25/1000</f>
        <v>5464.4790486526799</v>
      </c>
      <c r="V13" s="38">
        <f>I13*Inputs!$C$25/1000</f>
        <v>2410.7995802879468</v>
      </c>
      <c r="W13" s="38">
        <f>J13*Inputs!$C$25/1000</f>
        <v>2142.9329602559528</v>
      </c>
      <c r="X13" s="38">
        <f t="shared" si="3"/>
        <v>10018.21158919658</v>
      </c>
      <c r="Z13" s="38">
        <f>M13*Inputs!$C$26/1000</f>
        <v>23604.246636849151</v>
      </c>
      <c r="AA13" s="38">
        <f>N13*Inputs!$C$26/1000</f>
        <v>11679.184533857651</v>
      </c>
      <c r="AB13" s="38">
        <f>O13*Inputs!$C$26/1000</f>
        <v>3934.0411061415248</v>
      </c>
      <c r="AC13" s="38">
        <f t="shared" si="4"/>
        <v>39217.472276848326</v>
      </c>
      <c r="AE13" s="38">
        <f t="shared" si="5"/>
        <v>49235.683866044907</v>
      </c>
      <c r="AG13" s="37">
        <f t="array" ref="AG13">SUMPRODUCT(U13:W13,TRANSPOSE(Inputs!$C$8:$C$10))</f>
        <v>3546.5540492236019</v>
      </c>
      <c r="AH13" s="37">
        <f t="array" ref="AH13">SUMPRODUCT(Z13:AB13,TRANSPOSE(Inputs!$C$8:$C$10))</f>
        <v>14887.886811054334</v>
      </c>
      <c r="AI13" s="37">
        <f t="shared" si="6"/>
        <v>18434.440860277937</v>
      </c>
      <c r="AK13" s="39">
        <f>Inputs!$C$29</f>
        <v>200</v>
      </c>
      <c r="AM13" s="39">
        <f>Inputs!$C$30</f>
        <v>50</v>
      </c>
      <c r="AO13" s="40">
        <f t="shared" si="7"/>
        <v>9575.0682930741477</v>
      </c>
      <c r="AP13" s="40">
        <f t="shared" si="15"/>
        <v>98.471367732089817</v>
      </c>
      <c r="AQ13" s="40">
        <f>AI13*Inputs!$C$31*AM13/100000</f>
        <v>829.54983871250715</v>
      </c>
      <c r="AR13" s="40">
        <f t="shared" si="8"/>
        <v>10503.089499518745</v>
      </c>
      <c r="AT13" s="53">
        <f>'Other Inputs'!D37</f>
        <v>0.5</v>
      </c>
      <c r="AU13" s="40">
        <f t="shared" si="9"/>
        <v>24617.841933022453</v>
      </c>
      <c r="AV13" s="40">
        <f t="shared" si="10"/>
        <v>49.235683866044909</v>
      </c>
      <c r="AW13" s="40">
        <f t="shared" si="11"/>
        <v>414.77491935625358</v>
      </c>
      <c r="AX13" s="40">
        <f t="shared" si="16"/>
        <v>80</v>
      </c>
      <c r="AZ13" s="40">
        <f t="shared" si="12"/>
        <v>49.235683866044909</v>
      </c>
      <c r="BA13" s="40">
        <f t="shared" si="13"/>
        <v>414.77491935625358</v>
      </c>
      <c r="BB13" s="40">
        <f t="shared" si="14"/>
        <v>10119.078896296447</v>
      </c>
    </row>
    <row r="14" spans="2:54" ht="14.25" customHeight="1" x14ac:dyDescent="0.35">
      <c r="B14" s="41" t="s">
        <v>93</v>
      </c>
      <c r="C14" s="42">
        <f>SUM(C4:C13)</f>
        <v>1738387.495909181</v>
      </c>
      <c r="D14" s="42">
        <f>SUM(D4:D13)</f>
        <v>1086492.1849432378</v>
      </c>
      <c r="E14" s="42">
        <f>SUM(E4:E13)</f>
        <v>579462.49863639357</v>
      </c>
      <c r="F14" s="42">
        <f>SUM(F4:F13)</f>
        <v>3404342.1794888121</v>
      </c>
      <c r="G14" s="42"/>
      <c r="H14" s="42">
        <f>SUM(H4:H13)</f>
        <v>14776293.715228036</v>
      </c>
      <c r="I14" s="42">
        <f>SUM(I4:I13)</f>
        <v>6518953.1096594268</v>
      </c>
      <c r="J14" s="42">
        <f>SUM(J4:J13)</f>
        <v>5794624.9863639353</v>
      </c>
      <c r="K14" s="42">
        <f>SUM(K4:K13)</f>
        <v>27089871.811251402</v>
      </c>
      <c r="L14" s="42"/>
      <c r="M14" s="42">
        <f>SUM(M4:M13)</f>
        <v>208606499.50910169</v>
      </c>
      <c r="N14" s="42">
        <f>SUM(N4:N13)</f>
        <v>103216757.56960759</v>
      </c>
      <c r="O14" s="42">
        <f>SUM(O4:O13)</f>
        <v>34767749.918183617</v>
      </c>
      <c r="P14" s="42">
        <f>SUM(P4:P13)</f>
        <v>346591006.99689293</v>
      </c>
      <c r="Q14" s="42"/>
      <c r="R14" s="42">
        <f>SUM(R4:R13)</f>
        <v>30661.890286183374</v>
      </c>
      <c r="S14" s="42">
        <f>SUM(S4:S13)</f>
        <v>30354.545734916319</v>
      </c>
      <c r="T14" s="42"/>
      <c r="U14" s="42">
        <f>SUM(U4:U13)</f>
        <v>39600.467156811137</v>
      </c>
      <c r="V14" s="42">
        <f>SUM(V4:V13)</f>
        <v>17470.794333887265</v>
      </c>
      <c r="W14" s="42">
        <f>SUM(W4:W13)</f>
        <v>15529.594963455347</v>
      </c>
      <c r="X14" s="42">
        <f>SUM(X4:X13)</f>
        <v>72600.856454153749</v>
      </c>
      <c r="Y14" s="42"/>
      <c r="Z14" s="42">
        <f>SUM(Z4:Z13)</f>
        <v>171057.32959746339</v>
      </c>
      <c r="AA14" s="42">
        <f>SUM(AA4:AA13)</f>
        <v>84637.74120707823</v>
      </c>
      <c r="AB14" s="42">
        <f>SUM(AB4:AB13)</f>
        <v>28509.55493291056</v>
      </c>
      <c r="AC14" s="42">
        <f>SUM(AC4:AC13)</f>
        <v>284204.62573745212</v>
      </c>
      <c r="AD14" s="42"/>
      <c r="AE14" s="42">
        <f>SUM(AE4:AE13)</f>
        <v>356805.48219160596</v>
      </c>
      <c r="AF14" s="42"/>
      <c r="AG14" s="42">
        <f>SUM(AG4:AG13)</f>
        <v>25701.4796645186</v>
      </c>
      <c r="AH14" s="42">
        <f>SUM(AH4:AH13)</f>
        <v>107890.84694923341</v>
      </c>
      <c r="AI14" s="42">
        <f>SUM(AI4:AI13)</f>
        <v>133592.326613752</v>
      </c>
      <c r="AJ14" s="42"/>
      <c r="AK14" s="42">
        <f>SUM(AK4:AK13)</f>
        <v>2000</v>
      </c>
      <c r="AL14" s="42"/>
      <c r="AM14" s="42">
        <f>SUM(AM4:AM13)</f>
        <v>500</v>
      </c>
      <c r="AN14" s="42"/>
      <c r="AO14" s="42">
        <f>SUM(AO4:AO13)</f>
        <v>61016.436021099697</v>
      </c>
      <c r="AP14" s="42">
        <f>SUM(AP4:AP13)</f>
        <v>713.61096438321181</v>
      </c>
      <c r="AQ14" s="42">
        <f>SUM(AQ4:AQ13)</f>
        <v>6011.6546976188411</v>
      </c>
      <c r="AR14" s="43">
        <f>SUM(AR4:AR13)</f>
        <v>67741.701683101739</v>
      </c>
      <c r="AT14" s="40"/>
      <c r="AU14" s="49">
        <f>SUM(AU4:AU13)</f>
        <v>151722.15571468294</v>
      </c>
      <c r="AV14" s="49">
        <f>SUM(AV4:AV13)</f>
        <v>303.44431142936594</v>
      </c>
      <c r="AW14" s="49">
        <f>SUM(AW4:AW13)</f>
        <v>2556.2981951191805</v>
      </c>
      <c r="AX14" s="49">
        <f>SUM(AX4:AX13)</f>
        <v>1760</v>
      </c>
      <c r="AZ14" s="49">
        <f>SUM(AZ4:AZ13)</f>
        <v>410.16665295384593</v>
      </c>
      <c r="BA14" s="49">
        <f>SUM(BA4:BA13)</f>
        <v>3455.3565024996601</v>
      </c>
      <c r="BB14" s="49">
        <f>SUM(BB4:BB13)</f>
        <v>66641.959176553195</v>
      </c>
    </row>
    <row r="15" spans="2:54" ht="14.25" customHeight="1" x14ac:dyDescent="0.35">
      <c r="B15" s="15"/>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row>
    <row r="16" spans="2:54" ht="14.25" customHeight="1" x14ac:dyDescent="0.35">
      <c r="B16" s="44" t="s">
        <v>115</v>
      </c>
      <c r="AO16" s="45">
        <f>NPV(Inputs!$C$32,AO4:AO13)</f>
        <v>36203.300378763794</v>
      </c>
      <c r="AP16" s="45">
        <f>NPV(Inputs!$C$32,AP4:AP13)</f>
        <v>433.72005081791053</v>
      </c>
      <c r="AQ16" s="45">
        <f>NPV(Inputs!$C$32,AQ4:AQ13)</f>
        <v>3653.7767930802188</v>
      </c>
      <c r="AR16" s="45">
        <f>NPV(Inputs!$C$32,AR4:AR13)</f>
        <v>40290.797222661917</v>
      </c>
      <c r="AZ16" s="66">
        <f>NPV(Inputs!$C$32,AZ4:AZ13)</f>
        <v>261.64015460352584</v>
      </c>
      <c r="BA16" s="66">
        <f>NPV(Inputs!$C$32,BA4:BA13)</f>
        <v>2204.1284999978757</v>
      </c>
      <c r="BB16" s="66">
        <f>NPV(Inputs!$C$32,BB4:BB13)</f>
        <v>39992.495942574133</v>
      </c>
    </row>
    <row r="17" spans="2:44" ht="14.25" customHeight="1" x14ac:dyDescent="0.35">
      <c r="B17" s="44"/>
    </row>
    <row r="18" spans="2:44" ht="14.25" customHeight="1" x14ac:dyDescent="0.35">
      <c r="B18" s="46"/>
    </row>
    <row r="19" spans="2:44" ht="14.25" customHeight="1" x14ac:dyDescent="0.35">
      <c r="B19" s="35" t="s">
        <v>142</v>
      </c>
    </row>
    <row r="20" spans="2:44" ht="14.25" customHeight="1" x14ac:dyDescent="0.35">
      <c r="C20" s="57" t="s">
        <v>143</v>
      </c>
      <c r="D20" s="57"/>
      <c r="E20" s="57"/>
      <c r="F20" s="48"/>
      <c r="H20" s="48"/>
      <c r="I20" s="48"/>
      <c r="J20" s="48"/>
      <c r="K20" s="48"/>
      <c r="O20" s="48"/>
      <c r="R20" s="48"/>
      <c r="S20" s="48"/>
      <c r="AO20" s="49"/>
      <c r="AP20" s="49"/>
      <c r="AQ20" s="49"/>
      <c r="AR20" s="49"/>
    </row>
    <row r="21" spans="2:44" ht="14.25" customHeight="1" x14ac:dyDescent="0.35">
      <c r="C21" s="111" t="s">
        <v>198</v>
      </c>
      <c r="D21" s="111"/>
      <c r="E21" s="111"/>
      <c r="F21" s="48"/>
      <c r="H21" s="48"/>
      <c r="I21" s="48"/>
      <c r="J21" s="48"/>
      <c r="K21" s="48"/>
      <c r="O21" s="48"/>
      <c r="R21" s="48"/>
      <c r="S21" s="48"/>
    </row>
    <row r="22" spans="2:44" ht="14.25" customHeight="1" x14ac:dyDescent="0.35">
      <c r="C22" s="58" t="s">
        <v>78</v>
      </c>
      <c r="D22" s="58" t="s">
        <v>144</v>
      </c>
      <c r="E22" s="58" t="s">
        <v>196</v>
      </c>
      <c r="F22" s="48"/>
      <c r="H22" s="48"/>
      <c r="I22" s="48"/>
      <c r="J22" s="48"/>
      <c r="K22" s="48"/>
      <c r="O22" s="48"/>
      <c r="R22" s="48"/>
      <c r="S22" s="48"/>
      <c r="AR22" s="41"/>
    </row>
    <row r="23" spans="2:44" ht="14.25" customHeight="1" x14ac:dyDescent="0.35">
      <c r="C23" s="59">
        <f>B4</f>
        <v>1</v>
      </c>
      <c r="D23" s="60">
        <f>'Projection - Base'!AE4</f>
        <v>24630.1</v>
      </c>
      <c r="E23" s="61">
        <f>AE4-AU4</f>
        <v>22167.089999999997</v>
      </c>
      <c r="F23" s="48"/>
      <c r="H23" s="48"/>
      <c r="I23" s="48"/>
      <c r="J23" s="48"/>
      <c r="K23" s="48"/>
      <c r="O23" s="48"/>
      <c r="R23" s="48"/>
      <c r="S23" s="48"/>
    </row>
    <row r="24" spans="2:44" ht="14.25" customHeight="1" x14ac:dyDescent="0.35">
      <c r="C24" s="59">
        <f t="shared" ref="C24:C32" si="17">B5</f>
        <v>2</v>
      </c>
      <c r="D24" s="60">
        <f>'Projection - Base'!AE5</f>
        <v>26600.508000000002</v>
      </c>
      <c r="E24" s="61">
        <f t="shared" ref="E24:E32" si="18">AE5-AU5</f>
        <v>21280.4064</v>
      </c>
      <c r="F24" s="48"/>
      <c r="H24" s="48"/>
      <c r="I24" s="48"/>
      <c r="J24" s="48"/>
      <c r="K24" s="48"/>
      <c r="O24" s="48"/>
      <c r="R24" s="48"/>
      <c r="S24" s="48"/>
    </row>
    <row r="25" spans="2:44" ht="14.25" customHeight="1" x14ac:dyDescent="0.35">
      <c r="C25" s="59">
        <f t="shared" si="17"/>
        <v>3</v>
      </c>
      <c r="D25" s="60">
        <f>'Projection - Base'!AE6</f>
        <v>28728.548640000005</v>
      </c>
      <c r="E25" s="61">
        <f t="shared" si="18"/>
        <v>20109.984048000006</v>
      </c>
      <c r="F25" s="48"/>
      <c r="H25" s="48"/>
      <c r="I25" s="48"/>
      <c r="J25" s="48"/>
      <c r="K25" s="48"/>
      <c r="O25" s="48"/>
      <c r="R25" s="48"/>
      <c r="S25" s="48"/>
    </row>
    <row r="26" spans="2:44" ht="14.25" customHeight="1" x14ac:dyDescent="0.35">
      <c r="C26" s="59">
        <f t="shared" si="17"/>
        <v>4</v>
      </c>
      <c r="D26" s="60">
        <f>'Projection - Base'!AE7</f>
        <v>31026.832531200005</v>
      </c>
      <c r="E26" s="61">
        <f t="shared" si="18"/>
        <v>18616.099518720002</v>
      </c>
      <c r="F26" s="48"/>
      <c r="H26" s="48"/>
      <c r="I26" s="48"/>
      <c r="J26" s="48"/>
      <c r="K26" s="48"/>
      <c r="O26" s="48"/>
      <c r="R26" s="48"/>
      <c r="S26" s="48"/>
    </row>
    <row r="27" spans="2:44" ht="14.25" customHeight="1" x14ac:dyDescent="0.35">
      <c r="C27" s="59">
        <f t="shared" si="17"/>
        <v>5</v>
      </c>
      <c r="D27" s="60">
        <f>'Projection - Base'!AE8</f>
        <v>33508.979133696012</v>
      </c>
      <c r="E27" s="61">
        <f t="shared" si="18"/>
        <v>16754.489566848006</v>
      </c>
      <c r="F27" s="48"/>
      <c r="H27" s="48"/>
      <c r="I27" s="48"/>
      <c r="J27" s="48"/>
      <c r="K27" s="48"/>
      <c r="O27" s="48"/>
      <c r="R27" s="48"/>
      <c r="S27" s="48"/>
    </row>
    <row r="28" spans="2:44" ht="14.25" customHeight="1" x14ac:dyDescent="0.35">
      <c r="C28" s="59">
        <f t="shared" si="17"/>
        <v>6</v>
      </c>
      <c r="D28" s="60">
        <f>'Projection - Base'!AE9</f>
        <v>36189.697464391691</v>
      </c>
      <c r="E28" s="61">
        <f t="shared" si="18"/>
        <v>18094.848732195846</v>
      </c>
      <c r="F28" s="48"/>
      <c r="H28" s="48"/>
      <c r="I28" s="48"/>
      <c r="J28" s="48"/>
      <c r="K28" s="48"/>
      <c r="O28" s="48"/>
      <c r="R28" s="48"/>
      <c r="S28" s="48"/>
    </row>
    <row r="29" spans="2:44" ht="14.25" customHeight="1" x14ac:dyDescent="0.35">
      <c r="C29" s="59">
        <f t="shared" si="17"/>
        <v>7</v>
      </c>
      <c r="D29" s="60">
        <f>'Projection - Base'!AE10</f>
        <v>39084.873261543027</v>
      </c>
      <c r="E29" s="61">
        <f t="shared" si="18"/>
        <v>19542.436630771514</v>
      </c>
      <c r="F29" s="36"/>
      <c r="H29" s="36"/>
      <c r="I29" s="36"/>
      <c r="J29" s="36"/>
      <c r="K29" s="36"/>
      <c r="O29" s="36"/>
      <c r="P29" s="36"/>
      <c r="R29" s="40"/>
      <c r="S29" s="40"/>
      <c r="AG29" s="37"/>
      <c r="AH29" s="37"/>
      <c r="AI29" s="37"/>
      <c r="AK29" s="39"/>
      <c r="AM29" s="39"/>
      <c r="AO29" s="40"/>
      <c r="AP29" s="40"/>
      <c r="AQ29" s="40"/>
      <c r="AR29" s="40"/>
    </row>
    <row r="30" spans="2:44" ht="13.5" customHeight="1" x14ac:dyDescent="0.35">
      <c r="C30" s="59">
        <f t="shared" si="17"/>
        <v>8</v>
      </c>
      <c r="D30" s="60">
        <f>'Projection - Base'!AE11</f>
        <v>42211.663122466474</v>
      </c>
      <c r="E30" s="61">
        <f t="shared" si="18"/>
        <v>21105.831561233237</v>
      </c>
    </row>
    <row r="31" spans="2:44" ht="14.25" customHeight="1" x14ac:dyDescent="0.35">
      <c r="C31" s="59">
        <f t="shared" si="17"/>
        <v>9</v>
      </c>
      <c r="D31" s="60">
        <f>'Projection - Base'!AE12</f>
        <v>45588.596172263795</v>
      </c>
      <c r="E31" s="61">
        <f t="shared" si="18"/>
        <v>22794.298086131897</v>
      </c>
      <c r="R31" s="48"/>
      <c r="S31" s="48"/>
    </row>
    <row r="32" spans="2:44" ht="14.25" customHeight="1" x14ac:dyDescent="0.35">
      <c r="C32" s="59">
        <f t="shared" si="17"/>
        <v>10</v>
      </c>
      <c r="D32" s="60">
        <f>'Projection - Base'!AE13</f>
        <v>49235.683866044907</v>
      </c>
      <c r="E32" s="61">
        <f t="shared" si="18"/>
        <v>24617.841933022453</v>
      </c>
      <c r="R32" s="48"/>
      <c r="S32" s="48"/>
    </row>
    <row r="33" spans="2:19" ht="14.25" customHeight="1" x14ac:dyDescent="0.35">
      <c r="B33" s="50"/>
      <c r="R33" s="48"/>
      <c r="S33" s="48"/>
    </row>
    <row r="34" spans="2:19" ht="14.25" customHeight="1" x14ac:dyDescent="0.35">
      <c r="B34" s="50"/>
      <c r="R34" s="48"/>
      <c r="S34" s="48"/>
    </row>
    <row r="35" spans="2:19" ht="14.25" customHeight="1" x14ac:dyDescent="0.35">
      <c r="B35" s="50"/>
      <c r="R35" s="48"/>
      <c r="S35" s="48"/>
    </row>
    <row r="36" spans="2:19" ht="14.25" customHeight="1" x14ac:dyDescent="0.35">
      <c r="B36" s="50"/>
      <c r="R36" s="48"/>
      <c r="S36" s="48"/>
    </row>
    <row r="37" spans="2:19" ht="14.25" customHeight="1" x14ac:dyDescent="0.35">
      <c r="B37" s="50"/>
      <c r="R37" s="48"/>
      <c r="S37" s="48"/>
    </row>
    <row r="38" spans="2:19" ht="14.25" customHeight="1" x14ac:dyDescent="0.35">
      <c r="B38" s="50"/>
      <c r="R38" s="48"/>
      <c r="S38" s="48"/>
    </row>
    <row r="39" spans="2:19" ht="14.25" customHeight="1" x14ac:dyDescent="0.35">
      <c r="B39" s="50"/>
      <c r="R39" s="48"/>
      <c r="S39" s="48"/>
    </row>
  </sheetData>
  <mergeCells count="13">
    <mergeCell ref="AV2:AW2"/>
    <mergeCell ref="AZ2:BB2"/>
    <mergeCell ref="C21:E21"/>
    <mergeCell ref="Z2:AC2"/>
    <mergeCell ref="AE2:AE3"/>
    <mergeCell ref="AG2:AI2"/>
    <mergeCell ref="AO2:AR2"/>
    <mergeCell ref="AT2:AU2"/>
    <mergeCell ref="C2:F2"/>
    <mergeCell ref="H2:K2"/>
    <mergeCell ref="M2:P2"/>
    <mergeCell ref="R2:S2"/>
    <mergeCell ref="U2:X2"/>
  </mergeCells>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11"/>
  <sheetViews>
    <sheetView zoomScale="65" zoomScaleNormal="70" workbookViewId="0"/>
  </sheetViews>
  <sheetFormatPr defaultColWidth="8.6328125" defaultRowHeight="14.5" x14ac:dyDescent="0.35"/>
  <cols>
    <col min="2" max="2" width="25.1796875" customWidth="1"/>
    <col min="3" max="3" width="11.1796875" customWidth="1"/>
    <col min="4" max="4" width="11.26953125" customWidth="1"/>
    <col min="5" max="5" width="11.1796875" customWidth="1"/>
    <col min="6" max="6" width="16.1796875" customWidth="1"/>
    <col min="8" max="8" width="72" customWidth="1"/>
  </cols>
  <sheetData>
    <row r="1" spans="2:8" ht="15" customHeight="1" x14ac:dyDescent="0.35">
      <c r="B1" s="115" t="s">
        <v>162</v>
      </c>
      <c r="C1" s="115"/>
      <c r="D1" s="115"/>
      <c r="E1" s="115"/>
      <c r="F1" s="115"/>
      <c r="G1" s="115"/>
      <c r="H1" s="115"/>
    </row>
    <row r="2" spans="2:8" ht="39" customHeight="1" x14ac:dyDescent="0.35">
      <c r="B2" s="58" t="s">
        <v>163</v>
      </c>
      <c r="C2" s="58" t="s">
        <v>144</v>
      </c>
      <c r="D2" s="58" t="s">
        <v>164</v>
      </c>
      <c r="E2" s="58" t="s">
        <v>165</v>
      </c>
      <c r="F2" s="58" t="s">
        <v>166</v>
      </c>
      <c r="G2" s="58" t="s">
        <v>167</v>
      </c>
      <c r="H2" s="58" t="s">
        <v>168</v>
      </c>
    </row>
    <row r="3" spans="2:8" ht="36" customHeight="1" x14ac:dyDescent="0.35">
      <c r="B3" s="67" t="s">
        <v>169</v>
      </c>
      <c r="C3" s="68">
        <f>'Projection - Base'!$AO$17</f>
        <v>36203.300378763794</v>
      </c>
      <c r="D3" s="81">
        <f>'Projection - ScenarioA'!BJ16</f>
        <v>33583.466167043414</v>
      </c>
      <c r="E3" s="68">
        <f>'Projection - ScenarioB'!AO16</f>
        <v>36203.300378763794</v>
      </c>
      <c r="F3" s="68">
        <f>'Projection - ScenarioC'!AO16</f>
        <v>36203.300378763794</v>
      </c>
      <c r="G3" s="77" t="s">
        <v>170</v>
      </c>
      <c r="H3" s="76" t="s">
        <v>171</v>
      </c>
    </row>
    <row r="4" spans="2:8" ht="48" customHeight="1" x14ac:dyDescent="0.35">
      <c r="B4" s="69" t="s">
        <v>172</v>
      </c>
      <c r="C4" s="68">
        <f>'Projection - Base'!$AR$17</f>
        <v>40290.797222661917</v>
      </c>
      <c r="D4" s="81">
        <f>'Projection - ScenarioA'!BM16</f>
        <v>37360.382452895705</v>
      </c>
      <c r="E4" s="68">
        <f>'Projection - ScenarioB'!AV16</f>
        <v>41909.753524167463</v>
      </c>
      <c r="F4" s="68">
        <f>'Projection - ScenarioC'!BB16</f>
        <v>39992.495942574133</v>
      </c>
      <c r="G4" s="77" t="s">
        <v>170</v>
      </c>
      <c r="H4" s="76" t="s">
        <v>173</v>
      </c>
    </row>
    <row r="5" spans="2:8" ht="42.75" customHeight="1" x14ac:dyDescent="0.35">
      <c r="B5" s="70" t="s">
        <v>174</v>
      </c>
      <c r="C5" s="68">
        <f>'Projection - Base'!AC14+'Projection - Base'!X14</f>
        <v>356805.48219160584</v>
      </c>
      <c r="D5" s="81">
        <f>'Projection - ScenarioA'!AY14</f>
        <v>348583.12726760487</v>
      </c>
      <c r="E5" s="68">
        <f>'Projection - ScenarioB'!AE14</f>
        <v>356805.48219160596</v>
      </c>
      <c r="F5" s="68">
        <f>'Projection - ScenarioC'!AE14</f>
        <v>356805.48219160596</v>
      </c>
      <c r="G5" s="77" t="s">
        <v>170</v>
      </c>
      <c r="H5" s="76" t="s">
        <v>176</v>
      </c>
    </row>
    <row r="6" spans="2:8" ht="37.5" x14ac:dyDescent="0.35">
      <c r="B6" s="78" t="s">
        <v>177</v>
      </c>
      <c r="C6" s="79" t="s">
        <v>178</v>
      </c>
      <c r="D6" s="79" t="s">
        <v>178</v>
      </c>
      <c r="E6" s="79" t="s">
        <v>178</v>
      </c>
      <c r="F6" s="82">
        <f>'Projection - ScenarioC'!AE14-'Projection - ScenarioC'!AU14</f>
        <v>205083.32647692302</v>
      </c>
      <c r="G6" s="80" t="s">
        <v>175</v>
      </c>
      <c r="H6" s="76" t="s">
        <v>179</v>
      </c>
    </row>
    <row r="7" spans="2:8" ht="14.25" customHeight="1" x14ac:dyDescent="0.35">
      <c r="B7" s="71"/>
      <c r="C7" s="72"/>
      <c r="D7" s="72"/>
      <c r="E7" s="72"/>
      <c r="F7" s="72"/>
      <c r="H7" s="73"/>
    </row>
    <row r="8" spans="2:8" ht="14.25" customHeight="1" x14ac:dyDescent="0.35">
      <c r="B8" s="71"/>
      <c r="C8" s="72"/>
      <c r="D8" s="72"/>
      <c r="E8" s="72"/>
      <c r="F8" s="72"/>
      <c r="H8" s="73"/>
    </row>
    <row r="11" spans="2:8" ht="14.25" customHeight="1" x14ac:dyDescent="0.35">
      <c r="B11" s="57" t="s">
        <v>180</v>
      </c>
    </row>
  </sheetData>
  <mergeCells count="1">
    <mergeCell ref="B1:H1"/>
  </mergeCells>
  <pageMargins left="0.7" right="0.7" top="0.75" bottom="0.75"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3E29-0118-4CB4-BA3E-E0258FE425DC}">
  <dimension ref="B1:J134"/>
  <sheetViews>
    <sheetView zoomScale="76" zoomScaleNormal="76" workbookViewId="0"/>
  </sheetViews>
  <sheetFormatPr defaultColWidth="8.54296875" defaultRowHeight="12.5" x14ac:dyDescent="0.25"/>
  <cols>
    <col min="1" max="1" width="3" style="83" customWidth="1"/>
    <col min="2" max="2" width="3.453125" style="83" customWidth="1"/>
    <col min="3" max="3" width="122.81640625" style="83" customWidth="1"/>
    <col min="4" max="4" width="47.81640625" style="83" customWidth="1"/>
    <col min="5" max="5" width="13.54296875" style="83" customWidth="1"/>
    <col min="6" max="8" width="10.7265625" style="83" customWidth="1"/>
    <col min="9" max="9" width="8.81640625" style="83" customWidth="1"/>
    <col min="10" max="10" width="72" style="83" customWidth="1"/>
    <col min="11" max="16384" width="8.54296875" style="83"/>
  </cols>
  <sheetData>
    <row r="1" spans="3:8" ht="17.25" customHeight="1" x14ac:dyDescent="0.25">
      <c r="C1" s="106" t="s">
        <v>181</v>
      </c>
      <c r="D1" s="106"/>
      <c r="E1" s="106"/>
      <c r="F1" s="106"/>
    </row>
    <row r="2" spans="3:8" ht="15" customHeight="1" x14ac:dyDescent="0.3">
      <c r="C2" s="84" t="s">
        <v>199</v>
      </c>
    </row>
    <row r="3" spans="3:8" ht="229.5" customHeight="1" x14ac:dyDescent="0.25">
      <c r="C3" s="85" t="s">
        <v>289</v>
      </c>
      <c r="D3" s="86"/>
      <c r="E3" s="86"/>
      <c r="F3" s="86"/>
    </row>
    <row r="4" spans="3:8" ht="5.25" customHeight="1" x14ac:dyDescent="0.25">
      <c r="C4" s="86"/>
    </row>
    <row r="5" spans="3:8" ht="15" customHeight="1" x14ac:dyDescent="0.3">
      <c r="C5" s="84" t="s">
        <v>200</v>
      </c>
    </row>
    <row r="6" spans="3:8" ht="60" customHeight="1" x14ac:dyDescent="0.25">
      <c r="C6" s="86" t="s">
        <v>201</v>
      </c>
    </row>
    <row r="7" spans="3:8" ht="15" customHeight="1" x14ac:dyDescent="0.25"/>
    <row r="8" spans="3:8" ht="25.5" customHeight="1" x14ac:dyDescent="0.3">
      <c r="C8" s="87" t="s">
        <v>202</v>
      </c>
      <c r="D8" s="3" t="s">
        <v>48</v>
      </c>
      <c r="E8" s="3" t="s">
        <v>182</v>
      </c>
      <c r="F8" s="3" t="s">
        <v>183</v>
      </c>
      <c r="G8" s="3" t="s">
        <v>184</v>
      </c>
    </row>
    <row r="9" spans="3:8" ht="12" customHeight="1" x14ac:dyDescent="0.25">
      <c r="D9" s="88" t="s">
        <v>203</v>
      </c>
      <c r="E9" s="89">
        <v>120</v>
      </c>
      <c r="F9" s="89">
        <v>75</v>
      </c>
      <c r="G9" s="89">
        <v>40</v>
      </c>
    </row>
    <row r="10" spans="3:8" ht="12" customHeight="1" x14ac:dyDescent="0.25">
      <c r="D10" s="88" t="s">
        <v>185</v>
      </c>
      <c r="E10" s="1">
        <v>8.5</v>
      </c>
      <c r="F10" s="1">
        <v>6</v>
      </c>
      <c r="G10" s="1">
        <v>10</v>
      </c>
    </row>
    <row r="11" spans="3:8" ht="12" customHeight="1" x14ac:dyDescent="0.25">
      <c r="D11" s="88" t="s">
        <v>186</v>
      </c>
      <c r="E11" s="89">
        <v>120</v>
      </c>
      <c r="F11" s="89">
        <v>95</v>
      </c>
      <c r="G11" s="89">
        <v>60</v>
      </c>
    </row>
    <row r="12" spans="3:8" ht="12" customHeight="1" x14ac:dyDescent="0.25">
      <c r="D12" s="88" t="s">
        <v>187</v>
      </c>
      <c r="E12" s="90">
        <v>0.35</v>
      </c>
      <c r="F12" s="90">
        <v>0.5</v>
      </c>
      <c r="G12" s="90">
        <v>0.2</v>
      </c>
    </row>
    <row r="13" spans="3:8" ht="15" customHeight="1" x14ac:dyDescent="0.25"/>
    <row r="14" spans="3:8" ht="12.75" customHeight="1" x14ac:dyDescent="0.3">
      <c r="C14" s="87" t="s">
        <v>204</v>
      </c>
      <c r="D14" s="3" t="s">
        <v>48</v>
      </c>
      <c r="E14" s="3" t="s">
        <v>49</v>
      </c>
      <c r="F14" s="107" t="s">
        <v>205</v>
      </c>
      <c r="G14" s="107"/>
      <c r="H14" s="107"/>
    </row>
    <row r="15" spans="3:8" ht="12" customHeight="1" x14ac:dyDescent="0.25">
      <c r="D15" s="88" t="s">
        <v>206</v>
      </c>
      <c r="E15" s="91">
        <v>0.08</v>
      </c>
      <c r="F15" s="108" t="s">
        <v>207</v>
      </c>
      <c r="G15" s="108"/>
      <c r="H15" s="108"/>
    </row>
    <row r="16" spans="3:8" ht="12" customHeight="1" x14ac:dyDescent="0.25">
      <c r="D16" s="88" t="s">
        <v>208</v>
      </c>
      <c r="E16" s="1" t="s">
        <v>209</v>
      </c>
      <c r="F16" s="109" t="s">
        <v>207</v>
      </c>
      <c r="G16" s="109"/>
      <c r="H16" s="109"/>
    </row>
    <row r="17" spans="3:8" ht="24.75" customHeight="1" x14ac:dyDescent="0.25">
      <c r="D17" s="88" t="s">
        <v>210</v>
      </c>
      <c r="E17" s="2" t="s">
        <v>211</v>
      </c>
      <c r="F17" s="108" t="s">
        <v>207</v>
      </c>
      <c r="G17" s="108"/>
      <c r="H17" s="108"/>
    </row>
    <row r="18" spans="3:8" ht="12" customHeight="1" x14ac:dyDescent="0.25">
      <c r="D18" s="88" t="s">
        <v>212</v>
      </c>
      <c r="E18" s="1" t="s">
        <v>213</v>
      </c>
      <c r="F18" s="109" t="s">
        <v>214</v>
      </c>
      <c r="G18" s="109"/>
      <c r="H18" s="109"/>
    </row>
    <row r="19" spans="3:8" ht="12" customHeight="1" x14ac:dyDescent="0.25">
      <c r="D19" s="88" t="s">
        <v>215</v>
      </c>
      <c r="E19" s="2" t="s">
        <v>216</v>
      </c>
      <c r="F19" s="108" t="s">
        <v>217</v>
      </c>
      <c r="G19" s="108"/>
      <c r="H19" s="108"/>
    </row>
    <row r="20" spans="3:8" ht="12" customHeight="1" x14ac:dyDescent="0.25">
      <c r="D20" s="88" t="s">
        <v>218</v>
      </c>
      <c r="E20" s="1" t="s">
        <v>219</v>
      </c>
      <c r="F20" s="109" t="s">
        <v>220</v>
      </c>
      <c r="G20" s="109"/>
      <c r="H20" s="109"/>
    </row>
    <row r="21" spans="3:8" ht="12" customHeight="1" x14ac:dyDescent="0.25">
      <c r="D21" s="88" t="s">
        <v>221</v>
      </c>
      <c r="E21" s="2" t="s">
        <v>222</v>
      </c>
      <c r="F21" s="108" t="s">
        <v>223</v>
      </c>
      <c r="G21" s="108"/>
      <c r="H21" s="108"/>
    </row>
    <row r="22" spans="3:8" ht="12" customHeight="1" x14ac:dyDescent="0.25">
      <c r="D22" s="88" t="s">
        <v>224</v>
      </c>
      <c r="E22" s="1">
        <v>90</v>
      </c>
      <c r="F22" s="109" t="s">
        <v>225</v>
      </c>
      <c r="G22" s="109"/>
      <c r="H22" s="109"/>
    </row>
    <row r="23" spans="3:8" ht="12" customHeight="1" x14ac:dyDescent="0.25">
      <c r="D23" s="88" t="s">
        <v>226</v>
      </c>
      <c r="E23" s="2" t="s">
        <v>227</v>
      </c>
      <c r="F23" s="108" t="s">
        <v>207</v>
      </c>
      <c r="G23" s="108"/>
      <c r="H23" s="108"/>
    </row>
    <row r="26" spans="3:8" ht="12.75" customHeight="1" x14ac:dyDescent="0.3">
      <c r="C26" s="84" t="s">
        <v>228</v>
      </c>
    </row>
    <row r="28" spans="3:8" ht="24.75" customHeight="1" x14ac:dyDescent="0.25">
      <c r="C28" s="92" t="s">
        <v>229</v>
      </c>
    </row>
    <row r="30" spans="3:8" ht="12" customHeight="1" x14ac:dyDescent="0.25">
      <c r="C30" s="92" t="s">
        <v>230</v>
      </c>
    </row>
    <row r="31" spans="3:8" ht="12.75" customHeight="1" x14ac:dyDescent="0.25">
      <c r="C31" s="93" t="s">
        <v>231</v>
      </c>
    </row>
    <row r="32" spans="3:8" ht="24.75" customHeight="1" x14ac:dyDescent="0.25">
      <c r="C32" s="92" t="s">
        <v>232</v>
      </c>
    </row>
    <row r="33" spans="3:3" ht="12.75" customHeight="1" x14ac:dyDescent="0.25">
      <c r="C33" s="93" t="s">
        <v>233</v>
      </c>
    </row>
    <row r="34" spans="3:3" ht="24.75" customHeight="1" x14ac:dyDescent="0.25">
      <c r="C34" s="92" t="s">
        <v>234</v>
      </c>
    </row>
    <row r="35" spans="3:3" ht="12.75" customHeight="1" x14ac:dyDescent="0.25">
      <c r="C35" s="93" t="s">
        <v>235</v>
      </c>
    </row>
    <row r="36" spans="3:3" ht="24.75" customHeight="1" x14ac:dyDescent="0.25">
      <c r="C36" s="92" t="s">
        <v>236</v>
      </c>
    </row>
    <row r="37" spans="3:3" ht="12.75" customHeight="1" x14ac:dyDescent="0.25">
      <c r="C37" s="93" t="s">
        <v>237</v>
      </c>
    </row>
    <row r="38" spans="3:3" ht="49.5" customHeight="1" x14ac:dyDescent="0.25">
      <c r="C38" s="92" t="s">
        <v>238</v>
      </c>
    </row>
    <row r="39" spans="3:3" ht="12.75" customHeight="1" x14ac:dyDescent="0.25">
      <c r="C39" s="93" t="s">
        <v>239</v>
      </c>
    </row>
    <row r="40" spans="3:3" ht="24.75" customHeight="1" x14ac:dyDescent="0.25">
      <c r="C40" s="92" t="s">
        <v>240</v>
      </c>
    </row>
    <row r="41" spans="3:3" ht="12.75" customHeight="1" x14ac:dyDescent="0.25">
      <c r="C41" s="93" t="s">
        <v>241</v>
      </c>
    </row>
    <row r="42" spans="3:3" ht="37.5" customHeight="1" x14ac:dyDescent="0.25">
      <c r="C42" s="92" t="s">
        <v>242</v>
      </c>
    </row>
    <row r="43" spans="3:3" ht="12.75" customHeight="1" x14ac:dyDescent="0.25">
      <c r="C43" s="93" t="s">
        <v>243</v>
      </c>
    </row>
    <row r="44" spans="3:3" ht="24.75" customHeight="1" x14ac:dyDescent="0.25">
      <c r="C44" s="92" t="s">
        <v>244</v>
      </c>
    </row>
    <row r="45" spans="3:3" ht="12.75" customHeight="1" x14ac:dyDescent="0.25">
      <c r="C45" s="93" t="s">
        <v>245</v>
      </c>
    </row>
    <row r="46" spans="3:3" ht="37.5" customHeight="1" x14ac:dyDescent="0.25">
      <c r="C46" s="94" t="s">
        <v>246</v>
      </c>
    </row>
    <row r="47" spans="3:3" ht="37.5" customHeight="1" x14ac:dyDescent="0.25">
      <c r="C47" s="94" t="s">
        <v>247</v>
      </c>
    </row>
    <row r="48" spans="3:3" ht="37.5" customHeight="1" x14ac:dyDescent="0.25">
      <c r="C48" s="94" t="s">
        <v>268</v>
      </c>
    </row>
    <row r="50" spans="2:4" ht="12.75" customHeight="1" x14ac:dyDescent="0.3">
      <c r="C50" s="84" t="s">
        <v>248</v>
      </c>
    </row>
    <row r="52" spans="2:4" x14ac:dyDescent="0.25">
      <c r="B52" s="15">
        <v>1</v>
      </c>
      <c r="C52" s="92" t="s">
        <v>249</v>
      </c>
    </row>
    <row r="53" spans="2:4" x14ac:dyDescent="0.25">
      <c r="B53" s="15">
        <v>2</v>
      </c>
      <c r="C53" s="92" t="s">
        <v>250</v>
      </c>
    </row>
    <row r="54" spans="2:4" x14ac:dyDescent="0.25">
      <c r="B54" s="15">
        <v>3</v>
      </c>
      <c r="C54" s="92" t="s">
        <v>251</v>
      </c>
    </row>
    <row r="55" spans="2:4" x14ac:dyDescent="0.25">
      <c r="B55" s="15">
        <v>4</v>
      </c>
      <c r="C55" s="92" t="s">
        <v>252</v>
      </c>
    </row>
    <row r="56" spans="2:4" x14ac:dyDescent="0.25">
      <c r="B56" s="15">
        <v>5</v>
      </c>
      <c r="C56" s="92" t="s">
        <v>253</v>
      </c>
    </row>
    <row r="57" spans="2:4" x14ac:dyDescent="0.25">
      <c r="B57" s="15">
        <v>6</v>
      </c>
      <c r="C57" s="92" t="s">
        <v>254</v>
      </c>
    </row>
    <row r="58" spans="2:4" ht="25" x14ac:dyDescent="0.25">
      <c r="B58" s="15">
        <v>7</v>
      </c>
      <c r="C58" s="92" t="s">
        <v>255</v>
      </c>
      <c r="D58" s="103" t="s">
        <v>290</v>
      </c>
    </row>
    <row r="59" spans="2:4" x14ac:dyDescent="0.25">
      <c r="B59" s="15">
        <v>8</v>
      </c>
      <c r="C59" s="92" t="s">
        <v>291</v>
      </c>
    </row>
    <row r="60" spans="2:4" x14ac:dyDescent="0.25">
      <c r="B60" s="15">
        <v>9</v>
      </c>
      <c r="C60" s="92" t="s">
        <v>256</v>
      </c>
    </row>
    <row r="61" spans="2:4" x14ac:dyDescent="0.25">
      <c r="B61" s="15">
        <v>10</v>
      </c>
      <c r="C61" s="92" t="s">
        <v>257</v>
      </c>
    </row>
    <row r="62" spans="2:4" ht="14" x14ac:dyDescent="0.25">
      <c r="B62" s="15">
        <v>11</v>
      </c>
      <c r="C62" s="104" t="s">
        <v>292</v>
      </c>
    </row>
    <row r="63" spans="2:4" ht="28" x14ac:dyDescent="0.25">
      <c r="B63" s="15">
        <v>12</v>
      </c>
      <c r="C63" s="104" t="s">
        <v>293</v>
      </c>
    </row>
    <row r="64" spans="2:4" ht="14" x14ac:dyDescent="0.25">
      <c r="B64" s="15">
        <v>13</v>
      </c>
      <c r="C64" s="104" t="s">
        <v>294</v>
      </c>
    </row>
    <row r="65" spans="2:3" ht="14" x14ac:dyDescent="0.25">
      <c r="B65" s="15">
        <v>14</v>
      </c>
      <c r="C65" s="104" t="s">
        <v>295</v>
      </c>
    </row>
    <row r="66" spans="2:3" ht="14" x14ac:dyDescent="0.25">
      <c r="B66" s="15">
        <v>15</v>
      </c>
      <c r="C66" s="104" t="s">
        <v>296</v>
      </c>
    </row>
    <row r="67" spans="2:3" ht="14" x14ac:dyDescent="0.25">
      <c r="B67" s="15">
        <v>16</v>
      </c>
      <c r="C67" s="104" t="s">
        <v>297</v>
      </c>
    </row>
    <row r="68" spans="2:3" x14ac:dyDescent="0.25">
      <c r="B68" s="15"/>
      <c r="C68" s="92"/>
    </row>
    <row r="70" spans="2:3" ht="12.75" customHeight="1" x14ac:dyDescent="0.3">
      <c r="C70" s="84" t="s">
        <v>258</v>
      </c>
    </row>
    <row r="71" spans="2:3" ht="41.5" customHeight="1" x14ac:dyDescent="0.25">
      <c r="C71" s="86" t="s">
        <v>298</v>
      </c>
    </row>
    <row r="72" spans="2:3" ht="286" customHeight="1" x14ac:dyDescent="0.3">
      <c r="C72" s="84"/>
    </row>
    <row r="73" spans="2:3" ht="13" x14ac:dyDescent="0.3">
      <c r="C73" s="84"/>
    </row>
    <row r="74" spans="2:3" ht="43.5" customHeight="1" x14ac:dyDescent="0.25">
      <c r="C74" s="86" t="s">
        <v>299</v>
      </c>
    </row>
    <row r="75" spans="2:3" ht="349.5" customHeight="1" x14ac:dyDescent="0.3">
      <c r="C75" s="84"/>
    </row>
    <row r="76" spans="2:3" ht="12.75" customHeight="1" x14ac:dyDescent="0.3">
      <c r="C76" s="84"/>
    </row>
    <row r="77" spans="2:3" ht="58.5" customHeight="1" x14ac:dyDescent="0.25">
      <c r="C77" s="86" t="s">
        <v>300</v>
      </c>
    </row>
    <row r="78" spans="2:3" ht="260.5" customHeight="1" x14ac:dyDescent="0.3">
      <c r="C78" s="84"/>
    </row>
    <row r="79" spans="2:3" ht="12.75" customHeight="1" x14ac:dyDescent="0.3">
      <c r="C79" s="84" t="s">
        <v>301</v>
      </c>
    </row>
    <row r="80" spans="2:3" ht="12.75" customHeight="1" x14ac:dyDescent="0.3">
      <c r="C80" s="84"/>
    </row>
    <row r="81" spans="3:10" ht="12" customHeight="1" x14ac:dyDescent="0.25">
      <c r="D81" s="83" t="s">
        <v>259</v>
      </c>
    </row>
    <row r="84" spans="3:10" ht="51.75" customHeight="1" x14ac:dyDescent="0.25">
      <c r="D84" s="95" t="str">
        <f>'Scenario Summary'!B2</f>
        <v>Metric</v>
      </c>
      <c r="E84" s="96" t="str">
        <f>'Scenario Summary'!C2</f>
        <v>Base</v>
      </c>
      <c r="F84" s="96" t="str">
        <f>'Scenario Summary'!D2</f>
        <v>Scenario A
(Green Energy)</v>
      </c>
      <c r="G84" s="96" t="str">
        <f>'Scenario Summary'!E2</f>
        <v>Scenario B
(Carbon Credits)</v>
      </c>
      <c r="H84" s="96" t="str">
        <f>'Scenario Summary'!F2</f>
        <v>Scenario C
(Nature-Based Offsetting)</v>
      </c>
      <c r="I84" s="95" t="str">
        <f>'Scenario Summary'!G2</f>
        <v>Best Case</v>
      </c>
      <c r="J84" s="95" t="str">
        <f>'Scenario Summary'!H2</f>
        <v>Comments</v>
      </c>
    </row>
    <row r="85" spans="3:10" ht="42.5" customHeight="1" x14ac:dyDescent="0.25">
      <c r="D85" s="97" t="str">
        <f>'Scenario Summary'!B3</f>
        <v>NPV of Energy cost</v>
      </c>
      <c r="E85" s="98">
        <f>'Scenario Summary'!C3</f>
        <v>36203.300378763794</v>
      </c>
      <c r="F85" s="98">
        <f>'Scenario Summary'!D3</f>
        <v>33583.466167043414</v>
      </c>
      <c r="G85" s="98">
        <f>'Scenario Summary'!E3</f>
        <v>36203.300378763794</v>
      </c>
      <c r="H85" s="98">
        <f>'Scenario Summary'!F3</f>
        <v>36203.300378763794</v>
      </c>
      <c r="I85" s="99" t="str">
        <f>'Scenario Summary'!G3</f>
        <v>A</v>
      </c>
      <c r="J85" s="100" t="str">
        <f>'Scenario Summary'!H3</f>
        <v>Sc A reduces energy cost: CNG cheaper than diesel (INR 65 vs INR 92/L) + solar at INR 40/L-eq flat. Sc B and Sc C: same fuel mix as base, energy cost identical.</v>
      </c>
    </row>
    <row r="86" spans="3:10" ht="42.5" customHeight="1" x14ac:dyDescent="0.25">
      <c r="D86" s="97" t="str">
        <f>'Scenario Summary'!B4</f>
        <v>NPV of Total cost</v>
      </c>
      <c r="E86" s="98">
        <f>'Scenario Summary'!C4</f>
        <v>40290.797222661917</v>
      </c>
      <c r="F86" s="98">
        <f>'Scenario Summary'!D4</f>
        <v>37360.382452895705</v>
      </c>
      <c r="G86" s="98">
        <f>'Scenario Summary'!E4</f>
        <v>41909.753524167463</v>
      </c>
      <c r="H86" s="98">
        <f>'Scenario Summary'!F4</f>
        <v>39992.495942574133</v>
      </c>
      <c r="I86" s="99" t="str">
        <f>'Scenario Summary'!G4</f>
        <v>A</v>
      </c>
      <c r="J86" s="100" t="str">
        <f>'Scenario Summary'!H4</f>
        <v>Ranking: Sc A cheapest — only strategy that cuts NPV below base. Sc C saves modestly (offset savings partly offset by capex INR 1,200 lacs + maintenance). Sc B most expensive — credits at INR 800–1,100/t cost 4–5.5× the INR 200 tax rate.</v>
      </c>
    </row>
    <row r="87" spans="3:10" ht="42.5" customHeight="1" x14ac:dyDescent="0.25">
      <c r="D87" s="97" t="str">
        <f>'Scenario Summary'!B5</f>
        <v>Total CO2 Released
(tCO2e, 10-yr gross)</v>
      </c>
      <c r="E87" s="98">
        <f>'Scenario Summary'!C5</f>
        <v>356805.48219160584</v>
      </c>
      <c r="F87" s="98">
        <f>'Scenario Summary'!D5</f>
        <v>348583.12726760487</v>
      </c>
      <c r="G87" s="98">
        <f>'Scenario Summary'!E5</f>
        <v>356805.48219160596</v>
      </c>
      <c r="H87" s="98">
        <f>'Scenario Summary'!F5</f>
        <v>356805.48219160596</v>
      </c>
      <c r="I87" s="99" t="str">
        <f>'Scenario Summary'!G5</f>
        <v>A</v>
      </c>
      <c r="J87" s="100" t="str">
        <f>'Scenario Summary'!H5</f>
        <v>Gross CO2 physically released from facilities. Sc A genuinely reduces emissions via cleaner fuel mix (CNG lower volume, solar zero-emission). Sc B and Sc C: gross emissions identical to base — no change in fuel or energy.</v>
      </c>
    </row>
    <row r="88" spans="3:10" ht="42.5" customHeight="1" x14ac:dyDescent="0.25">
      <c r="D88" s="97" t="str">
        <f>'Scenario Summary'!B6</f>
        <v>Net CO2 after Sequestration
(tCO2e — Sc C only)</v>
      </c>
      <c r="E88" s="98" t="str">
        <f>'Scenario Summary'!C6</f>
        <v>—</v>
      </c>
      <c r="F88" s="98" t="str">
        <f>'Scenario Summary'!D6</f>
        <v>—</v>
      </c>
      <c r="G88" s="98" t="str">
        <f>'Scenario Summary'!E6</f>
        <v>—</v>
      </c>
      <c r="H88" s="98">
        <f>'Scenario Summary'!F6</f>
        <v>205083.32647692302</v>
      </c>
      <c r="I88" s="99" t="str">
        <f>'Scenario Summary'!G6</f>
        <v>C</v>
      </c>
      <c r="J88" s="100" t="str">
        <f>'Scenario Summary'!H6</f>
        <v>Gross emissions unchanged (same fuel mix as base). Sequestration offsets ~151,700 tCO2 over 10 years (10%→50% ramp). Net = gross − cumulative offset. This is an ESG reporting metric; financial impact shown in NPV Total cost row.</v>
      </c>
    </row>
    <row r="89" spans="3:10" ht="42.5" customHeight="1" x14ac:dyDescent="0.25"/>
    <row r="90" spans="3:10" ht="84" customHeight="1" x14ac:dyDescent="0.25">
      <c r="D90" s="105" t="s">
        <v>197</v>
      </c>
      <c r="E90" s="105"/>
      <c r="F90" s="105"/>
      <c r="G90" s="105"/>
      <c r="H90" s="105"/>
      <c r="I90" s="105"/>
      <c r="J90" s="105"/>
    </row>
    <row r="93" spans="3:10" ht="12.75" customHeight="1" x14ac:dyDescent="0.3">
      <c r="C93" s="84" t="s">
        <v>260</v>
      </c>
    </row>
    <row r="95" spans="3:10" ht="12.75" customHeight="1" x14ac:dyDescent="0.25">
      <c r="C95" s="101" t="s">
        <v>261</v>
      </c>
    </row>
    <row r="96" spans="3:10" ht="49.5" customHeight="1" x14ac:dyDescent="0.25">
      <c r="C96" s="102" t="s">
        <v>262</v>
      </c>
    </row>
    <row r="97" spans="3:3" ht="12.75" customHeight="1" x14ac:dyDescent="0.25">
      <c r="C97" s="101" t="s">
        <v>263</v>
      </c>
    </row>
    <row r="98" spans="3:3" ht="62.25" customHeight="1" x14ac:dyDescent="0.25">
      <c r="C98" s="102" t="s">
        <v>264</v>
      </c>
    </row>
    <row r="99" spans="3:3" ht="12.75" customHeight="1" x14ac:dyDescent="0.25">
      <c r="C99" s="101" t="s">
        <v>265</v>
      </c>
    </row>
    <row r="100" spans="3:3" ht="62.25" customHeight="1" x14ac:dyDescent="0.25">
      <c r="C100" s="102" t="s">
        <v>266</v>
      </c>
    </row>
    <row r="101" spans="3:3" ht="12.75" customHeight="1" x14ac:dyDescent="0.25">
      <c r="C101" s="101" t="s">
        <v>269</v>
      </c>
    </row>
    <row r="102" spans="3:3" ht="87" customHeight="1" x14ac:dyDescent="0.25">
      <c r="C102" s="102" t="s">
        <v>188</v>
      </c>
    </row>
    <row r="105" spans="3:3" ht="12.75" customHeight="1" x14ac:dyDescent="0.3">
      <c r="C105" s="84" t="s">
        <v>189</v>
      </c>
    </row>
    <row r="106" spans="3:3" ht="12" customHeight="1" x14ac:dyDescent="0.25">
      <c r="C106" s="17" t="s">
        <v>267</v>
      </c>
    </row>
    <row r="107" spans="3:3" ht="37.5" customHeight="1" x14ac:dyDescent="0.25">
      <c r="C107" s="94" t="s">
        <v>190</v>
      </c>
    </row>
    <row r="108" spans="3:3" ht="37.5" customHeight="1" x14ac:dyDescent="0.25">
      <c r="C108" s="94" t="s">
        <v>191</v>
      </c>
    </row>
    <row r="109" spans="3:3" ht="37.5" customHeight="1" x14ac:dyDescent="0.25">
      <c r="C109" s="94" t="s">
        <v>192</v>
      </c>
    </row>
    <row r="110" spans="3:3" ht="24.75" customHeight="1" x14ac:dyDescent="0.25">
      <c r="C110" s="92" t="s">
        <v>193</v>
      </c>
    </row>
    <row r="113" spans="3:3" ht="12.75" customHeight="1" x14ac:dyDescent="0.3">
      <c r="C113" s="84" t="s">
        <v>194</v>
      </c>
    </row>
    <row r="115" spans="3:3" ht="32.5" customHeight="1" x14ac:dyDescent="0.25">
      <c r="C115" s="92" t="s">
        <v>271</v>
      </c>
    </row>
    <row r="116" spans="3:3" ht="32.5" customHeight="1" x14ac:dyDescent="0.25">
      <c r="C116" s="92" t="s">
        <v>272</v>
      </c>
    </row>
    <row r="117" spans="3:3" ht="32.5" customHeight="1" x14ac:dyDescent="0.25">
      <c r="C117" s="92" t="s">
        <v>273</v>
      </c>
    </row>
    <row r="118" spans="3:3" ht="32.5" customHeight="1" x14ac:dyDescent="0.25">
      <c r="C118" s="92" t="s">
        <v>274</v>
      </c>
    </row>
    <row r="119" spans="3:3" ht="32.5" customHeight="1" x14ac:dyDescent="0.25">
      <c r="C119" s="92" t="s">
        <v>275</v>
      </c>
    </row>
    <row r="120" spans="3:3" ht="32.5" customHeight="1" x14ac:dyDescent="0.25">
      <c r="C120" s="92" t="s">
        <v>276</v>
      </c>
    </row>
    <row r="121" spans="3:3" ht="32.5" customHeight="1" x14ac:dyDescent="0.25">
      <c r="C121" s="92" t="s">
        <v>277</v>
      </c>
    </row>
    <row r="122" spans="3:3" ht="32.5" customHeight="1" x14ac:dyDescent="0.25">
      <c r="C122" s="92" t="s">
        <v>278</v>
      </c>
    </row>
    <row r="123" spans="3:3" ht="32.5" customHeight="1" x14ac:dyDescent="0.25">
      <c r="C123" s="92" t="s">
        <v>279</v>
      </c>
    </row>
    <row r="124" spans="3:3" ht="32.5" customHeight="1" x14ac:dyDescent="0.25">
      <c r="C124" s="86" t="s">
        <v>280</v>
      </c>
    </row>
    <row r="125" spans="3:3" ht="32.5" customHeight="1" x14ac:dyDescent="0.25">
      <c r="C125" s="86" t="s">
        <v>281</v>
      </c>
    </row>
    <row r="126" spans="3:3" ht="32.5" customHeight="1" x14ac:dyDescent="0.25">
      <c r="C126" s="86" t="s">
        <v>282</v>
      </c>
    </row>
    <row r="127" spans="3:3" ht="32.5" customHeight="1" x14ac:dyDescent="0.25">
      <c r="C127" s="86" t="s">
        <v>283</v>
      </c>
    </row>
    <row r="128" spans="3:3" ht="32.5" customHeight="1" x14ac:dyDescent="0.25">
      <c r="C128" s="86" t="s">
        <v>284</v>
      </c>
    </row>
    <row r="129" spans="3:3" ht="32.5" customHeight="1" x14ac:dyDescent="0.25">
      <c r="C129" s="86" t="s">
        <v>285</v>
      </c>
    </row>
    <row r="130" spans="3:3" ht="32.5" customHeight="1" x14ac:dyDescent="0.25">
      <c r="C130" s="86" t="s">
        <v>286</v>
      </c>
    </row>
    <row r="131" spans="3:3" ht="32.5" customHeight="1" x14ac:dyDescent="0.25">
      <c r="C131" s="86" t="s">
        <v>287</v>
      </c>
    </row>
    <row r="132" spans="3:3" ht="32.5" customHeight="1" x14ac:dyDescent="0.25">
      <c r="C132" s="86" t="s">
        <v>288</v>
      </c>
    </row>
    <row r="133" spans="3:3" ht="32.5" customHeight="1" x14ac:dyDescent="0.25">
      <c r="C133" s="86" t="s">
        <v>270</v>
      </c>
    </row>
    <row r="134" spans="3:3" ht="32.5" customHeight="1" x14ac:dyDescent="0.25">
      <c r="C134" s="86" t="s">
        <v>195</v>
      </c>
    </row>
  </sheetData>
  <mergeCells count="12">
    <mergeCell ref="D90:J90"/>
    <mergeCell ref="C1:F1"/>
    <mergeCell ref="F14:H14"/>
    <mergeCell ref="F15:H15"/>
    <mergeCell ref="F16:H16"/>
    <mergeCell ref="F17:H17"/>
    <mergeCell ref="F18:H18"/>
    <mergeCell ref="F19:H19"/>
    <mergeCell ref="F20:H20"/>
    <mergeCell ref="F21:H21"/>
    <mergeCell ref="F22:H22"/>
    <mergeCell ref="F23:H23"/>
  </mergeCells>
  <pageMargins left="0.75" right="0.75" top="1" bottom="1"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7a12b3-3a39-4e5f-afa6-4629bb16037e">
      <Terms xmlns="http://schemas.microsoft.com/office/infopath/2007/PartnerControls"/>
    </lcf76f155ced4ddcb4097134ff3c332f>
    <_ip_UnifiedCompliancePolicyUIAction xmlns="http://schemas.microsoft.com/sharepoint/v3" xsi:nil="true"/>
    <TaxCatchAll xmlns="1f0d55de-41a8-442a-939a-8c7a93a15acc"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74D6C390916B4A8494C33A5D3CA82B" ma:contentTypeVersion="18" ma:contentTypeDescription="Create a new document." ma:contentTypeScope="" ma:versionID="061ed7418ccd0ab96bbd5383361f11e3">
  <xsd:schema xmlns:xsd="http://www.w3.org/2001/XMLSchema" xmlns:xs="http://www.w3.org/2001/XMLSchema" xmlns:p="http://schemas.microsoft.com/office/2006/metadata/properties" xmlns:ns1="http://schemas.microsoft.com/sharepoint/v3" xmlns:ns2="307a12b3-3a39-4e5f-afa6-4629bb16037e" xmlns:ns3="1f0d55de-41a8-442a-939a-8c7a93a15acc" targetNamespace="http://schemas.microsoft.com/office/2006/metadata/properties" ma:root="true" ma:fieldsID="d0fab99a09af8f4f7597e523ca27625f" ns1:_="" ns2:_="" ns3:_="">
    <xsd:import namespace="http://schemas.microsoft.com/sharepoint/v3"/>
    <xsd:import namespace="307a12b3-3a39-4e5f-afa6-4629bb16037e"/>
    <xsd:import namespace="1f0d55de-41a8-442a-939a-8c7a93a15a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7a12b3-3a39-4e5f-afa6-4629bb160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90f828-4d96-4d10-bc53-6c3febba0be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d55de-41a8-442a-939a-8c7a93a15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38ea2c-1d97-4ed9-8a85-6ab57bb76901}" ma:internalName="TaxCatchAll" ma:showField="CatchAllData" ma:web="1f0d55de-41a8-442a-939a-8c7a93a15ac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68251D-E179-4CCC-A620-7F9251EFD8B5}">
  <ds:schemaRefs>
    <ds:schemaRef ds:uri="http://schemas.microsoft.com/office/2006/metadata/properties"/>
    <ds:schemaRef ds:uri="http://schemas.microsoft.com/office/infopath/2007/PartnerControls"/>
    <ds:schemaRef ds:uri="307a12b3-3a39-4e5f-afa6-4629bb16037e"/>
    <ds:schemaRef ds:uri="http://schemas.microsoft.com/sharepoint/v3"/>
    <ds:schemaRef ds:uri="1f0d55de-41a8-442a-939a-8c7a93a15acc"/>
  </ds:schemaRefs>
</ds:datastoreItem>
</file>

<file path=customXml/itemProps2.xml><?xml version="1.0" encoding="utf-8"?>
<ds:datastoreItem xmlns:ds="http://schemas.openxmlformats.org/officeDocument/2006/customXml" ds:itemID="{9CB2F749-6D92-4FFE-A434-92DAA8EA3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7a12b3-3a39-4e5f-afa6-4629bb16037e"/>
    <ds:schemaRef ds:uri="1f0d55de-41a8-442a-939a-8c7a93a1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93359F-4942-4973-8579-7E6C91C938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Inputs</vt:lpstr>
      <vt:lpstr>Other Inputs</vt:lpstr>
      <vt:lpstr>Projection - Base</vt:lpstr>
      <vt:lpstr>Projection - ScenarioA</vt:lpstr>
      <vt:lpstr>Projection - ScenarioB</vt:lpstr>
      <vt:lpstr>Projection - ScenarioC</vt:lpstr>
      <vt:lpstr>Scenario Summary</vt:lpstr>
      <vt:lpstr>Summary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3</cp:revision>
  <dcterms:created xsi:type="dcterms:W3CDTF">2026-04-05T12:11:03Z</dcterms:created>
  <dcterms:modified xsi:type="dcterms:W3CDTF">2026-08-12T09:51:53Z</dcterms:modified>
  <cp:category/>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0x010100FE74D6C390916B4A8494C33A5D3CA82B</vt:lpwstr>
  </property>
  <property fmtid="{D5CDD505-2E9C-101B-9397-08002B2CF9AE}" pid="3" name="MediaServiceImageTags">
    <vt:lpwstr/>
  </property>
</Properties>
</file>