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yotiShinde-SeniorMa\Desktop\May 26\Solution checking\CP\"/>
    </mc:Choice>
  </mc:AlternateContent>
  <xr:revisionPtr revIDLastSave="0" documentId="13_ncr:1_{386819B2-E8D6-4F68-97B2-1C2566D3782B}" xr6:coauthVersionLast="47" xr6:coauthVersionMax="47" xr10:uidLastSave="{00000000-0000-0000-0000-000000000000}"/>
  <bookViews>
    <workbookView xWindow="-110" yWindow="-110" windowWidth="19420" windowHeight="10300" tabRatio="848" xr2:uid="{00000000-000D-0000-FFFF-FFFF00000000}"/>
  </bookViews>
  <sheets>
    <sheet name="Audit Trail" sheetId="16" r:id="rId1"/>
    <sheet name="Parameters" sheetId="1" r:id="rId2"/>
    <sheet name="Stress_Data" sheetId="3" r:id="rId3"/>
    <sheet name="Demand_Volatility" sheetId="2" r:id="rId4"/>
    <sheet name="JB_Test" sheetId="6" r:id="rId5"/>
    <sheet name="Base_Scenario" sheetId="7" r:id="rId6"/>
    <sheet name="Stress_Scenario" sheetId="17" r:id="rId7"/>
    <sheet name="Sense Checks" sheetId="15" r:id="rId8"/>
    <sheet name="Charts" sheetId="10"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5" l="1"/>
  <c r="B7" i="6"/>
  <c r="B9" i="1"/>
  <c r="X4" i="7"/>
  <c r="B6" i="15"/>
  <c r="P83" i="17"/>
  <c r="P82" i="17"/>
  <c r="P81" i="17"/>
  <c r="P80" i="17"/>
  <c r="P79" i="17"/>
  <c r="P78" i="17"/>
  <c r="P77" i="17"/>
  <c r="P76" i="17"/>
  <c r="P75" i="17"/>
  <c r="P74" i="17"/>
  <c r="P73" i="17"/>
  <c r="P72" i="17"/>
  <c r="P71" i="17"/>
  <c r="P70" i="17"/>
  <c r="P69" i="17"/>
  <c r="P68" i="17"/>
  <c r="P67" i="17"/>
  <c r="P66" i="17"/>
  <c r="P65" i="17"/>
  <c r="P64" i="17"/>
  <c r="P63" i="17"/>
  <c r="P62" i="17"/>
  <c r="P61" i="17"/>
  <c r="P60" i="17"/>
  <c r="P59" i="17"/>
  <c r="P58" i="17"/>
  <c r="P57" i="17"/>
  <c r="P56" i="17"/>
  <c r="P55" i="17"/>
  <c r="P54" i="17"/>
  <c r="P53" i="17"/>
  <c r="P52" i="17"/>
  <c r="P51" i="17"/>
  <c r="P50" i="17"/>
  <c r="P49" i="17"/>
  <c r="P48" i="17"/>
  <c r="P47" i="17"/>
  <c r="P46" i="17"/>
  <c r="P45" i="17"/>
  <c r="P44" i="17"/>
  <c r="P43" i="17"/>
  <c r="P42" i="17"/>
  <c r="P41" i="17"/>
  <c r="P40" i="17"/>
  <c r="P39" i="17"/>
  <c r="P38" i="17"/>
  <c r="P37" i="17"/>
  <c r="P36" i="17"/>
  <c r="P35" i="17"/>
  <c r="P34" i="17"/>
  <c r="P33" i="17"/>
  <c r="P32" i="17"/>
  <c r="P31" i="17"/>
  <c r="P30" i="17"/>
  <c r="P29" i="17"/>
  <c r="P28" i="17"/>
  <c r="P27" i="17"/>
  <c r="P26" i="17"/>
  <c r="P25" i="17"/>
  <c r="P24" i="17"/>
  <c r="P23" i="17"/>
  <c r="P22" i="17"/>
  <c r="P21" i="17"/>
  <c r="P20" i="17"/>
  <c r="P19" i="17"/>
  <c r="P18" i="17"/>
  <c r="P17" i="17"/>
  <c r="P16" i="17"/>
  <c r="P15" i="17"/>
  <c r="P14" i="17"/>
  <c r="P13" i="17"/>
  <c r="P12" i="17"/>
  <c r="P11" i="17"/>
  <c r="P10" i="17"/>
  <c r="P9" i="17"/>
  <c r="P8" i="17"/>
  <c r="P7" i="17"/>
  <c r="P6" i="17"/>
  <c r="P5" i="17"/>
  <c r="P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12" i="17"/>
  <c r="G11" i="17"/>
  <c r="G10" i="17"/>
  <c r="G9" i="17"/>
  <c r="G8" i="17"/>
  <c r="G7" i="17"/>
  <c r="G6" i="17"/>
  <c r="G5" i="17"/>
  <c r="G4" i="17"/>
  <c r="X4" i="17"/>
  <c r="N4" i="17"/>
  <c r="E4" i="17"/>
  <c r="B4" i="17"/>
  <c r="G2" i="17" l="1"/>
  <c r="P2" i="17"/>
  <c r="D4" i="17"/>
  <c r="M4" i="17"/>
  <c r="O4" i="17" l="1"/>
  <c r="F4" i="17"/>
  <c r="H4" i="17" l="1"/>
  <c r="Q4" i="17"/>
  <c r="AI4" i="17" l="1"/>
  <c r="AH4" i="17"/>
  <c r="R4" i="17"/>
  <c r="C173" i="10" s="1"/>
  <c r="I4" i="17"/>
  <c r="C89" i="10" s="1"/>
  <c r="E5" i="17" l="1"/>
  <c r="Y4" i="17"/>
  <c r="J4" i="17"/>
  <c r="K4" i="17" s="1"/>
  <c r="N5" i="17"/>
  <c r="Z4" i="17"/>
  <c r="S4" i="17"/>
  <c r="T4" i="17" s="1"/>
  <c r="AA4" i="17" l="1"/>
  <c r="AF4" i="17"/>
  <c r="V4" i="17"/>
  <c r="AB4" i="17" l="1"/>
  <c r="C5" i="10" s="1"/>
  <c r="B7" i="15" l="1"/>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4"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B39" i="1"/>
  <c r="B38" i="1"/>
  <c r="B37" i="1"/>
  <c r="B36" i="1"/>
  <c r="W5" i="17" s="1"/>
  <c r="N4" i="7"/>
  <c r="E4" i="7"/>
  <c r="B5" i="17"/>
  <c r="B4" i="7"/>
  <c r="C29" i="6"/>
  <c r="B30" i="6"/>
  <c r="C30" i="6" s="1"/>
  <c r="B23" i="6"/>
  <c r="B19" i="6"/>
  <c r="B18" i="6"/>
  <c r="F82" i="2" s="1"/>
  <c r="B11" i="6"/>
  <c r="F79" i="2" l="1"/>
  <c r="F71" i="2"/>
  <c r="I79" i="2"/>
  <c r="I8" i="2"/>
  <c r="I16" i="2"/>
  <c r="F12" i="2"/>
  <c r="F23" i="2"/>
  <c r="B31" i="6"/>
  <c r="B32" i="6" s="1"/>
  <c r="B33" i="6" s="1"/>
  <c r="B34" i="6" s="1"/>
  <c r="B35" i="6" s="1"/>
  <c r="C35" i="6" s="1"/>
  <c r="F33" i="2"/>
  <c r="F44" i="2"/>
  <c r="F58" i="2"/>
  <c r="B6" i="17"/>
  <c r="D5" i="17"/>
  <c r="AG5" i="17"/>
  <c r="M5" i="17"/>
  <c r="AC77" i="17"/>
  <c r="AC69" i="17"/>
  <c r="AC61" i="17"/>
  <c r="AC53" i="17"/>
  <c r="AC45" i="17"/>
  <c r="AC37" i="17"/>
  <c r="AC29" i="17"/>
  <c r="AC21" i="17"/>
  <c r="AC13" i="17"/>
  <c r="AC5" i="17"/>
  <c r="AC74" i="17"/>
  <c r="AC42" i="17"/>
  <c r="AC18" i="17"/>
  <c r="AC65" i="17"/>
  <c r="AC49" i="17"/>
  <c r="AC25" i="17"/>
  <c r="AC80" i="17"/>
  <c r="AC48" i="17"/>
  <c r="AC24" i="17"/>
  <c r="AC79" i="17"/>
  <c r="AC55" i="17"/>
  <c r="AC23" i="17"/>
  <c r="AC78" i="17"/>
  <c r="AC46" i="17"/>
  <c r="AC14" i="17"/>
  <c r="AC76" i="17"/>
  <c r="AC68" i="17"/>
  <c r="AC60" i="17"/>
  <c r="AC52" i="17"/>
  <c r="AC44" i="17"/>
  <c r="AC36" i="17"/>
  <c r="AC28" i="17"/>
  <c r="AC20" i="17"/>
  <c r="AC12" i="17"/>
  <c r="AC4" i="17"/>
  <c r="AD4" i="17" s="1"/>
  <c r="AC66" i="17"/>
  <c r="AC50" i="17"/>
  <c r="AC34" i="17"/>
  <c r="AC10" i="17"/>
  <c r="AC81" i="17"/>
  <c r="AC57" i="17"/>
  <c r="AC33" i="17"/>
  <c r="AC9" i="17"/>
  <c r="AC72" i="17"/>
  <c r="AC56" i="17"/>
  <c r="AC40" i="17"/>
  <c r="AC16" i="17"/>
  <c r="AC63" i="17"/>
  <c r="AC47" i="17"/>
  <c r="AC31" i="17"/>
  <c r="AC7" i="17"/>
  <c r="AC70" i="17"/>
  <c r="AC54" i="17"/>
  <c r="AC30" i="17"/>
  <c r="AC6" i="17"/>
  <c r="AC83" i="17"/>
  <c r="AC75" i="17"/>
  <c r="AC67" i="17"/>
  <c r="AC59" i="17"/>
  <c r="AC51" i="17"/>
  <c r="AC43" i="17"/>
  <c r="AC35" i="17"/>
  <c r="AC27" i="17"/>
  <c r="AC19" i="17"/>
  <c r="AC11" i="17"/>
  <c r="AC82" i="17"/>
  <c r="AC58" i="17"/>
  <c r="AC26" i="17"/>
  <c r="AC73" i="17"/>
  <c r="AC41" i="17"/>
  <c r="AC17" i="17"/>
  <c r="AC64" i="17"/>
  <c r="AC32" i="17"/>
  <c r="AC8" i="17"/>
  <c r="AC71" i="17"/>
  <c r="AC39" i="17"/>
  <c r="AC15" i="17"/>
  <c r="AC62" i="17"/>
  <c r="AC22" i="17"/>
  <c r="AC38" i="17"/>
  <c r="X5" i="17"/>
  <c r="W6" i="17"/>
  <c r="P2" i="7"/>
  <c r="G2" i="7"/>
  <c r="AC17" i="7"/>
  <c r="AC55" i="7"/>
  <c r="AC30" i="7"/>
  <c r="AC69" i="7"/>
  <c r="AC20" i="7"/>
  <c r="AC56" i="7"/>
  <c r="W5" i="7"/>
  <c r="X5" i="7" s="1"/>
  <c r="AC9" i="7"/>
  <c r="AC31" i="7"/>
  <c r="AC45" i="7"/>
  <c r="AC70" i="7"/>
  <c r="M4" i="7"/>
  <c r="B5" i="7"/>
  <c r="AC11" i="7"/>
  <c r="AC21" i="7"/>
  <c r="AC32" i="7"/>
  <c r="AC46" i="7"/>
  <c r="AC60" i="7"/>
  <c r="AC71" i="7"/>
  <c r="B4" i="15"/>
  <c r="B8" i="15" s="1"/>
  <c r="AC83" i="7"/>
  <c r="AC75" i="7"/>
  <c r="AC67" i="7"/>
  <c r="AC59" i="7"/>
  <c r="AC51" i="7"/>
  <c r="AC43" i="7"/>
  <c r="AC35" i="7"/>
  <c r="AC27" i="7"/>
  <c r="AC19" i="7"/>
  <c r="AC82" i="7"/>
  <c r="AC74" i="7"/>
  <c r="AC66" i="7"/>
  <c r="AC58" i="7"/>
  <c r="AC50" i="7"/>
  <c r="AC42" i="7"/>
  <c r="AC34" i="7"/>
  <c r="AC26" i="7"/>
  <c r="AC18" i="7"/>
  <c r="AC10" i="7"/>
  <c r="AC81" i="7"/>
  <c r="AC73" i="7"/>
  <c r="AC65" i="7"/>
  <c r="AC57" i="7"/>
  <c r="AC49" i="7"/>
  <c r="AC41" i="7"/>
  <c r="AC33" i="7"/>
  <c r="AC25" i="7"/>
  <c r="AC12" i="7"/>
  <c r="AC22" i="7"/>
  <c r="AC36" i="7"/>
  <c r="AC47" i="7"/>
  <c r="AC61" i="7"/>
  <c r="AC72" i="7"/>
  <c r="AC4" i="7"/>
  <c r="AC13" i="7"/>
  <c r="AC23" i="7"/>
  <c r="AC37" i="7"/>
  <c r="AC48" i="7"/>
  <c r="AC62" i="7"/>
  <c r="AC76" i="7"/>
  <c r="AC8" i="7"/>
  <c r="AC44" i="7"/>
  <c r="AC80" i="7"/>
  <c r="AC5" i="7"/>
  <c r="AC14" i="7"/>
  <c r="AC24" i="7"/>
  <c r="AC38" i="7"/>
  <c r="AC52" i="7"/>
  <c r="AC63" i="7"/>
  <c r="AC77" i="7"/>
  <c r="AC6" i="7"/>
  <c r="AC15" i="7"/>
  <c r="AC28" i="7"/>
  <c r="AC39" i="7"/>
  <c r="AC53" i="7"/>
  <c r="AC64" i="7"/>
  <c r="AC78" i="7"/>
  <c r="AC7" i="7"/>
  <c r="AC16" i="7"/>
  <c r="AC29" i="7"/>
  <c r="AC40" i="7"/>
  <c r="AC54" i="7"/>
  <c r="AC68" i="7"/>
  <c r="AC79" i="7"/>
  <c r="F5" i="2"/>
  <c r="F25" i="2"/>
  <c r="F60" i="2"/>
  <c r="F84" i="2"/>
  <c r="I10" i="2"/>
  <c r="I18" i="2"/>
  <c r="I34" i="2"/>
  <c r="I42" i="2"/>
  <c r="I50" i="2"/>
  <c r="I58" i="2"/>
  <c r="I66" i="2"/>
  <c r="I74" i="2"/>
  <c r="I82" i="2"/>
  <c r="I28" i="2"/>
  <c r="I76" i="2"/>
  <c r="F9" i="2"/>
  <c r="F30" i="2"/>
  <c r="F52" i="2"/>
  <c r="I5" i="2"/>
  <c r="I21" i="2"/>
  <c r="I37" i="2"/>
  <c r="I45" i="2"/>
  <c r="I53" i="2"/>
  <c r="I61" i="2"/>
  <c r="I69" i="2"/>
  <c r="I77" i="2"/>
  <c r="I24" i="2"/>
  <c r="I32" i="2"/>
  <c r="I40" i="2"/>
  <c r="I48" i="2"/>
  <c r="I56" i="2"/>
  <c r="I64" i="2"/>
  <c r="I72" i="2"/>
  <c r="I80" i="2"/>
  <c r="F14" i="2"/>
  <c r="F24" i="2"/>
  <c r="F34" i="2"/>
  <c r="F48" i="2"/>
  <c r="F59" i="2"/>
  <c r="F72" i="2"/>
  <c r="F83" i="2"/>
  <c r="I9" i="2"/>
  <c r="I17" i="2"/>
  <c r="I25" i="2"/>
  <c r="I33" i="2"/>
  <c r="I41" i="2"/>
  <c r="I49" i="2"/>
  <c r="I57" i="2"/>
  <c r="I65" i="2"/>
  <c r="I73" i="2"/>
  <c r="I81" i="2"/>
  <c r="B6" i="6"/>
  <c r="H41" i="2" s="1"/>
  <c r="F15" i="2"/>
  <c r="F36" i="2"/>
  <c r="F49" i="2"/>
  <c r="F73" i="2"/>
  <c r="I26" i="2"/>
  <c r="F6" i="2"/>
  <c r="F16" i="2"/>
  <c r="F27" i="2"/>
  <c r="F39" i="2"/>
  <c r="F50" i="2"/>
  <c r="F63" i="2"/>
  <c r="F74" i="2"/>
  <c r="C32" i="6"/>
  <c r="C33" i="6"/>
  <c r="F19" i="2"/>
  <c r="F41" i="2"/>
  <c r="F76" i="2"/>
  <c r="I13" i="2"/>
  <c r="F10" i="2"/>
  <c r="I11" i="2"/>
  <c r="I19" i="2"/>
  <c r="I27" i="2"/>
  <c r="I35" i="2"/>
  <c r="I43" i="2"/>
  <c r="I51" i="2"/>
  <c r="I59" i="2"/>
  <c r="I67" i="2"/>
  <c r="I75" i="2"/>
  <c r="I83" i="2"/>
  <c r="F7" i="2"/>
  <c r="F18" i="2"/>
  <c r="F28" i="2"/>
  <c r="F40" i="2"/>
  <c r="F51" i="2"/>
  <c r="F64" i="2"/>
  <c r="F75" i="2"/>
  <c r="I12" i="2"/>
  <c r="I20" i="2"/>
  <c r="I36" i="2"/>
  <c r="I44" i="2"/>
  <c r="I52" i="2"/>
  <c r="I60" i="2"/>
  <c r="I68" i="2"/>
  <c r="I84" i="2"/>
  <c r="F65" i="2"/>
  <c r="I29" i="2"/>
  <c r="F20" i="2"/>
  <c r="F31" i="2"/>
  <c r="F42" i="2"/>
  <c r="F55" i="2"/>
  <c r="F66" i="2"/>
  <c r="F80" i="2"/>
  <c r="I6" i="2"/>
  <c r="I14" i="2"/>
  <c r="I22" i="2"/>
  <c r="I30" i="2"/>
  <c r="I38" i="2"/>
  <c r="I46" i="2"/>
  <c r="I54" i="2"/>
  <c r="I62" i="2"/>
  <c r="I70" i="2"/>
  <c r="I78" i="2"/>
  <c r="F11" i="2"/>
  <c r="F22" i="2"/>
  <c r="F32" i="2"/>
  <c r="F43" i="2"/>
  <c r="F56" i="2"/>
  <c r="F68" i="2"/>
  <c r="F81" i="2"/>
  <c r="I7" i="2"/>
  <c r="I15" i="2"/>
  <c r="I23" i="2"/>
  <c r="I31" i="2"/>
  <c r="I39" i="2"/>
  <c r="I47" i="2"/>
  <c r="I55" i="2"/>
  <c r="I63" i="2"/>
  <c r="I71" i="2"/>
  <c r="D4" i="7"/>
  <c r="F8" i="2"/>
  <c r="F17" i="2"/>
  <c r="F26" i="2"/>
  <c r="F35" i="2"/>
  <c r="F47" i="2"/>
  <c r="F57" i="2"/>
  <c r="F67" i="2"/>
  <c r="F78" i="2"/>
  <c r="F13" i="2"/>
  <c r="F21" i="2"/>
  <c r="F29" i="2"/>
  <c r="F37" i="2"/>
  <c r="F45" i="2"/>
  <c r="F53" i="2"/>
  <c r="F61" i="2"/>
  <c r="F69" i="2"/>
  <c r="F77" i="2"/>
  <c r="F38" i="2"/>
  <c r="F46" i="2"/>
  <c r="F54" i="2"/>
  <c r="F62" i="2"/>
  <c r="F70" i="2"/>
  <c r="C34" i="6" l="1"/>
  <c r="C31" i="6"/>
  <c r="W7" i="17"/>
  <c r="X6" i="17"/>
  <c r="O5" i="17"/>
  <c r="F5" i="17"/>
  <c r="B7" i="17"/>
  <c r="M6" i="17"/>
  <c r="D6" i="17"/>
  <c r="AG6" i="17"/>
  <c r="O4" i="7"/>
  <c r="Q4" i="7" s="1"/>
  <c r="F4" i="7"/>
  <c r="E58" i="2"/>
  <c r="E73" i="2"/>
  <c r="E65" i="2"/>
  <c r="E83" i="2"/>
  <c r="E52" i="2"/>
  <c r="E44" i="2"/>
  <c r="E82" i="2"/>
  <c r="E59" i="2"/>
  <c r="E51" i="2"/>
  <c r="E66" i="2"/>
  <c r="D5" i="7"/>
  <c r="B6" i="7"/>
  <c r="M5" i="7"/>
  <c r="AG5" i="7"/>
  <c r="W6" i="7"/>
  <c r="X6" i="7" s="1"/>
  <c r="E36" i="2"/>
  <c r="E57" i="2"/>
  <c r="E28" i="2"/>
  <c r="E49" i="2"/>
  <c r="E20" i="2"/>
  <c r="E84" i="2"/>
  <c r="H79" i="2"/>
  <c r="H71" i="2"/>
  <c r="H63" i="2"/>
  <c r="H55" i="2"/>
  <c r="H47" i="2"/>
  <c r="H39" i="2"/>
  <c r="H31" i="2"/>
  <c r="H23" i="2"/>
  <c r="H15" i="2"/>
  <c r="H7" i="2"/>
  <c r="E71" i="2"/>
  <c r="E55" i="2"/>
  <c r="E39" i="2"/>
  <c r="E23" i="2"/>
  <c r="E7" i="2"/>
  <c r="H78" i="2"/>
  <c r="H70" i="2"/>
  <c r="H62" i="2"/>
  <c r="H54" i="2"/>
  <c r="H38" i="2"/>
  <c r="H30" i="2"/>
  <c r="H22" i="2"/>
  <c r="H14" i="2"/>
  <c r="H6" i="2"/>
  <c r="E70" i="2"/>
  <c r="E54" i="2"/>
  <c r="E38" i="2"/>
  <c r="E22" i="2"/>
  <c r="E6" i="2"/>
  <c r="E69" i="2"/>
  <c r="E21" i="2"/>
  <c r="H84" i="2"/>
  <c r="H76" i="2"/>
  <c r="H60" i="2"/>
  <c r="H52" i="2"/>
  <c r="H36" i="2"/>
  <c r="H28" i="2"/>
  <c r="H12" i="2"/>
  <c r="E64" i="2"/>
  <c r="E48" i="2"/>
  <c r="E32" i="2"/>
  <c r="H83" i="2"/>
  <c r="H75" i="2"/>
  <c r="H67" i="2"/>
  <c r="H59" i="2"/>
  <c r="H51" i="2"/>
  <c r="H35" i="2"/>
  <c r="H27" i="2"/>
  <c r="H19" i="2"/>
  <c r="H11" i="2"/>
  <c r="H46" i="2"/>
  <c r="H61" i="2"/>
  <c r="H45" i="2"/>
  <c r="H29" i="2"/>
  <c r="H13" i="2"/>
  <c r="E53" i="2"/>
  <c r="E5" i="2"/>
  <c r="E16" i="2"/>
  <c r="H43" i="2"/>
  <c r="E63" i="2"/>
  <c r="E47" i="2"/>
  <c r="E31" i="2"/>
  <c r="E15" i="2"/>
  <c r="H66" i="2"/>
  <c r="H50" i="2"/>
  <c r="H34" i="2"/>
  <c r="H18" i="2"/>
  <c r="H10" i="2"/>
  <c r="E62" i="2"/>
  <c r="E46" i="2"/>
  <c r="E14" i="2"/>
  <c r="H81" i="2"/>
  <c r="H73" i="2"/>
  <c r="H65" i="2"/>
  <c r="H57" i="2"/>
  <c r="H49" i="2"/>
  <c r="H33" i="2"/>
  <c r="H25" i="2"/>
  <c r="H17" i="2"/>
  <c r="H9" i="2"/>
  <c r="E77" i="2"/>
  <c r="E61" i="2"/>
  <c r="E45" i="2"/>
  <c r="E29" i="2"/>
  <c r="E13" i="2"/>
  <c r="H77" i="2"/>
  <c r="H69" i="2"/>
  <c r="H53" i="2"/>
  <c r="H37" i="2"/>
  <c r="H21" i="2"/>
  <c r="H5" i="2"/>
  <c r="E37" i="2"/>
  <c r="H68" i="2"/>
  <c r="H44" i="2"/>
  <c r="H20" i="2"/>
  <c r="H82" i="2"/>
  <c r="H74" i="2"/>
  <c r="H58" i="2"/>
  <c r="H42" i="2"/>
  <c r="H26" i="2"/>
  <c r="E30" i="2"/>
  <c r="H56" i="2"/>
  <c r="E72" i="2"/>
  <c r="H80" i="2"/>
  <c r="H72" i="2"/>
  <c r="H48" i="2"/>
  <c r="E56" i="2"/>
  <c r="E24" i="2"/>
  <c r="E8" i="2"/>
  <c r="H8" i="2"/>
  <c r="H40" i="2"/>
  <c r="E40" i="2"/>
  <c r="H24" i="2"/>
  <c r="H16" i="2"/>
  <c r="H32" i="2"/>
  <c r="H64" i="2"/>
  <c r="E43" i="2"/>
  <c r="E50" i="2"/>
  <c r="E81" i="2"/>
  <c r="E27" i="2"/>
  <c r="E34" i="2"/>
  <c r="E33" i="2"/>
  <c r="E79" i="2"/>
  <c r="B21" i="6"/>
  <c r="B20" i="6"/>
  <c r="E35" i="2"/>
  <c r="E42" i="2"/>
  <c r="E80" i="2"/>
  <c r="E76" i="2"/>
  <c r="E12" i="2"/>
  <c r="E19" i="2"/>
  <c r="E26" i="2"/>
  <c r="E25" i="2"/>
  <c r="E78" i="2"/>
  <c r="E68" i="2"/>
  <c r="E75" i="2"/>
  <c r="E11" i="2"/>
  <c r="E18" i="2"/>
  <c r="E17" i="2"/>
  <c r="E60" i="2"/>
  <c r="E67" i="2"/>
  <c r="E74" i="2"/>
  <c r="E10" i="2"/>
  <c r="E9" i="2"/>
  <c r="E41" i="2"/>
  <c r="H5" i="17" l="1"/>
  <c r="Q5" i="17"/>
  <c r="M7" i="17"/>
  <c r="B8" i="17"/>
  <c r="D7" i="17"/>
  <c r="AG7" i="17"/>
  <c r="W8" i="17"/>
  <c r="X7" i="17"/>
  <c r="R4" i="7"/>
  <c r="H4" i="7"/>
  <c r="B8" i="6"/>
  <c r="W7" i="7"/>
  <c r="X7" i="7" s="1"/>
  <c r="B7" i="7"/>
  <c r="D6" i="7"/>
  <c r="AG6" i="7"/>
  <c r="M6" i="7"/>
  <c r="B22" i="6"/>
  <c r="B24" i="6" s="1"/>
  <c r="B9" i="6"/>
  <c r="B10" i="6" l="1"/>
  <c r="B12" i="6" s="1"/>
  <c r="AI5" i="17"/>
  <c r="AH5" i="17"/>
  <c r="I5" i="17"/>
  <c r="R5" i="17"/>
  <c r="AG8" i="17"/>
  <c r="B9" i="17"/>
  <c r="D8" i="17"/>
  <c r="M8" i="17"/>
  <c r="W9" i="17"/>
  <c r="X8" i="17"/>
  <c r="AI4" i="7"/>
  <c r="AH4" i="7"/>
  <c r="N5" i="7"/>
  <c r="B173" i="10"/>
  <c r="Z4" i="7"/>
  <c r="S4" i="7"/>
  <c r="I4" i="7"/>
  <c r="W8" i="7"/>
  <c r="X8" i="7" s="1"/>
  <c r="D7" i="7"/>
  <c r="M7" i="7"/>
  <c r="AG7" i="7"/>
  <c r="B8" i="7"/>
  <c r="Y5" i="17" l="1"/>
  <c r="C90" i="10"/>
  <c r="E6" i="17"/>
  <c r="J5" i="17"/>
  <c r="S5" i="17"/>
  <c r="C174" i="10"/>
  <c r="Z5" i="17"/>
  <c r="N6" i="17"/>
  <c r="W10" i="17"/>
  <c r="X9" i="17"/>
  <c r="M9" i="17"/>
  <c r="AG9" i="17"/>
  <c r="B10" i="17"/>
  <c r="D9" i="17"/>
  <c r="T4" i="7"/>
  <c r="E5" i="7"/>
  <c r="F5" i="7" s="1"/>
  <c r="B89" i="10"/>
  <c r="Y4" i="7"/>
  <c r="AA4" i="7" s="1"/>
  <c r="J4" i="7"/>
  <c r="W9" i="7"/>
  <c r="X9" i="7" s="1"/>
  <c r="M8" i="7"/>
  <c r="D8" i="7"/>
  <c r="AG8" i="7"/>
  <c r="B9" i="7"/>
  <c r="AF5" i="17" l="1"/>
  <c r="AA5" i="17"/>
  <c r="T5" i="17"/>
  <c r="K5" i="17"/>
  <c r="F6" i="17"/>
  <c r="O6" i="17"/>
  <c r="W11" i="17"/>
  <c r="X10" i="17"/>
  <c r="B11" i="17"/>
  <c r="M10" i="17"/>
  <c r="D10" i="17"/>
  <c r="AG10" i="17"/>
  <c r="AF4" i="7"/>
  <c r="K4" i="7"/>
  <c r="V4" i="7" s="1"/>
  <c r="H5" i="7"/>
  <c r="O5" i="7"/>
  <c r="M9" i="7"/>
  <c r="D9" i="7"/>
  <c r="B10" i="7"/>
  <c r="AG9" i="7"/>
  <c r="W10" i="7"/>
  <c r="X10" i="7" s="1"/>
  <c r="V5" i="17" l="1"/>
  <c r="AB5" i="17" s="1"/>
  <c r="H6" i="17"/>
  <c r="Q6" i="17"/>
  <c r="W12" i="17"/>
  <c r="X11" i="17"/>
  <c r="B12" i="17"/>
  <c r="D11" i="17"/>
  <c r="M11" i="17"/>
  <c r="AG11" i="17"/>
  <c r="I5" i="7"/>
  <c r="E6" i="7" s="1"/>
  <c r="Q5" i="7"/>
  <c r="AB4" i="7"/>
  <c r="W11" i="7"/>
  <c r="X11" i="7" s="1"/>
  <c r="D10" i="7"/>
  <c r="M10" i="7"/>
  <c r="AG10" i="7"/>
  <c r="B11" i="7"/>
  <c r="AI6" i="17" l="1"/>
  <c r="AH6" i="17"/>
  <c r="R6" i="17"/>
  <c r="I6" i="17"/>
  <c r="C6" i="10"/>
  <c r="AD5" i="17"/>
  <c r="W13" i="17"/>
  <c r="X12" i="17"/>
  <c r="AG12" i="17"/>
  <c r="D12" i="17"/>
  <c r="B13" i="17"/>
  <c r="M12" i="17"/>
  <c r="J5" i="7"/>
  <c r="K5" i="7" s="1"/>
  <c r="B90" i="10"/>
  <c r="Y5" i="7"/>
  <c r="AI5" i="7"/>
  <c r="AH5" i="7"/>
  <c r="R5" i="7"/>
  <c r="W12" i="7"/>
  <c r="X12" i="7" s="1"/>
  <c r="M11" i="7"/>
  <c r="D11" i="7"/>
  <c r="AG11" i="7"/>
  <c r="B12" i="7"/>
  <c r="B5" i="10"/>
  <c r="AD4" i="7"/>
  <c r="C175" i="10" l="1"/>
  <c r="N7" i="17"/>
  <c r="Z6" i="17"/>
  <c r="Y6" i="17"/>
  <c r="C91" i="10"/>
  <c r="E7" i="17"/>
  <c r="J6" i="17"/>
  <c r="S6" i="17"/>
  <c r="W14" i="17"/>
  <c r="X13" i="17"/>
  <c r="D13" i="17"/>
  <c r="M13" i="17"/>
  <c r="AG13" i="17"/>
  <c r="B14" i="17"/>
  <c r="S5" i="7"/>
  <c r="AF5" i="7" s="1"/>
  <c r="N6" i="7"/>
  <c r="B174" i="10"/>
  <c r="Z5" i="7"/>
  <c r="AA5" i="7" s="1"/>
  <c r="F6" i="7"/>
  <c r="H6" i="7" s="1"/>
  <c r="W13" i="7"/>
  <c r="X13" i="7" s="1"/>
  <c r="M12" i="7"/>
  <c r="D12" i="7"/>
  <c r="B13" i="7"/>
  <c r="AG12" i="7"/>
  <c r="AA6" i="17" l="1"/>
  <c r="AF6" i="17"/>
  <c r="F7" i="17"/>
  <c r="T6" i="17"/>
  <c r="O7" i="17"/>
  <c r="K6" i="17"/>
  <c r="B15" i="17"/>
  <c r="M14" i="17"/>
  <c r="D14" i="17"/>
  <c r="AG14" i="17"/>
  <c r="W15" i="17"/>
  <c r="X14" i="17"/>
  <c r="T5" i="7"/>
  <c r="V5" i="7" s="1"/>
  <c r="O6" i="7"/>
  <c r="I6" i="7"/>
  <c r="D13" i="7"/>
  <c r="M13" i="7"/>
  <c r="B14" i="7"/>
  <c r="AG13" i="7"/>
  <c r="W14" i="7"/>
  <c r="X14" i="7" s="1"/>
  <c r="Q7" i="17" l="1"/>
  <c r="V6" i="17"/>
  <c r="AB6" i="17" s="1"/>
  <c r="H7" i="17"/>
  <c r="W16" i="17"/>
  <c r="X15" i="17"/>
  <c r="D15" i="17"/>
  <c r="AG15" i="17"/>
  <c r="B16" i="17"/>
  <c r="M15" i="17"/>
  <c r="E7" i="7"/>
  <c r="B91" i="10"/>
  <c r="Y6" i="7"/>
  <c r="J6" i="7"/>
  <c r="Q6" i="7"/>
  <c r="M14" i="7"/>
  <c r="D14" i="7"/>
  <c r="AG14" i="7"/>
  <c r="B15" i="7"/>
  <c r="W15" i="7"/>
  <c r="X15" i="7" s="1"/>
  <c r="AB5" i="7"/>
  <c r="I7" i="17" l="1"/>
  <c r="C7" i="10"/>
  <c r="AD6" i="17"/>
  <c r="AI7" i="17"/>
  <c r="AH7" i="17"/>
  <c r="R7" i="17"/>
  <c r="S7" i="17" s="1"/>
  <c r="T7" i="17" s="1"/>
  <c r="M16" i="17"/>
  <c r="D16" i="17"/>
  <c r="AG16" i="17"/>
  <c r="B17" i="17"/>
  <c r="W17" i="17"/>
  <c r="X16" i="17"/>
  <c r="K6" i="7"/>
  <c r="AI6" i="7"/>
  <c r="AH6" i="7"/>
  <c r="R6" i="7"/>
  <c r="M15" i="7"/>
  <c r="D15" i="7"/>
  <c r="AG15" i="7"/>
  <c r="B16" i="7"/>
  <c r="W16" i="7"/>
  <c r="X16" i="7" s="1"/>
  <c r="AD5" i="7"/>
  <c r="B6" i="10"/>
  <c r="J7" i="17" l="1"/>
  <c r="C92" i="10"/>
  <c r="Y7" i="17"/>
  <c r="E8" i="17"/>
  <c r="C176" i="10"/>
  <c r="N8" i="17"/>
  <c r="Z7" i="17"/>
  <c r="AG17" i="17"/>
  <c r="M17" i="17"/>
  <c r="D17" i="17"/>
  <c r="B18" i="17"/>
  <c r="W18" i="17"/>
  <c r="X17" i="17"/>
  <c r="S6" i="7"/>
  <c r="AF6" i="7" s="1"/>
  <c r="N7" i="7"/>
  <c r="O7" i="7" s="1"/>
  <c r="B175" i="10"/>
  <c r="Z6" i="7"/>
  <c r="AA6" i="7" s="1"/>
  <c r="F7" i="7"/>
  <c r="M16" i="7"/>
  <c r="D16" i="7"/>
  <c r="B17" i="7"/>
  <c r="AG16" i="7"/>
  <c r="W17" i="7"/>
  <c r="X17" i="7" s="1"/>
  <c r="AA7" i="17" l="1"/>
  <c r="K7" i="17"/>
  <c r="AF7" i="17"/>
  <c r="F8" i="17"/>
  <c r="O8" i="17"/>
  <c r="W19" i="17"/>
  <c r="X18" i="17"/>
  <c r="B19" i="17"/>
  <c r="M18" i="17"/>
  <c r="D18" i="17"/>
  <c r="AG18" i="17"/>
  <c r="T6" i="7"/>
  <c r="V6" i="7" s="1"/>
  <c r="Q7" i="7"/>
  <c r="H7" i="7"/>
  <c r="D17" i="7"/>
  <c r="M17" i="7"/>
  <c r="B18" i="7"/>
  <c r="AG17" i="7"/>
  <c r="W18" i="7"/>
  <c r="X18" i="7" s="1"/>
  <c r="Q8" i="17" l="1"/>
  <c r="H8" i="17"/>
  <c r="V7" i="17"/>
  <c r="AB7" i="17" s="1"/>
  <c r="B20" i="17"/>
  <c r="M19" i="17"/>
  <c r="D19" i="17"/>
  <c r="AG19" i="17"/>
  <c r="W20" i="17"/>
  <c r="X19" i="17"/>
  <c r="AI7" i="7"/>
  <c r="AH7" i="7"/>
  <c r="R7" i="7"/>
  <c r="I7" i="7"/>
  <c r="D18" i="7"/>
  <c r="M18" i="7"/>
  <c r="AG18" i="7"/>
  <c r="B19" i="7"/>
  <c r="AB6" i="7"/>
  <c r="W19" i="7"/>
  <c r="X19" i="7" s="1"/>
  <c r="C8" i="10" l="1"/>
  <c r="AD7" i="17"/>
  <c r="I8" i="17"/>
  <c r="J8" i="17" s="1"/>
  <c r="AI8" i="17"/>
  <c r="AH8" i="17"/>
  <c r="R8" i="17"/>
  <c r="W21" i="17"/>
  <c r="X20" i="17"/>
  <c r="AG20" i="17"/>
  <c r="D20" i="17"/>
  <c r="M20" i="17"/>
  <c r="B21" i="17"/>
  <c r="S7" i="7"/>
  <c r="E8" i="7"/>
  <c r="B92" i="10"/>
  <c r="Y7" i="7"/>
  <c r="N8" i="7"/>
  <c r="B176" i="10"/>
  <c r="Z7" i="7"/>
  <c r="J7" i="7"/>
  <c r="W20" i="7"/>
  <c r="X20" i="7" s="1"/>
  <c r="M19" i="7"/>
  <c r="D19" i="7"/>
  <c r="B20" i="7"/>
  <c r="AG19" i="7"/>
  <c r="B7" i="10"/>
  <c r="AD6" i="7"/>
  <c r="K8" i="17" l="1"/>
  <c r="Y8" i="17"/>
  <c r="C93" i="10"/>
  <c r="E9" i="17"/>
  <c r="N9" i="17"/>
  <c r="Z8" i="17"/>
  <c r="C177" i="10"/>
  <c r="S8" i="17"/>
  <c r="AF8" i="17" s="1"/>
  <c r="AA7" i="7"/>
  <c r="W22" i="17"/>
  <c r="X21" i="17"/>
  <c r="M21" i="17"/>
  <c r="D21" i="17"/>
  <c r="B22" i="17"/>
  <c r="AG21" i="17"/>
  <c r="K7" i="7"/>
  <c r="T7" i="7"/>
  <c r="AF7" i="7"/>
  <c r="O8" i="7"/>
  <c r="F8" i="7"/>
  <c r="M20" i="7"/>
  <c r="D20" i="7"/>
  <c r="B21" i="7"/>
  <c r="AG20" i="7"/>
  <c r="W21" i="7"/>
  <c r="X21" i="7" s="1"/>
  <c r="AA8" i="17" l="1"/>
  <c r="T8" i="17"/>
  <c r="V8" i="17" s="1"/>
  <c r="O9" i="17"/>
  <c r="F9" i="17"/>
  <c r="W23" i="17"/>
  <c r="X22" i="17"/>
  <c r="M22" i="17"/>
  <c r="AG22" i="17"/>
  <c r="B23" i="17"/>
  <c r="D22" i="17"/>
  <c r="H8" i="7"/>
  <c r="I8" i="7" s="1"/>
  <c r="Q8" i="7"/>
  <c r="W22" i="7"/>
  <c r="X22" i="7" s="1"/>
  <c r="D21" i="7"/>
  <c r="M21" i="7"/>
  <c r="AG21" i="7"/>
  <c r="B22" i="7"/>
  <c r="V7" i="7"/>
  <c r="AB8" i="17" l="1"/>
  <c r="AD8" i="17" s="1"/>
  <c r="H9" i="17"/>
  <c r="Q9" i="17"/>
  <c r="W24" i="17"/>
  <c r="X23" i="17"/>
  <c r="B24" i="17"/>
  <c r="M23" i="17"/>
  <c r="D23" i="17"/>
  <c r="AG23" i="17"/>
  <c r="E9" i="7"/>
  <c r="Y8" i="7"/>
  <c r="B93" i="10"/>
  <c r="AI8" i="7"/>
  <c r="AH8" i="7"/>
  <c r="J8" i="7"/>
  <c r="K8" i="7" s="1"/>
  <c r="R8" i="7"/>
  <c r="AB7" i="7"/>
  <c r="AD7" i="7" s="1"/>
  <c r="M22" i="7"/>
  <c r="D22" i="7"/>
  <c r="AG22" i="7"/>
  <c r="B23" i="7"/>
  <c r="W23" i="7"/>
  <c r="X23" i="7" s="1"/>
  <c r="C9" i="10" l="1"/>
  <c r="R9" i="17"/>
  <c r="S9" i="17" s="1"/>
  <c r="T9" i="17" s="1"/>
  <c r="AI9" i="17"/>
  <c r="AH9" i="17"/>
  <c r="I9" i="17"/>
  <c r="J9" i="17" s="1"/>
  <c r="K9" i="17" s="1"/>
  <c r="AG24" i="17"/>
  <c r="M24" i="17"/>
  <c r="D24" i="17"/>
  <c r="B25" i="17"/>
  <c r="W25" i="17"/>
  <c r="X24" i="17"/>
  <c r="N9" i="7"/>
  <c r="B177" i="10"/>
  <c r="Z8" i="7"/>
  <c r="AA8" i="7" s="1"/>
  <c r="S8" i="7"/>
  <c r="F9" i="7"/>
  <c r="B8" i="10"/>
  <c r="M23" i="7"/>
  <c r="D23" i="7"/>
  <c r="AG23" i="7"/>
  <c r="B24" i="7"/>
  <c r="W24" i="7"/>
  <c r="X24" i="7" s="1"/>
  <c r="V9" i="17" l="1"/>
  <c r="AF9" i="17"/>
  <c r="E10" i="17"/>
  <c r="C94" i="10"/>
  <c r="Y9" i="17"/>
  <c r="Z9" i="17"/>
  <c r="C178" i="10"/>
  <c r="N10" i="17"/>
  <c r="AG25" i="17"/>
  <c r="M25" i="17"/>
  <c r="D25" i="17"/>
  <c r="B26" i="17"/>
  <c r="W26" i="17"/>
  <c r="X25" i="17"/>
  <c r="T8" i="7"/>
  <c r="V8" i="7" s="1"/>
  <c r="AF8" i="7"/>
  <c r="O9" i="7"/>
  <c r="H9" i="7"/>
  <c r="W25" i="7"/>
  <c r="X25" i="7" s="1"/>
  <c r="D24" i="7"/>
  <c r="M24" i="7"/>
  <c r="B25" i="7"/>
  <c r="AG24" i="7"/>
  <c r="AA9" i="17" l="1"/>
  <c r="AB9" i="17" s="1"/>
  <c r="F10" i="17"/>
  <c r="H10" i="17" s="1"/>
  <c r="O10" i="17"/>
  <c r="Q10" i="17" s="1"/>
  <c r="AG26" i="17"/>
  <c r="B27" i="17"/>
  <c r="D26" i="17"/>
  <c r="M26" i="17"/>
  <c r="W27" i="17"/>
  <c r="X26" i="17"/>
  <c r="Q9" i="7"/>
  <c r="I9" i="7"/>
  <c r="M25" i="7"/>
  <c r="D25" i="7"/>
  <c r="B26" i="7"/>
  <c r="AG25" i="7"/>
  <c r="W26" i="7"/>
  <c r="X26" i="7" s="1"/>
  <c r="AB8" i="7"/>
  <c r="R10" i="17" l="1"/>
  <c r="AI10" i="17"/>
  <c r="AH10" i="17"/>
  <c r="I10" i="17"/>
  <c r="C10" i="10"/>
  <c r="AD9" i="17"/>
  <c r="W28" i="17"/>
  <c r="X27" i="17"/>
  <c r="B28" i="17"/>
  <c r="M27" i="17"/>
  <c r="D27" i="17"/>
  <c r="AG27" i="17"/>
  <c r="AI9" i="7"/>
  <c r="AH9" i="7"/>
  <c r="E10" i="7"/>
  <c r="Y9" i="7"/>
  <c r="B94" i="10"/>
  <c r="J9" i="7"/>
  <c r="K9" i="7" s="1"/>
  <c r="R9" i="7"/>
  <c r="W27" i="7"/>
  <c r="X27" i="7" s="1"/>
  <c r="M26" i="7"/>
  <c r="D26" i="7"/>
  <c r="B27" i="7"/>
  <c r="AG26" i="7"/>
  <c r="B9" i="10"/>
  <c r="AD8" i="7"/>
  <c r="J10" i="17" l="1"/>
  <c r="C95" i="10"/>
  <c r="Y10" i="17"/>
  <c r="E11" i="17"/>
  <c r="S10" i="17"/>
  <c r="T10" i="17" s="1"/>
  <c r="C179" i="10"/>
  <c r="Z10" i="17"/>
  <c r="N11" i="17"/>
  <c r="O11" i="17" s="1"/>
  <c r="Q11" i="17" s="1"/>
  <c r="B29" i="17"/>
  <c r="AG28" i="17"/>
  <c r="M28" i="17"/>
  <c r="D28" i="17"/>
  <c r="W29" i="17"/>
  <c r="X28" i="17"/>
  <c r="N10" i="7"/>
  <c r="B178" i="10"/>
  <c r="Z9" i="7"/>
  <c r="AA9" i="7" s="1"/>
  <c r="S9" i="7"/>
  <c r="T9" i="7" s="1"/>
  <c r="V9" i="7" s="1"/>
  <c r="F10" i="7"/>
  <c r="H10" i="7" s="1"/>
  <c r="W28" i="7"/>
  <c r="X28" i="7" s="1"/>
  <c r="M27" i="7"/>
  <c r="D27" i="7"/>
  <c r="B28" i="7"/>
  <c r="AG27" i="7"/>
  <c r="F11" i="17" l="1"/>
  <c r="H11" i="17" s="1"/>
  <c r="I11" i="17" s="1"/>
  <c r="AA10" i="17"/>
  <c r="K10" i="17"/>
  <c r="V10" i="17" s="1"/>
  <c r="AF10" i="17"/>
  <c r="R11" i="17"/>
  <c r="AG29" i="17"/>
  <c r="B30" i="17"/>
  <c r="M29" i="17"/>
  <c r="D29" i="17"/>
  <c r="W30" i="17"/>
  <c r="X29" i="17"/>
  <c r="AF9" i="7"/>
  <c r="O10" i="7"/>
  <c r="I10" i="7"/>
  <c r="AB9" i="7"/>
  <c r="AD9" i="7" s="1"/>
  <c r="M28" i="7"/>
  <c r="D28" i="7"/>
  <c r="B29" i="7"/>
  <c r="AG28" i="7"/>
  <c r="W29" i="7"/>
  <c r="X29" i="7" s="1"/>
  <c r="AB10" i="17" l="1"/>
  <c r="C11" i="10" s="1"/>
  <c r="AH11" i="17"/>
  <c r="AI11" i="17"/>
  <c r="Y11" i="17"/>
  <c r="E12" i="17"/>
  <c r="C96" i="10"/>
  <c r="S11" i="17"/>
  <c r="T11" i="17" s="1"/>
  <c r="Z11" i="17"/>
  <c r="N12" i="17"/>
  <c r="C180" i="10"/>
  <c r="J11" i="17"/>
  <c r="K11" i="17" s="1"/>
  <c r="W31" i="17"/>
  <c r="X30" i="17"/>
  <c r="AG30" i="17"/>
  <c r="D30" i="17"/>
  <c r="B31" i="17"/>
  <c r="M30" i="17"/>
  <c r="E11" i="7"/>
  <c r="Y10" i="7"/>
  <c r="B95" i="10"/>
  <c r="J10" i="7"/>
  <c r="K10" i="7" s="1"/>
  <c r="B10" i="10"/>
  <c r="Q10" i="7"/>
  <c r="W30" i="7"/>
  <c r="X30" i="7" s="1"/>
  <c r="D29" i="7"/>
  <c r="M29" i="7"/>
  <c r="AG29" i="7"/>
  <c r="B30" i="7"/>
  <c r="AF11" i="17" l="1"/>
  <c r="AD10" i="17"/>
  <c r="O12" i="17"/>
  <c r="Q12" i="17" s="1"/>
  <c r="R12" i="17" s="1"/>
  <c r="F12" i="17"/>
  <c r="H12" i="17" s="1"/>
  <c r="I12" i="17" s="1"/>
  <c r="V11" i="17"/>
  <c r="AA11" i="17"/>
  <c r="W32" i="17"/>
  <c r="X31" i="17"/>
  <c r="AG31" i="17"/>
  <c r="D31" i="17"/>
  <c r="B32" i="17"/>
  <c r="M31" i="17"/>
  <c r="AI10" i="7"/>
  <c r="AH10" i="7"/>
  <c r="R10" i="7"/>
  <c r="S10" i="7" s="1"/>
  <c r="T10" i="7" s="1"/>
  <c r="V10" i="7" s="1"/>
  <c r="M30" i="7"/>
  <c r="D30" i="7"/>
  <c r="AG30" i="7"/>
  <c r="B31" i="7"/>
  <c r="W31" i="7"/>
  <c r="X31" i="7" s="1"/>
  <c r="J12" i="17" l="1"/>
  <c r="K12" i="17" s="1"/>
  <c r="S12" i="17"/>
  <c r="T12" i="17" s="1"/>
  <c r="Y12" i="17"/>
  <c r="C97" i="10"/>
  <c r="E13" i="17"/>
  <c r="AH12" i="17"/>
  <c r="N13" i="17"/>
  <c r="Z12" i="17"/>
  <c r="C181" i="10"/>
  <c r="AB11" i="17"/>
  <c r="AI12" i="17"/>
  <c r="W33" i="17"/>
  <c r="X32" i="17"/>
  <c r="D32" i="17"/>
  <c r="B33" i="17"/>
  <c r="AG32" i="17"/>
  <c r="M32" i="17"/>
  <c r="N11" i="7"/>
  <c r="B179" i="10"/>
  <c r="Z10" i="7"/>
  <c r="AA10" i="7" s="1"/>
  <c r="AF10" i="7"/>
  <c r="D31" i="7"/>
  <c r="M31" i="7"/>
  <c r="AG31" i="7"/>
  <c r="B32" i="7"/>
  <c r="W32" i="7"/>
  <c r="X32" i="7" s="1"/>
  <c r="AF12" i="17" l="1"/>
  <c r="V12" i="17"/>
  <c r="O13" i="17"/>
  <c r="Q13" i="17" s="1"/>
  <c r="R13" i="17" s="1"/>
  <c r="F13" i="17"/>
  <c r="H13" i="17" s="1"/>
  <c r="I13" i="17" s="1"/>
  <c r="J13" i="17" s="1"/>
  <c r="K13" i="17" s="1"/>
  <c r="AD11" i="17"/>
  <c r="C12" i="10"/>
  <c r="AA12" i="17"/>
  <c r="B34" i="17"/>
  <c r="M33" i="17"/>
  <c r="AG33" i="17"/>
  <c r="D33" i="17"/>
  <c r="W34" i="17"/>
  <c r="X33" i="17"/>
  <c r="O11" i="7"/>
  <c r="F11" i="7"/>
  <c r="AB10" i="7"/>
  <c r="AD10" i="7" s="1"/>
  <c r="D32" i="7"/>
  <c r="M32" i="7"/>
  <c r="B33" i="7"/>
  <c r="AG32" i="7"/>
  <c r="W33" i="7"/>
  <c r="X33" i="7" s="1"/>
  <c r="AB12" i="17" l="1"/>
  <c r="AD12" i="17" s="1"/>
  <c r="C18" i="15" s="1"/>
  <c r="C182" i="10"/>
  <c r="N14" i="17"/>
  <c r="Z13" i="17"/>
  <c r="AI13" i="17"/>
  <c r="S13" i="17"/>
  <c r="T13" i="17" s="1"/>
  <c r="V13" i="17" s="1"/>
  <c r="C98" i="10"/>
  <c r="E14" i="17"/>
  <c r="Y13" i="17"/>
  <c r="AH13" i="17"/>
  <c r="W35" i="17"/>
  <c r="X34" i="17"/>
  <c r="B35" i="17"/>
  <c r="M34" i="17"/>
  <c r="D34" i="17"/>
  <c r="AG34" i="17"/>
  <c r="Q11" i="7"/>
  <c r="H11" i="7"/>
  <c r="B11" i="10"/>
  <c r="W34" i="7"/>
  <c r="X34" i="7" s="1"/>
  <c r="D33" i="7"/>
  <c r="M33" i="7"/>
  <c r="B34" i="7"/>
  <c r="AG33" i="7"/>
  <c r="C13" i="10" l="1"/>
  <c r="AF13" i="17"/>
  <c r="AA13" i="17"/>
  <c r="AB13" i="17" s="1"/>
  <c r="O14" i="17"/>
  <c r="Q14" i="17" s="1"/>
  <c r="R14" i="17" s="1"/>
  <c r="S14" i="17" s="1"/>
  <c r="T14" i="17" s="1"/>
  <c r="F14" i="17"/>
  <c r="H14" i="17" s="1"/>
  <c r="I14" i="17" s="1"/>
  <c r="J14" i="17" s="1"/>
  <c r="K14" i="17" s="1"/>
  <c r="M35" i="17"/>
  <c r="D35" i="17"/>
  <c r="AG35" i="17"/>
  <c r="B36" i="17"/>
  <c r="W36" i="17"/>
  <c r="X35" i="17"/>
  <c r="AI11" i="7"/>
  <c r="AH11" i="7"/>
  <c r="R11" i="7"/>
  <c r="S11" i="7" s="1"/>
  <c r="T11" i="7" s="1"/>
  <c r="I11" i="7"/>
  <c r="M34" i="7"/>
  <c r="D34" i="7"/>
  <c r="AG34" i="7"/>
  <c r="B35" i="7"/>
  <c r="W35" i="7"/>
  <c r="X35" i="7" s="1"/>
  <c r="V14" i="17" l="1"/>
  <c r="AD13" i="17"/>
  <c r="C14" i="10"/>
  <c r="AF14" i="17"/>
  <c r="N15" i="17"/>
  <c r="Z14" i="17"/>
  <c r="C183" i="10"/>
  <c r="C99" i="10"/>
  <c r="E15" i="17"/>
  <c r="Y14" i="17"/>
  <c r="AH14" i="17"/>
  <c r="AI14" i="17"/>
  <c r="W37" i="17"/>
  <c r="X36" i="17"/>
  <c r="M36" i="17"/>
  <c r="D36" i="17"/>
  <c r="AG36" i="17"/>
  <c r="B37" i="17"/>
  <c r="N12" i="7"/>
  <c r="B180" i="10"/>
  <c r="Z11" i="7"/>
  <c r="E12" i="7"/>
  <c r="F12" i="7" s="1"/>
  <c r="H12" i="7" s="1"/>
  <c r="B96" i="10"/>
  <c r="Y11" i="7"/>
  <c r="J11" i="7"/>
  <c r="W36" i="7"/>
  <c r="X36" i="7" s="1"/>
  <c r="M35" i="7"/>
  <c r="D35" i="7"/>
  <c r="AG35" i="7"/>
  <c r="B36" i="7"/>
  <c r="AA11" i="7" l="1"/>
  <c r="O15" i="17"/>
  <c r="Q15" i="17" s="1"/>
  <c r="AA14" i="17"/>
  <c r="AB14" i="17" s="1"/>
  <c r="F15" i="17"/>
  <c r="H15" i="17" s="1"/>
  <c r="I15" i="17" s="1"/>
  <c r="J15" i="17" s="1"/>
  <c r="K15" i="17" s="1"/>
  <c r="W38" i="17"/>
  <c r="X37" i="17"/>
  <c r="B38" i="17"/>
  <c r="M37" i="17"/>
  <c r="AG37" i="17"/>
  <c r="D37" i="17"/>
  <c r="K11" i="7"/>
  <c r="V11" i="7" s="1"/>
  <c r="AF11" i="7"/>
  <c r="O12" i="7"/>
  <c r="I12" i="7"/>
  <c r="W37" i="7"/>
  <c r="X37" i="7" s="1"/>
  <c r="M36" i="7"/>
  <c r="D36" i="7"/>
  <c r="B37" i="7"/>
  <c r="AG36" i="7"/>
  <c r="Y15" i="17" l="1"/>
  <c r="E16" i="17"/>
  <c r="C100" i="10"/>
  <c r="C15" i="10"/>
  <c r="AD14" i="17"/>
  <c r="R15" i="17"/>
  <c r="AH15" i="17"/>
  <c r="AI15" i="17"/>
  <c r="AB11" i="7"/>
  <c r="B12" i="10" s="1"/>
  <c r="AG38" i="17"/>
  <c r="D38" i="17"/>
  <c r="M38" i="17"/>
  <c r="B39" i="17"/>
  <c r="W39" i="17"/>
  <c r="X38" i="17"/>
  <c r="E13" i="7"/>
  <c r="B97" i="10"/>
  <c r="Y12" i="7"/>
  <c r="J12" i="7"/>
  <c r="K12" i="7" s="1"/>
  <c r="Q12" i="7"/>
  <c r="D37" i="7"/>
  <c r="M37" i="7"/>
  <c r="AG37" i="7"/>
  <c r="B38" i="7"/>
  <c r="W38" i="7"/>
  <c r="X38" i="7" s="1"/>
  <c r="N16" i="17" l="1"/>
  <c r="Z15" i="17"/>
  <c r="AA15" i="17" s="1"/>
  <c r="C184" i="10"/>
  <c r="S15" i="17"/>
  <c r="T15" i="17" s="1"/>
  <c r="V15" i="17" s="1"/>
  <c r="F16" i="17"/>
  <c r="H16" i="17" s="1"/>
  <c r="I16" i="17" s="1"/>
  <c r="J16" i="17" s="1"/>
  <c r="K16" i="17" s="1"/>
  <c r="AF15" i="17"/>
  <c r="AD11" i="7"/>
  <c r="W40" i="17"/>
  <c r="X39" i="17"/>
  <c r="AG39" i="17"/>
  <c r="D39" i="17"/>
  <c r="B40" i="17"/>
  <c r="M39" i="17"/>
  <c r="AI12" i="7"/>
  <c r="AH12" i="7"/>
  <c r="R12" i="7"/>
  <c r="S12" i="7" s="1"/>
  <c r="T12" i="7" s="1"/>
  <c r="V12" i="7" s="1"/>
  <c r="F13" i="7"/>
  <c r="W39" i="7"/>
  <c r="X39" i="7" s="1"/>
  <c r="D38" i="7"/>
  <c r="M38" i="7"/>
  <c r="AG38" i="7"/>
  <c r="B39" i="7"/>
  <c r="AB15" i="17" l="1"/>
  <c r="AD15" i="17" s="1"/>
  <c r="O16" i="17"/>
  <c r="Q16" i="17" s="1"/>
  <c r="R16" i="17" s="1"/>
  <c r="S16" i="17" s="1"/>
  <c r="C101" i="10"/>
  <c r="Y16" i="17"/>
  <c r="E17" i="17"/>
  <c r="M40" i="17"/>
  <c r="D40" i="17"/>
  <c r="AG40" i="17"/>
  <c r="B41" i="17"/>
  <c r="W41" i="17"/>
  <c r="X40" i="17"/>
  <c r="N13" i="7"/>
  <c r="Z12" i="7"/>
  <c r="B181" i="10"/>
  <c r="AF12" i="7"/>
  <c r="H13" i="7"/>
  <c r="M39" i="7"/>
  <c r="D39" i="7"/>
  <c r="AG39" i="7"/>
  <c r="B40" i="7"/>
  <c r="W40" i="7"/>
  <c r="X40" i="7" s="1"/>
  <c r="C16" i="10" l="1"/>
  <c r="T16" i="17"/>
  <c r="V16" i="17" s="1"/>
  <c r="AF16" i="17"/>
  <c r="AA12" i="7"/>
  <c r="AB12" i="7" s="1"/>
  <c r="AD12" i="7" s="1"/>
  <c r="B18" i="15" s="1"/>
  <c r="F17" i="17"/>
  <c r="H17" i="17" s="1"/>
  <c r="I17" i="17" s="1"/>
  <c r="N17" i="17"/>
  <c r="Z16" i="17"/>
  <c r="AA16" i="17" s="1"/>
  <c r="C185" i="10"/>
  <c r="AI16" i="17"/>
  <c r="AH16" i="17"/>
  <c r="W42" i="17"/>
  <c r="X41" i="17"/>
  <c r="B42" i="17"/>
  <c r="AG41" i="17"/>
  <c r="M41" i="17"/>
  <c r="D41" i="17"/>
  <c r="O13" i="7"/>
  <c r="I13" i="7"/>
  <c r="W41" i="7"/>
  <c r="X41" i="7" s="1"/>
  <c r="M40" i="7"/>
  <c r="D40" i="7"/>
  <c r="B41" i="7"/>
  <c r="AG40" i="7"/>
  <c r="AB16" i="17" l="1"/>
  <c r="C17" i="10" s="1"/>
  <c r="O17" i="17"/>
  <c r="Q17" i="17" s="1"/>
  <c r="AI17" i="17" s="1"/>
  <c r="E18" i="17"/>
  <c r="C102" i="10"/>
  <c r="Y17" i="17"/>
  <c r="J17" i="17"/>
  <c r="K17" i="17" s="1"/>
  <c r="B13" i="10"/>
  <c r="AG42" i="17"/>
  <c r="B43" i="17"/>
  <c r="D42" i="17"/>
  <c r="M42" i="17"/>
  <c r="W43" i="17"/>
  <c r="X42" i="17"/>
  <c r="E14" i="7"/>
  <c r="B98" i="10"/>
  <c r="Y13" i="7"/>
  <c r="J13" i="7"/>
  <c r="Q13" i="7"/>
  <c r="W42" i="7"/>
  <c r="X42" i="7" s="1"/>
  <c r="M41" i="7"/>
  <c r="D41" i="7"/>
  <c r="B42" i="7"/>
  <c r="AG41" i="7"/>
  <c r="AH17" i="17" l="1"/>
  <c r="R17" i="17"/>
  <c r="S17" i="17" s="1"/>
  <c r="T17" i="17" s="1"/>
  <c r="V17" i="17" s="1"/>
  <c r="AD16" i="17"/>
  <c r="F18" i="17"/>
  <c r="H18" i="17" s="1"/>
  <c r="I18" i="17" s="1"/>
  <c r="AG43" i="17"/>
  <c r="M43" i="17"/>
  <c r="D43" i="17"/>
  <c r="B44" i="17"/>
  <c r="W44" i="17"/>
  <c r="X43" i="17"/>
  <c r="K13" i="7"/>
  <c r="AI13" i="7"/>
  <c r="AH13" i="7"/>
  <c r="R13" i="7"/>
  <c r="D42" i="7"/>
  <c r="M42" i="7"/>
  <c r="B43" i="7"/>
  <c r="AG42" i="7"/>
  <c r="W43" i="7"/>
  <c r="X43" i="7" s="1"/>
  <c r="C186" i="10" l="1"/>
  <c r="Z17" i="17"/>
  <c r="AA17" i="17" s="1"/>
  <c r="AB17" i="17" s="1"/>
  <c r="N18" i="17"/>
  <c r="O18" i="17" s="1"/>
  <c r="Q18" i="17" s="1"/>
  <c r="AI18" i="17" s="1"/>
  <c r="AF17" i="17"/>
  <c r="J18" i="17"/>
  <c r="K18" i="17" s="1"/>
  <c r="Y18" i="17"/>
  <c r="C103" i="10"/>
  <c r="E19" i="17"/>
  <c r="F19" i="17" s="1"/>
  <c r="H19" i="17" s="1"/>
  <c r="W45" i="17"/>
  <c r="X44" i="17"/>
  <c r="AG44" i="17"/>
  <c r="B45" i="17"/>
  <c r="M44" i="17"/>
  <c r="D44" i="17"/>
  <c r="N14" i="7"/>
  <c r="Z13" i="7"/>
  <c r="AA13" i="7" s="1"/>
  <c r="B182" i="10"/>
  <c r="S13" i="7"/>
  <c r="T13" i="7" s="1"/>
  <c r="V13" i="7" s="1"/>
  <c r="F14" i="7"/>
  <c r="W44" i="7"/>
  <c r="X44" i="7" s="1"/>
  <c r="M43" i="7"/>
  <c r="D43" i="7"/>
  <c r="AG43" i="7"/>
  <c r="B44" i="7"/>
  <c r="AH18" i="17" l="1"/>
  <c r="R18" i="17"/>
  <c r="S18" i="17" s="1"/>
  <c r="T18" i="17" s="1"/>
  <c r="V18" i="17" s="1"/>
  <c r="I19" i="17"/>
  <c r="J19" i="17" s="1"/>
  <c r="K19" i="17" s="1"/>
  <c r="C18" i="10"/>
  <c r="AD17" i="17"/>
  <c r="AF13" i="7"/>
  <c r="W46" i="17"/>
  <c r="X45" i="17"/>
  <c r="B46" i="17"/>
  <c r="D45" i="17"/>
  <c r="M45" i="17"/>
  <c r="AG45" i="17"/>
  <c r="AB13" i="7"/>
  <c r="AD13" i="7" s="1"/>
  <c r="O14" i="7"/>
  <c r="H14" i="7"/>
  <c r="M44" i="7"/>
  <c r="D44" i="7"/>
  <c r="AG44" i="7"/>
  <c r="B45" i="7"/>
  <c r="W45" i="7"/>
  <c r="X45" i="7" s="1"/>
  <c r="N19" i="17" l="1"/>
  <c r="O19" i="17" s="1"/>
  <c r="Q19" i="17" s="1"/>
  <c r="R19" i="17" s="1"/>
  <c r="S19" i="17" s="1"/>
  <c r="T19" i="17" s="1"/>
  <c r="V19" i="17" s="1"/>
  <c r="Z18" i="17"/>
  <c r="AA18" i="17" s="1"/>
  <c r="AB18" i="17" s="1"/>
  <c r="AF18" i="17"/>
  <c r="C187" i="10"/>
  <c r="Y19" i="17"/>
  <c r="E20" i="17"/>
  <c r="F20" i="17" s="1"/>
  <c r="H20" i="17" s="1"/>
  <c r="C104" i="10"/>
  <c r="W47" i="17"/>
  <c r="X46" i="17"/>
  <c r="M46" i="17"/>
  <c r="D46" i="17"/>
  <c r="B47" i="17"/>
  <c r="AG46" i="17"/>
  <c r="B14" i="10"/>
  <c r="I14" i="7"/>
  <c r="Q14" i="7"/>
  <c r="D45" i="7"/>
  <c r="M45" i="7"/>
  <c r="AG45" i="7"/>
  <c r="B46" i="7"/>
  <c r="W46" i="7"/>
  <c r="X46" i="7" s="1"/>
  <c r="C19" i="10" l="1"/>
  <c r="AD18" i="17"/>
  <c r="C188" i="10"/>
  <c r="N20" i="17"/>
  <c r="Z19" i="17"/>
  <c r="AA19" i="17" s="1"/>
  <c r="AB19" i="17" s="1"/>
  <c r="AH19" i="17"/>
  <c r="AI19" i="17"/>
  <c r="AF19" i="17"/>
  <c r="I20" i="17"/>
  <c r="D47" i="17"/>
  <c r="M47" i="17"/>
  <c r="B48" i="17"/>
  <c r="AG47" i="17"/>
  <c r="W48" i="17"/>
  <c r="X47" i="17"/>
  <c r="E15" i="7"/>
  <c r="F15" i="7" s="1"/>
  <c r="B99" i="10"/>
  <c r="Y14" i="7"/>
  <c r="AI14" i="7"/>
  <c r="AH14" i="7"/>
  <c r="J14" i="7"/>
  <c r="K14" i="7" s="1"/>
  <c r="R14" i="7"/>
  <c r="S14" i="7" s="1"/>
  <c r="T14" i="7" s="1"/>
  <c r="W47" i="7"/>
  <c r="X47" i="7" s="1"/>
  <c r="D46" i="7"/>
  <c r="M46" i="7"/>
  <c r="AG46" i="7"/>
  <c r="B47" i="7"/>
  <c r="AD19" i="17" l="1"/>
  <c r="C20" i="10"/>
  <c r="O20" i="17"/>
  <c r="Q20" i="17" s="1"/>
  <c r="AG48" i="17"/>
  <c r="B49" i="17"/>
  <c r="M48" i="17"/>
  <c r="D48" i="17"/>
  <c r="C105" i="10"/>
  <c r="Y20" i="17"/>
  <c r="E21" i="17"/>
  <c r="J20" i="17"/>
  <c r="K20" i="17" s="1"/>
  <c r="W49" i="17"/>
  <c r="X48" i="17"/>
  <c r="V14" i="7"/>
  <c r="N15" i="7"/>
  <c r="B183" i="10"/>
  <c r="Z14" i="7"/>
  <c r="AA14" i="7" s="1"/>
  <c r="AF14" i="7"/>
  <c r="H15" i="7"/>
  <c r="I15" i="7" s="1"/>
  <c r="M47" i="7"/>
  <c r="D47" i="7"/>
  <c r="AG47" i="7"/>
  <c r="B48" i="7"/>
  <c r="W48" i="7"/>
  <c r="X48" i="7" s="1"/>
  <c r="R20" i="17" l="1"/>
  <c r="AI20" i="17"/>
  <c r="AH20" i="17"/>
  <c r="W50" i="17"/>
  <c r="X49" i="17"/>
  <c r="M49" i="17"/>
  <c r="B50" i="17"/>
  <c r="D49" i="17"/>
  <c r="AG49" i="17"/>
  <c r="F21" i="17"/>
  <c r="H21" i="17" s="1"/>
  <c r="I21" i="17" s="1"/>
  <c r="AB14" i="7"/>
  <c r="E16" i="7"/>
  <c r="B100" i="10"/>
  <c r="Y15" i="7"/>
  <c r="J15" i="7"/>
  <c r="K15" i="7" s="1"/>
  <c r="O15" i="7"/>
  <c r="W49" i="7"/>
  <c r="X49" i="7" s="1"/>
  <c r="M48" i="7"/>
  <c r="D48" i="7"/>
  <c r="B49" i="7"/>
  <c r="AG48" i="7"/>
  <c r="S20" i="17" l="1"/>
  <c r="T20" i="17" s="1"/>
  <c r="V20" i="17" s="1"/>
  <c r="Z20" i="17"/>
  <c r="AA20" i="17" s="1"/>
  <c r="C189" i="10"/>
  <c r="N21" i="17"/>
  <c r="C106" i="10"/>
  <c r="E22" i="17"/>
  <c r="Y21" i="17"/>
  <c r="J21" i="17"/>
  <c r="K21" i="17" s="1"/>
  <c r="B51" i="17"/>
  <c r="M50" i="17"/>
  <c r="D50" i="17"/>
  <c r="AG50" i="17"/>
  <c r="W51" i="17"/>
  <c r="X50" i="17"/>
  <c r="AD14" i="7"/>
  <c r="B15" i="10"/>
  <c r="Q15" i="7"/>
  <c r="D49" i="7"/>
  <c r="M49" i="7"/>
  <c r="B50" i="7"/>
  <c r="AG49" i="7"/>
  <c r="W50" i="7"/>
  <c r="X50" i="7" s="1"/>
  <c r="AB20" i="17" l="1"/>
  <c r="AD20" i="17" s="1"/>
  <c r="AF20" i="17"/>
  <c r="O21" i="17"/>
  <c r="Q21" i="17" s="1"/>
  <c r="B52" i="17"/>
  <c r="AG51" i="17"/>
  <c r="M51" i="17"/>
  <c r="D51" i="17"/>
  <c r="W52" i="17"/>
  <c r="X51" i="17"/>
  <c r="F22" i="17"/>
  <c r="H22" i="17" s="1"/>
  <c r="I22" i="17" s="1"/>
  <c r="AH15" i="7"/>
  <c r="AI15" i="7"/>
  <c r="R15" i="7"/>
  <c r="F16" i="7"/>
  <c r="W51" i="7"/>
  <c r="X51" i="7" s="1"/>
  <c r="M50" i="7"/>
  <c r="D50" i="7"/>
  <c r="B51" i="7"/>
  <c r="AG50" i="7"/>
  <c r="C21" i="10" l="1"/>
  <c r="R21" i="17"/>
  <c r="AH21" i="17"/>
  <c r="AI21" i="17"/>
  <c r="W53" i="17"/>
  <c r="X52" i="17"/>
  <c r="C107" i="10"/>
  <c r="E23" i="17"/>
  <c r="Y22" i="17"/>
  <c r="J22" i="17"/>
  <c r="K22" i="17" s="1"/>
  <c r="B53" i="17"/>
  <c r="M52" i="17"/>
  <c r="AG52" i="17"/>
  <c r="D52" i="17"/>
  <c r="S15" i="7"/>
  <c r="T15" i="7" s="1"/>
  <c r="V15" i="7" s="1"/>
  <c r="N16" i="7"/>
  <c r="B184" i="10"/>
  <c r="Z15" i="7"/>
  <c r="AA15" i="7" s="1"/>
  <c r="H16" i="7"/>
  <c r="M51" i="7"/>
  <c r="D51" i="7"/>
  <c r="B52" i="7"/>
  <c r="AG51" i="7"/>
  <c r="W52" i="7"/>
  <c r="X52" i="7" s="1"/>
  <c r="Z21" i="17" l="1"/>
  <c r="AA21" i="17" s="1"/>
  <c r="N22" i="17"/>
  <c r="C190" i="10"/>
  <c r="S21" i="17"/>
  <c r="AG53" i="17"/>
  <c r="D53" i="17"/>
  <c r="B54" i="17"/>
  <c r="M53" i="17"/>
  <c r="F23" i="17"/>
  <c r="H23" i="17" s="1"/>
  <c r="W54" i="17"/>
  <c r="X53" i="17"/>
  <c r="AB15" i="7"/>
  <c r="AD15" i="7" s="1"/>
  <c r="AF15" i="7"/>
  <c r="O16" i="7"/>
  <c r="I16" i="7"/>
  <c r="W53" i="7"/>
  <c r="X53" i="7" s="1"/>
  <c r="M52" i="7"/>
  <c r="D52" i="7"/>
  <c r="B53" i="7"/>
  <c r="AG52" i="7"/>
  <c r="T21" i="17" l="1"/>
  <c r="V21" i="17" s="1"/>
  <c r="AB21" i="17" s="1"/>
  <c r="AF21" i="17"/>
  <c r="O22" i="17"/>
  <c r="Q22" i="17" s="1"/>
  <c r="R22" i="17" s="1"/>
  <c r="S22" i="17" s="1"/>
  <c r="T22" i="17" s="1"/>
  <c r="V22" i="17" s="1"/>
  <c r="W55" i="17"/>
  <c r="X54" i="17"/>
  <c r="B55" i="17"/>
  <c r="M54" i="17"/>
  <c r="D54" i="17"/>
  <c r="AG54" i="17"/>
  <c r="I23" i="17"/>
  <c r="B16" i="10"/>
  <c r="E17" i="7"/>
  <c r="F17" i="7" s="1"/>
  <c r="H17" i="7" s="1"/>
  <c r="B101" i="10"/>
  <c r="Y16" i="7"/>
  <c r="J16" i="7"/>
  <c r="K16" i="7" s="1"/>
  <c r="Q16" i="7"/>
  <c r="D53" i="7"/>
  <c r="M53" i="7"/>
  <c r="AG53" i="7"/>
  <c r="B54" i="7"/>
  <c r="W54" i="7"/>
  <c r="X54" i="7" s="1"/>
  <c r="Z22" i="17" l="1"/>
  <c r="AA22" i="17" s="1"/>
  <c r="AB22" i="17" s="1"/>
  <c r="C191" i="10"/>
  <c r="N23" i="17"/>
  <c r="AI22" i="17"/>
  <c r="AH22" i="17"/>
  <c r="AF22" i="17"/>
  <c r="AD21" i="17"/>
  <c r="C22" i="10"/>
  <c r="AG55" i="17"/>
  <c r="M55" i="17"/>
  <c r="B56" i="17"/>
  <c r="D55" i="17"/>
  <c r="C108" i="10"/>
  <c r="Y23" i="17"/>
  <c r="E24" i="17"/>
  <c r="J23" i="17"/>
  <c r="K23" i="17" s="1"/>
  <c r="W56" i="17"/>
  <c r="X55" i="17"/>
  <c r="AH16" i="7"/>
  <c r="AI16" i="7"/>
  <c r="R16" i="7"/>
  <c r="I17" i="7"/>
  <c r="W55" i="7"/>
  <c r="X55" i="7" s="1"/>
  <c r="M54" i="7"/>
  <c r="D54" i="7"/>
  <c r="B55" i="7"/>
  <c r="AG54" i="7"/>
  <c r="O23" i="17" l="1"/>
  <c r="Q23" i="17" s="1"/>
  <c r="R23" i="17" s="1"/>
  <c r="C23" i="10"/>
  <c r="AD22" i="17"/>
  <c r="W57" i="17"/>
  <c r="X56" i="17"/>
  <c r="F24" i="17"/>
  <c r="H24" i="17" s="1"/>
  <c r="D56" i="17"/>
  <c r="M56" i="17"/>
  <c r="B57" i="17"/>
  <c r="AG56" i="17"/>
  <c r="E18" i="7"/>
  <c r="Y17" i="7"/>
  <c r="B102" i="10"/>
  <c r="N17" i="7"/>
  <c r="Z16" i="7"/>
  <c r="AA16" i="7" s="1"/>
  <c r="B185" i="10"/>
  <c r="S16" i="7"/>
  <c r="T16" i="7" s="1"/>
  <c r="V16" i="7" s="1"/>
  <c r="J17" i="7"/>
  <c r="K17" i="7" s="1"/>
  <c r="M55" i="7"/>
  <c r="D55" i="7"/>
  <c r="AG55" i="7"/>
  <c r="B56" i="7"/>
  <c r="W56" i="7"/>
  <c r="X56" i="7" s="1"/>
  <c r="C192" i="10" l="1"/>
  <c r="N24" i="17"/>
  <c r="Z23" i="17"/>
  <c r="AA23" i="17" s="1"/>
  <c r="S23" i="17"/>
  <c r="T23" i="17" s="1"/>
  <c r="V23" i="17" s="1"/>
  <c r="AF23" i="17"/>
  <c r="AH23" i="17"/>
  <c r="AI23" i="17"/>
  <c r="B58" i="17"/>
  <c r="AG57" i="17"/>
  <c r="D57" i="17"/>
  <c r="M57" i="17"/>
  <c r="W58" i="17"/>
  <c r="X57" i="17"/>
  <c r="I24" i="17"/>
  <c r="AB16" i="7"/>
  <c r="AD16" i="7" s="1"/>
  <c r="AF16" i="7"/>
  <c r="O17" i="7"/>
  <c r="F18" i="7"/>
  <c r="D56" i="7"/>
  <c r="M56" i="7"/>
  <c r="B57" i="7"/>
  <c r="AG56" i="7"/>
  <c r="W57" i="7"/>
  <c r="X57" i="7" s="1"/>
  <c r="AB23" i="17" l="1"/>
  <c r="O24" i="17"/>
  <c r="Q24" i="17" s="1"/>
  <c r="R24" i="17" s="1"/>
  <c r="C109" i="10"/>
  <c r="E25" i="17"/>
  <c r="Y24" i="17"/>
  <c r="J24" i="17"/>
  <c r="K24" i="17" s="1"/>
  <c r="W59" i="17"/>
  <c r="X58" i="17"/>
  <c r="B59" i="17"/>
  <c r="M58" i="17"/>
  <c r="AG58" i="17"/>
  <c r="D58" i="17"/>
  <c r="B17" i="10"/>
  <c r="Q17" i="7"/>
  <c r="H18" i="7"/>
  <c r="D57" i="7"/>
  <c r="M57" i="7"/>
  <c r="B58" i="7"/>
  <c r="AG57" i="7"/>
  <c r="W58" i="7"/>
  <c r="X58" i="7" s="1"/>
  <c r="C24" i="10" l="1"/>
  <c r="AD23" i="17"/>
  <c r="Z24" i="17"/>
  <c r="C193" i="10"/>
  <c r="N25" i="17"/>
  <c r="O25" i="17" s="1"/>
  <c r="Q25" i="17" s="1"/>
  <c r="AA24" i="17"/>
  <c r="AH24" i="17"/>
  <c r="AI24" i="17"/>
  <c r="S24" i="17"/>
  <c r="T24" i="17" s="1"/>
  <c r="V24" i="17" s="1"/>
  <c r="W60" i="17"/>
  <c r="X59" i="17"/>
  <c r="M59" i="17"/>
  <c r="B60" i="17"/>
  <c r="AG59" i="17"/>
  <c r="D59" i="17"/>
  <c r="F25" i="17"/>
  <c r="H25" i="17" s="1"/>
  <c r="AI17" i="7"/>
  <c r="AH17" i="7"/>
  <c r="R17" i="7"/>
  <c r="I18" i="7"/>
  <c r="W59" i="7"/>
  <c r="X59" i="7" s="1"/>
  <c r="M58" i="7"/>
  <c r="D58" i="7"/>
  <c r="B59" i="7"/>
  <c r="AG58" i="7"/>
  <c r="AB24" i="17" l="1"/>
  <c r="AD24" i="17" s="1"/>
  <c r="AF24" i="17"/>
  <c r="R25" i="17"/>
  <c r="I25" i="17"/>
  <c r="AI25" i="17"/>
  <c r="AH25" i="17"/>
  <c r="B61" i="17"/>
  <c r="D60" i="17"/>
  <c r="AG60" i="17"/>
  <c r="M60" i="17"/>
  <c r="W61" i="17"/>
  <c r="X60" i="17"/>
  <c r="E19" i="7"/>
  <c r="Y18" i="7"/>
  <c r="B103" i="10"/>
  <c r="S17" i="7"/>
  <c r="T17" i="7" s="1"/>
  <c r="V17" i="7" s="1"/>
  <c r="N18" i="7"/>
  <c r="B186" i="10"/>
  <c r="Z17" i="7"/>
  <c r="AA17" i="7" s="1"/>
  <c r="J18" i="7"/>
  <c r="K18" i="7" s="1"/>
  <c r="M59" i="7"/>
  <c r="D59" i="7"/>
  <c r="AG59" i="7"/>
  <c r="B60" i="7"/>
  <c r="W60" i="7"/>
  <c r="X60" i="7" s="1"/>
  <c r="C25" i="10" l="1"/>
  <c r="S25" i="17"/>
  <c r="T25" i="17" s="1"/>
  <c r="C194" i="10"/>
  <c r="Z25" i="17"/>
  <c r="N26" i="17"/>
  <c r="O26" i="17" s="1"/>
  <c r="Q26" i="17" s="1"/>
  <c r="R26" i="17" s="1"/>
  <c r="C195" i="10" s="1"/>
  <c r="C110" i="10"/>
  <c r="Y25" i="17"/>
  <c r="E26" i="17"/>
  <c r="W62" i="17"/>
  <c r="X61" i="17"/>
  <c r="J25" i="17"/>
  <c r="K25" i="17" s="1"/>
  <c r="AG61" i="17"/>
  <c r="M61" i="17"/>
  <c r="B62" i="17"/>
  <c r="D61" i="17"/>
  <c r="AB17" i="7"/>
  <c r="AD17" i="7" s="1"/>
  <c r="AF17" i="7"/>
  <c r="O18" i="7"/>
  <c r="W61" i="7"/>
  <c r="X61" i="7" s="1"/>
  <c r="M60" i="7"/>
  <c r="D60" i="7"/>
  <c r="AG60" i="7"/>
  <c r="B61" i="7"/>
  <c r="Z26" i="17" l="1"/>
  <c r="N27" i="17"/>
  <c r="O27" i="17" s="1"/>
  <c r="Q27" i="17" s="1"/>
  <c r="R27" i="17" s="1"/>
  <c r="AA25" i="17"/>
  <c r="V25" i="17"/>
  <c r="AF25" i="17"/>
  <c r="S26" i="17"/>
  <c r="T26" i="17" s="1"/>
  <c r="F26" i="17"/>
  <c r="H26" i="17" s="1"/>
  <c r="W63" i="17"/>
  <c r="X62" i="17"/>
  <c r="AG62" i="17"/>
  <c r="D62" i="17"/>
  <c r="B63" i="17"/>
  <c r="M62" i="17"/>
  <c r="B18" i="10"/>
  <c r="Q18" i="7"/>
  <c r="F19" i="7"/>
  <c r="D61" i="7"/>
  <c r="M61" i="7"/>
  <c r="B62" i="7"/>
  <c r="AG61" i="7"/>
  <c r="W62" i="7"/>
  <c r="X62" i="7" s="1"/>
  <c r="AB25" i="17" l="1"/>
  <c r="C26" i="10" s="1"/>
  <c r="C196" i="10"/>
  <c r="N28" i="17"/>
  <c r="Z27" i="17"/>
  <c r="AI26" i="17"/>
  <c r="AH26" i="17"/>
  <c r="W64" i="17"/>
  <c r="X63" i="17"/>
  <c r="S27" i="17"/>
  <c r="T27" i="17" s="1"/>
  <c r="B64" i="17"/>
  <c r="AG63" i="17"/>
  <c r="M63" i="17"/>
  <c r="D63" i="17"/>
  <c r="I26" i="17"/>
  <c r="AI18" i="7"/>
  <c r="AH18" i="7"/>
  <c r="R18" i="7"/>
  <c r="S18" i="7" s="1"/>
  <c r="T18" i="7" s="1"/>
  <c r="V18" i="7" s="1"/>
  <c r="H19" i="7"/>
  <c r="W63" i="7"/>
  <c r="X63" i="7" s="1"/>
  <c r="M62" i="7"/>
  <c r="D62" i="7"/>
  <c r="B63" i="7"/>
  <c r="AG62" i="7"/>
  <c r="AD25" i="17" l="1"/>
  <c r="W65" i="17"/>
  <c r="X64" i="17"/>
  <c r="C111" i="10"/>
  <c r="Y26" i="17"/>
  <c r="AA26" i="17" s="1"/>
  <c r="E27" i="17"/>
  <c r="B65" i="17"/>
  <c r="AG64" i="17"/>
  <c r="D64" i="17"/>
  <c r="M64" i="17"/>
  <c r="J26" i="17"/>
  <c r="O28" i="17"/>
  <c r="Q28" i="17" s="1"/>
  <c r="R28" i="17" s="1"/>
  <c r="S28" i="17" s="1"/>
  <c r="T28" i="17" s="1"/>
  <c r="AF18" i="7"/>
  <c r="N19" i="7"/>
  <c r="B187" i="10"/>
  <c r="Z18" i="7"/>
  <c r="I19" i="7"/>
  <c r="D63" i="7"/>
  <c r="M63" i="7"/>
  <c r="AG63" i="7"/>
  <c r="B64" i="7"/>
  <c r="W64" i="7"/>
  <c r="X64" i="7" s="1"/>
  <c r="AA18" i="7" l="1"/>
  <c r="AB18" i="7" s="1"/>
  <c r="AG65" i="17"/>
  <c r="D65" i="17"/>
  <c r="M65" i="17"/>
  <c r="B66" i="17"/>
  <c r="F27" i="17"/>
  <c r="H27" i="17" s="1"/>
  <c r="I27" i="17" s="1"/>
  <c r="J27" i="17" s="1"/>
  <c r="C197" i="10"/>
  <c r="N29" i="17"/>
  <c r="Z28" i="17"/>
  <c r="K26" i="17"/>
  <c r="V26" i="17" s="1"/>
  <c r="AB26" i="17" s="1"/>
  <c r="AF26" i="17"/>
  <c r="W66" i="17"/>
  <c r="X65" i="17"/>
  <c r="E20" i="7"/>
  <c r="B104" i="10"/>
  <c r="Y19" i="7"/>
  <c r="J19" i="7"/>
  <c r="K19" i="7" s="1"/>
  <c r="O19" i="7"/>
  <c r="W65" i="7"/>
  <c r="X65" i="7" s="1"/>
  <c r="M64" i="7"/>
  <c r="D64" i="7"/>
  <c r="B65" i="7"/>
  <c r="AG64" i="7"/>
  <c r="B19" i="10" l="1"/>
  <c r="AD18" i="7"/>
  <c r="K27" i="17"/>
  <c r="V27" i="17" s="1"/>
  <c r="AF27" i="17"/>
  <c r="AI27" i="17"/>
  <c r="AH27" i="17"/>
  <c r="AG66" i="17"/>
  <c r="D66" i="17"/>
  <c r="B67" i="17"/>
  <c r="M66" i="17"/>
  <c r="C112" i="10"/>
  <c r="Y27" i="17"/>
  <c r="AA27" i="17" s="1"/>
  <c r="E28" i="17"/>
  <c r="W67" i="17"/>
  <c r="X66" i="17"/>
  <c r="O29" i="17"/>
  <c r="Q29" i="17" s="1"/>
  <c r="R29" i="17" s="1"/>
  <c r="AD26" i="17"/>
  <c r="C27" i="10"/>
  <c r="Q19" i="7"/>
  <c r="F20" i="7"/>
  <c r="M65" i="7"/>
  <c r="D65" i="7"/>
  <c r="B66" i="7"/>
  <c r="AG65" i="7"/>
  <c r="W66" i="7"/>
  <c r="X66" i="7" s="1"/>
  <c r="AB27" i="17" l="1"/>
  <c r="AD27" i="17" s="1"/>
  <c r="C198" i="10"/>
  <c r="Z29" i="17"/>
  <c r="N30" i="17"/>
  <c r="S29" i="17"/>
  <c r="T29" i="17" s="1"/>
  <c r="M67" i="17"/>
  <c r="D67" i="17"/>
  <c r="B68" i="17"/>
  <c r="AG67" i="17"/>
  <c r="W68" i="17"/>
  <c r="X67" i="17"/>
  <c r="F28" i="17"/>
  <c r="H28" i="17" s="1"/>
  <c r="AI19" i="7"/>
  <c r="AH19" i="7"/>
  <c r="R19" i="7"/>
  <c r="S19" i="7" s="1"/>
  <c r="T19" i="7" s="1"/>
  <c r="V19" i="7" s="1"/>
  <c r="H20" i="7"/>
  <c r="W67" i="7"/>
  <c r="X67" i="7" s="1"/>
  <c r="M66" i="7"/>
  <c r="D66" i="7"/>
  <c r="B67" i="7"/>
  <c r="AG66" i="7"/>
  <c r="C28" i="10" l="1"/>
  <c r="AH28" i="17"/>
  <c r="AI28" i="17"/>
  <c r="I28" i="17"/>
  <c r="M68" i="17"/>
  <c r="B69" i="17"/>
  <c r="AG68" i="17"/>
  <c r="D68" i="17"/>
  <c r="W69" i="17"/>
  <c r="X68" i="17"/>
  <c r="O30" i="17"/>
  <c r="Q30" i="17" s="1"/>
  <c r="AF19" i="7"/>
  <c r="N20" i="7"/>
  <c r="B188" i="10"/>
  <c r="Z19" i="7"/>
  <c r="I20" i="7"/>
  <c r="M67" i="7"/>
  <c r="D67" i="7"/>
  <c r="B68" i="7"/>
  <c r="AG67" i="7"/>
  <c r="W68" i="7"/>
  <c r="X68" i="7" s="1"/>
  <c r="AA19" i="7" l="1"/>
  <c r="AB19" i="7" s="1"/>
  <c r="R30" i="17"/>
  <c r="S30" i="17" s="1"/>
  <c r="T30" i="17" s="1"/>
  <c r="C113" i="10"/>
  <c r="Y28" i="17"/>
  <c r="AA28" i="17" s="1"/>
  <c r="E29" i="17"/>
  <c r="J28" i="17"/>
  <c r="K28" i="17" s="1"/>
  <c r="V28" i="17" s="1"/>
  <c r="M69" i="17"/>
  <c r="B70" i="17"/>
  <c r="D69" i="17"/>
  <c r="AG69" i="17"/>
  <c r="W70" i="17"/>
  <c r="X69" i="17"/>
  <c r="E21" i="7"/>
  <c r="F21" i="7" s="1"/>
  <c r="B105" i="10"/>
  <c r="Y20" i="7"/>
  <c r="J20" i="7"/>
  <c r="K20" i="7" s="1"/>
  <c r="O20" i="7"/>
  <c r="W69" i="7"/>
  <c r="X69" i="7" s="1"/>
  <c r="M68" i="7"/>
  <c r="D68" i="7"/>
  <c r="AG68" i="7"/>
  <c r="B69" i="7"/>
  <c r="Z30" i="17" l="1"/>
  <c r="C199" i="10"/>
  <c r="AD19" i="7"/>
  <c r="B20" i="10"/>
  <c r="AF28" i="17"/>
  <c r="AB28" i="17"/>
  <c r="C29" i="10" s="1"/>
  <c r="N31" i="17"/>
  <c r="O31" i="17" s="1"/>
  <c r="Q31" i="17" s="1"/>
  <c r="R31" i="17" s="1"/>
  <c r="AG70" i="17"/>
  <c r="B71" i="17"/>
  <c r="M70" i="17"/>
  <c r="D70" i="17"/>
  <c r="W71" i="17"/>
  <c r="X70" i="17"/>
  <c r="F29" i="17"/>
  <c r="H29" i="17" s="1"/>
  <c r="I29" i="17" s="1"/>
  <c r="J29" i="17" s="1"/>
  <c r="Q20" i="7"/>
  <c r="H21" i="7"/>
  <c r="D69" i="7"/>
  <c r="M69" i="7"/>
  <c r="AG69" i="7"/>
  <c r="B70" i="7"/>
  <c r="W70" i="7"/>
  <c r="X70" i="7" s="1"/>
  <c r="AD28" i="17" l="1"/>
  <c r="C19" i="15" s="1"/>
  <c r="Z31" i="17"/>
  <c r="C200" i="10"/>
  <c r="N32" i="17"/>
  <c r="S31" i="17"/>
  <c r="T31" i="17" s="1"/>
  <c r="W72" i="17"/>
  <c r="X71" i="17"/>
  <c r="M71" i="17"/>
  <c r="D71" i="17"/>
  <c r="AG71" i="17"/>
  <c r="B72" i="17"/>
  <c r="K29" i="17"/>
  <c r="V29" i="17" s="1"/>
  <c r="AF29" i="17"/>
  <c r="AI29" i="17"/>
  <c r="AH29" i="17"/>
  <c r="C114" i="10"/>
  <c r="E30" i="17"/>
  <c r="Y29" i="17"/>
  <c r="AA29" i="17" s="1"/>
  <c r="AI20" i="7"/>
  <c r="AH20" i="7"/>
  <c r="R20" i="7"/>
  <c r="S20" i="7" s="1"/>
  <c r="T20" i="7" s="1"/>
  <c r="V20" i="7" s="1"/>
  <c r="I21" i="7"/>
  <c r="W71" i="7"/>
  <c r="X71" i="7" s="1"/>
  <c r="D70" i="7"/>
  <c r="M70" i="7"/>
  <c r="AG70" i="7"/>
  <c r="B71" i="7"/>
  <c r="AB29" i="17" l="1"/>
  <c r="AD29" i="17" s="1"/>
  <c r="B73" i="17"/>
  <c r="M72" i="17"/>
  <c r="D72" i="17"/>
  <c r="AG72" i="17"/>
  <c r="W73" i="17"/>
  <c r="X72" i="17"/>
  <c r="O32" i="17"/>
  <c r="Q32" i="17" s="1"/>
  <c r="F30" i="17"/>
  <c r="H30" i="17" s="1"/>
  <c r="E22" i="7"/>
  <c r="F22" i="7" s="1"/>
  <c r="B106" i="10"/>
  <c r="Y21" i="7"/>
  <c r="N21" i="7"/>
  <c r="Z20" i="7"/>
  <c r="AA20" i="7" s="1"/>
  <c r="B189" i="10"/>
  <c r="AF20" i="7"/>
  <c r="J21" i="7"/>
  <c r="K21" i="7" s="1"/>
  <c r="D71" i="7"/>
  <c r="M71" i="7"/>
  <c r="AG71" i="7"/>
  <c r="B72" i="7"/>
  <c r="W72" i="7"/>
  <c r="X72" i="7" s="1"/>
  <c r="C30" i="10" l="1"/>
  <c r="I30" i="17"/>
  <c r="J30" i="17" s="1"/>
  <c r="AG73" i="17"/>
  <c r="D73" i="17"/>
  <c r="M73" i="17"/>
  <c r="B74" i="17"/>
  <c r="R32" i="17"/>
  <c r="W74" i="17"/>
  <c r="X73" i="17"/>
  <c r="AI30" i="17"/>
  <c r="AH30" i="17"/>
  <c r="AB20" i="7"/>
  <c r="H22" i="7"/>
  <c r="I22" i="7" s="1"/>
  <c r="O21" i="7"/>
  <c r="W73" i="7"/>
  <c r="X73" i="7" s="1"/>
  <c r="M72" i="7"/>
  <c r="D72" i="7"/>
  <c r="B73" i="7"/>
  <c r="AG72" i="7"/>
  <c r="K30" i="17" l="1"/>
  <c r="V30" i="17" s="1"/>
  <c r="AF30" i="17"/>
  <c r="Y30" i="17"/>
  <c r="AA30" i="17" s="1"/>
  <c r="E31" i="17"/>
  <c r="F31" i="17" s="1"/>
  <c r="H31" i="17" s="1"/>
  <c r="I31" i="17" s="1"/>
  <c r="J31" i="17" s="1"/>
  <c r="C115" i="10"/>
  <c r="W75" i="17"/>
  <c r="X74" i="17"/>
  <c r="AG74" i="17"/>
  <c r="B75" i="17"/>
  <c r="M74" i="17"/>
  <c r="D74" i="17"/>
  <c r="C201" i="10"/>
  <c r="Z32" i="17"/>
  <c r="N33" i="17"/>
  <c r="S32" i="17"/>
  <c r="T32" i="17" s="1"/>
  <c r="B21" i="10"/>
  <c r="AD20" i="7"/>
  <c r="E23" i="7"/>
  <c r="B107" i="10"/>
  <c r="Y22" i="7"/>
  <c r="J22" i="7"/>
  <c r="K22" i="7" s="1"/>
  <c r="Q21" i="7"/>
  <c r="M73" i="7"/>
  <c r="D73" i="7"/>
  <c r="AG73" i="7"/>
  <c r="B74" i="7"/>
  <c r="W74" i="7"/>
  <c r="X74" i="7" s="1"/>
  <c r="AB30" i="17" l="1"/>
  <c r="AD30" i="17" s="1"/>
  <c r="W76" i="17"/>
  <c r="X75" i="17"/>
  <c r="O33" i="17"/>
  <c r="Q33" i="17" s="1"/>
  <c r="K31" i="17"/>
  <c r="V31" i="17" s="1"/>
  <c r="AF31" i="17"/>
  <c r="AH31" i="17"/>
  <c r="AI31" i="17"/>
  <c r="M75" i="17"/>
  <c r="D75" i="17"/>
  <c r="AG75" i="17"/>
  <c r="B76" i="17"/>
  <c r="C116" i="10"/>
  <c r="Y31" i="17"/>
  <c r="AA31" i="17" s="1"/>
  <c r="E32" i="17"/>
  <c r="AI21" i="7"/>
  <c r="AH21" i="7"/>
  <c r="R21" i="7"/>
  <c r="F23" i="7"/>
  <c r="W75" i="7"/>
  <c r="X75" i="7" s="1"/>
  <c r="D74" i="7"/>
  <c r="M74" i="7"/>
  <c r="B75" i="7"/>
  <c r="AG74" i="7"/>
  <c r="C31" i="10" l="1"/>
  <c r="F32" i="17"/>
  <c r="H32" i="17" s="1"/>
  <c r="AB31" i="17"/>
  <c r="R33" i="17"/>
  <c r="M76" i="17"/>
  <c r="D76" i="17"/>
  <c r="B77" i="17"/>
  <c r="AG76" i="17"/>
  <c r="W77" i="17"/>
  <c r="X76" i="17"/>
  <c r="N22" i="7"/>
  <c r="Z21" i="7"/>
  <c r="AA21" i="7" s="1"/>
  <c r="B190" i="10"/>
  <c r="S21" i="7"/>
  <c r="H23" i="7"/>
  <c r="M75" i="7"/>
  <c r="D75" i="7"/>
  <c r="AG75" i="7"/>
  <c r="B76" i="7"/>
  <c r="W76" i="7"/>
  <c r="X76" i="7" s="1"/>
  <c r="C202" i="10" l="1"/>
  <c r="Z33" i="17"/>
  <c r="N34" i="17"/>
  <c r="S33" i="17"/>
  <c r="T33" i="17" s="1"/>
  <c r="AD31" i="17"/>
  <c r="C32" i="10"/>
  <c r="W78" i="17"/>
  <c r="X77" i="17"/>
  <c r="AI32" i="17"/>
  <c r="AH32" i="17"/>
  <c r="AG77" i="17"/>
  <c r="B78" i="17"/>
  <c r="M77" i="17"/>
  <c r="D77" i="17"/>
  <c r="I32" i="17"/>
  <c r="AF21" i="7"/>
  <c r="T21" i="7"/>
  <c r="V21" i="7" s="1"/>
  <c r="AB21" i="7" s="1"/>
  <c r="O22" i="7"/>
  <c r="I23" i="7"/>
  <c r="W77" i="7"/>
  <c r="X77" i="7" s="1"/>
  <c r="M76" i="7"/>
  <c r="D76" i="7"/>
  <c r="AG76" i="7"/>
  <c r="B77" i="7"/>
  <c r="C117" i="10" l="1"/>
  <c r="E33" i="17"/>
  <c r="Y32" i="17"/>
  <c r="AA32" i="17" s="1"/>
  <c r="J32" i="17"/>
  <c r="O34" i="17"/>
  <c r="Q34" i="17" s="1"/>
  <c r="R34" i="17" s="1"/>
  <c r="W79" i="17"/>
  <c r="X78" i="17"/>
  <c r="AG78" i="17"/>
  <c r="B79" i="17"/>
  <c r="D78" i="17"/>
  <c r="M78" i="17"/>
  <c r="B22" i="10"/>
  <c r="AD21" i="7"/>
  <c r="E24" i="7"/>
  <c r="F24" i="7" s="1"/>
  <c r="B108" i="10"/>
  <c r="Y23" i="7"/>
  <c r="J23" i="7"/>
  <c r="K23" i="7" s="1"/>
  <c r="Q22" i="7"/>
  <c r="W78" i="7"/>
  <c r="X78" i="7" s="1"/>
  <c r="D77" i="7"/>
  <c r="M77" i="7"/>
  <c r="AG77" i="7"/>
  <c r="B78" i="7"/>
  <c r="C203" i="10" l="1"/>
  <c r="N35" i="17"/>
  <c r="Z34" i="17"/>
  <c r="S34" i="17"/>
  <c r="T34" i="17" s="1"/>
  <c r="W80" i="17"/>
  <c r="X79" i="17"/>
  <c r="K32" i="17"/>
  <c r="V32" i="17" s="1"/>
  <c r="AB32" i="17" s="1"/>
  <c r="AF32" i="17"/>
  <c r="B80" i="17"/>
  <c r="AG79" i="17"/>
  <c r="M79" i="17"/>
  <c r="D79" i="17"/>
  <c r="F33" i="17"/>
  <c r="H33" i="17" s="1"/>
  <c r="AI22" i="7"/>
  <c r="AH22" i="7"/>
  <c r="R22" i="7"/>
  <c r="H24" i="7"/>
  <c r="M78" i="7"/>
  <c r="D78" i="7"/>
  <c r="AG78" i="7"/>
  <c r="B79" i="7"/>
  <c r="W79" i="7"/>
  <c r="X79" i="7" s="1"/>
  <c r="AI33" i="17" l="1"/>
  <c r="AH33" i="17"/>
  <c r="AD32" i="17"/>
  <c r="C33" i="10"/>
  <c r="I33" i="17"/>
  <c r="W81" i="17"/>
  <c r="X80" i="17"/>
  <c r="M80" i="17"/>
  <c r="D80" i="17"/>
  <c r="B81" i="17"/>
  <c r="AG80" i="17"/>
  <c r="O35" i="17"/>
  <c r="Q35" i="17" s="1"/>
  <c r="S22" i="7"/>
  <c r="T22" i="7" s="1"/>
  <c r="V22" i="7" s="1"/>
  <c r="N23" i="7"/>
  <c r="B191" i="10"/>
  <c r="Z22" i="7"/>
  <c r="AA22" i="7" s="1"/>
  <c r="I24" i="7"/>
  <c r="W80" i="7"/>
  <c r="X80" i="7" s="1"/>
  <c r="M79" i="7"/>
  <c r="D79" i="7"/>
  <c r="AG79" i="7"/>
  <c r="B80" i="7"/>
  <c r="R35" i="17" l="1"/>
  <c r="C118" i="10"/>
  <c r="Y33" i="17"/>
  <c r="AA33" i="17" s="1"/>
  <c r="E34" i="17"/>
  <c r="J33" i="17"/>
  <c r="K33" i="17" s="1"/>
  <c r="V33" i="17" s="1"/>
  <c r="W82" i="17"/>
  <c r="X81" i="17"/>
  <c r="B82" i="17"/>
  <c r="M81" i="17"/>
  <c r="D81" i="17"/>
  <c r="AG81" i="17"/>
  <c r="AB22" i="7"/>
  <c r="E25" i="7"/>
  <c r="F25" i="7" s="1"/>
  <c r="B109" i="10"/>
  <c r="Y24" i="7"/>
  <c r="AF22" i="7"/>
  <c r="J24" i="7"/>
  <c r="K24" i="7" s="1"/>
  <c r="O23" i="7"/>
  <c r="M80" i="7"/>
  <c r="D80" i="7"/>
  <c r="B81" i="7"/>
  <c r="AG80" i="7"/>
  <c r="W81" i="7"/>
  <c r="X81" i="7" s="1"/>
  <c r="AB33" i="17" l="1"/>
  <c r="F34" i="17"/>
  <c r="H34" i="17" s="1"/>
  <c r="C204" i="10"/>
  <c r="N36" i="17"/>
  <c r="Z35" i="17"/>
  <c r="S35" i="17"/>
  <c r="T35" i="17" s="1"/>
  <c r="AF33" i="17"/>
  <c r="AG82" i="17"/>
  <c r="D82" i="17"/>
  <c r="M82" i="17"/>
  <c r="B83" i="17"/>
  <c r="W83" i="17"/>
  <c r="X83" i="17" s="1"/>
  <c r="X82" i="17"/>
  <c r="AD22" i="7"/>
  <c r="B23" i="10"/>
  <c r="Q23" i="7"/>
  <c r="H25" i="7"/>
  <c r="W82" i="7"/>
  <c r="X82" i="7" s="1"/>
  <c r="D81" i="7"/>
  <c r="M81" i="7"/>
  <c r="AG81" i="7"/>
  <c r="B82" i="7"/>
  <c r="X2" i="17" l="1"/>
  <c r="M83" i="17"/>
  <c r="M2" i="17" s="1"/>
  <c r="D83" i="17"/>
  <c r="AG83" i="17"/>
  <c r="AG2" i="17" s="1"/>
  <c r="B2" i="17"/>
  <c r="AD33" i="17"/>
  <c r="C34" i="10"/>
  <c r="AI34" i="17"/>
  <c r="AH34" i="17"/>
  <c r="I34" i="17"/>
  <c r="O36" i="17"/>
  <c r="Q36" i="17" s="1"/>
  <c r="AI23" i="7"/>
  <c r="AH23" i="7"/>
  <c r="R23" i="7"/>
  <c r="I25" i="7"/>
  <c r="D82" i="7"/>
  <c r="M82" i="7"/>
  <c r="AG82" i="7"/>
  <c r="B83" i="7"/>
  <c r="W83" i="7"/>
  <c r="X83" i="7" s="1"/>
  <c r="C119" i="10" l="1"/>
  <c r="Y34" i="17"/>
  <c r="AA34" i="17" s="1"/>
  <c r="E35" i="17"/>
  <c r="J34" i="17"/>
  <c r="D2" i="17"/>
  <c r="R36" i="17"/>
  <c r="E26" i="7"/>
  <c r="B110" i="10"/>
  <c r="Y25" i="7"/>
  <c r="S23" i="7"/>
  <c r="T23" i="7" s="1"/>
  <c r="V23" i="7" s="1"/>
  <c r="N24" i="7"/>
  <c r="B192" i="10"/>
  <c r="Z23" i="7"/>
  <c r="AA23" i="7" s="1"/>
  <c r="J25" i="7"/>
  <c r="M83" i="7"/>
  <c r="D83" i="7"/>
  <c r="B2" i="7"/>
  <c r="B9" i="15"/>
  <c r="AG83" i="7"/>
  <c r="AG2" i="7" s="1"/>
  <c r="X2" i="7"/>
  <c r="K34" i="17" l="1"/>
  <c r="V34" i="17" s="1"/>
  <c r="AB34" i="17" s="1"/>
  <c r="AF34" i="17"/>
  <c r="F35" i="17"/>
  <c r="H35" i="17" s="1"/>
  <c r="N37" i="17"/>
  <c r="C205" i="10"/>
  <c r="Z36" i="17"/>
  <c r="S36" i="17"/>
  <c r="T36" i="17" s="1"/>
  <c r="AB23" i="7"/>
  <c r="AD23" i="7" s="1"/>
  <c r="K25" i="7"/>
  <c r="AF23" i="7"/>
  <c r="O24" i="7"/>
  <c r="M2" i="7"/>
  <c r="F26" i="7"/>
  <c r="H26" i="7" s="1"/>
  <c r="D2" i="7"/>
  <c r="AI35" i="17" l="1"/>
  <c r="AH35" i="17"/>
  <c r="I35" i="17"/>
  <c r="O37" i="17"/>
  <c r="Q37" i="17" s="1"/>
  <c r="R37" i="17" s="1"/>
  <c r="AD34" i="17"/>
  <c r="C35" i="10"/>
  <c r="B24" i="10"/>
  <c r="Q24" i="7"/>
  <c r="I26" i="7"/>
  <c r="C206" i="10" l="1"/>
  <c r="N38" i="17"/>
  <c r="Z37" i="17"/>
  <c r="S37" i="17"/>
  <c r="T37" i="17" s="1"/>
  <c r="C120" i="10"/>
  <c r="E36" i="17"/>
  <c r="Y35" i="17"/>
  <c r="AA35" i="17" s="1"/>
  <c r="J35" i="17"/>
  <c r="K35" i="17" s="1"/>
  <c r="V35" i="17" s="1"/>
  <c r="AI24" i="7"/>
  <c r="AH24" i="7"/>
  <c r="E27" i="7"/>
  <c r="B111" i="10"/>
  <c r="Y26" i="7"/>
  <c r="J26" i="7"/>
  <c r="K26" i="7" s="1"/>
  <c r="R24" i="7"/>
  <c r="AB35" i="17" l="1"/>
  <c r="AD35" i="17" s="1"/>
  <c r="F36" i="17"/>
  <c r="H36" i="17" s="1"/>
  <c r="AF35" i="17"/>
  <c r="O38" i="17"/>
  <c r="Q38" i="17" s="1"/>
  <c r="R38" i="17" s="1"/>
  <c r="S24" i="7"/>
  <c r="T24" i="7" s="1"/>
  <c r="V24" i="7" s="1"/>
  <c r="N25" i="7"/>
  <c r="B193" i="10"/>
  <c r="Z24" i="7"/>
  <c r="AA24" i="7" s="1"/>
  <c r="C36" i="10" l="1"/>
  <c r="C207" i="10"/>
  <c r="N39" i="17"/>
  <c r="Z38" i="17"/>
  <c r="AI36" i="17"/>
  <c r="AH36" i="17"/>
  <c r="S38" i="17"/>
  <c r="T38" i="17" s="1"/>
  <c r="I36" i="17"/>
  <c r="AB24" i="7"/>
  <c r="AD24" i="7" s="1"/>
  <c r="AF24" i="7"/>
  <c r="O25" i="7"/>
  <c r="F27" i="7"/>
  <c r="E37" i="17" l="1"/>
  <c r="Y36" i="17"/>
  <c r="AA36" i="17" s="1"/>
  <c r="C121" i="10"/>
  <c r="J36" i="17"/>
  <c r="O39" i="17"/>
  <c r="Q39" i="17" s="1"/>
  <c r="B25" i="10"/>
  <c r="H27" i="7"/>
  <c r="Q25" i="7"/>
  <c r="R39" i="17" l="1"/>
  <c r="S39" i="17" s="1"/>
  <c r="T39" i="17" s="1"/>
  <c r="K36" i="17"/>
  <c r="V36" i="17" s="1"/>
  <c r="AB36" i="17" s="1"/>
  <c r="AF36" i="17"/>
  <c r="F37" i="17"/>
  <c r="H37" i="17" s="1"/>
  <c r="AI25" i="7"/>
  <c r="AH25" i="7"/>
  <c r="I27" i="7"/>
  <c r="R25" i="7"/>
  <c r="I37" i="17" l="1"/>
  <c r="J37" i="17" s="1"/>
  <c r="C37" i="10"/>
  <c r="AD36" i="17"/>
  <c r="C208" i="10"/>
  <c r="N40" i="17"/>
  <c r="Z39" i="17"/>
  <c r="AI37" i="17"/>
  <c r="AH37" i="17"/>
  <c r="E28" i="7"/>
  <c r="B112" i="10"/>
  <c r="Y27" i="7"/>
  <c r="S25" i="7"/>
  <c r="T25" i="7" s="1"/>
  <c r="V25" i="7" s="1"/>
  <c r="N26" i="7"/>
  <c r="B194" i="10"/>
  <c r="Z25" i="7"/>
  <c r="AA25" i="7" s="1"/>
  <c r="J27" i="7"/>
  <c r="K27" i="7" s="1"/>
  <c r="E38" i="17" l="1"/>
  <c r="F38" i="17" s="1"/>
  <c r="H38" i="17" s="1"/>
  <c r="Y37" i="17"/>
  <c r="AA37" i="17" s="1"/>
  <c r="C122" i="10"/>
  <c r="K37" i="17"/>
  <c r="V37" i="17" s="1"/>
  <c r="AF37" i="17"/>
  <c r="O40" i="17"/>
  <c r="Q40" i="17" s="1"/>
  <c r="AB25" i="7"/>
  <c r="AD25" i="7" s="1"/>
  <c r="AF25" i="7"/>
  <c r="O26" i="7"/>
  <c r="F28" i="7"/>
  <c r="H28" i="7" s="1"/>
  <c r="AB37" i="17" l="1"/>
  <c r="C38" i="10" s="1"/>
  <c r="AI38" i="17"/>
  <c r="AH38" i="17"/>
  <c r="I38" i="17"/>
  <c r="R40" i="17"/>
  <c r="B26" i="10"/>
  <c r="Q26" i="7"/>
  <c r="I28" i="7"/>
  <c r="AD37" i="17" l="1"/>
  <c r="C209" i="10"/>
  <c r="Z40" i="17"/>
  <c r="N41" i="17"/>
  <c r="S40" i="17"/>
  <c r="T40" i="17" s="1"/>
  <c r="C123" i="10"/>
  <c r="Y38" i="17"/>
  <c r="AA38" i="17" s="1"/>
  <c r="E39" i="17"/>
  <c r="J38" i="17"/>
  <c r="K38" i="17" s="1"/>
  <c r="V38" i="17" s="1"/>
  <c r="AH26" i="7"/>
  <c r="AI26" i="7"/>
  <c r="E29" i="7"/>
  <c r="F29" i="7" s="1"/>
  <c r="B113" i="10"/>
  <c r="Y28" i="7"/>
  <c r="J28" i="7"/>
  <c r="R26" i="7"/>
  <c r="S26" i="7" s="1"/>
  <c r="AB38" i="17" l="1"/>
  <c r="AD38" i="17" s="1"/>
  <c r="F39" i="17"/>
  <c r="H39" i="17" s="1"/>
  <c r="O41" i="17"/>
  <c r="Q41" i="17" s="1"/>
  <c r="AF38" i="17"/>
  <c r="T26" i="7"/>
  <c r="V26" i="7" s="1"/>
  <c r="AF26" i="7"/>
  <c r="N27" i="7"/>
  <c r="O27" i="7" s="1"/>
  <c r="B195" i="10"/>
  <c r="Z26" i="7"/>
  <c r="AA26" i="7" s="1"/>
  <c r="K28" i="7"/>
  <c r="H29" i="7"/>
  <c r="C39" i="10" l="1"/>
  <c r="AI39" i="17"/>
  <c r="AH39" i="17"/>
  <c r="R41" i="17"/>
  <c r="I39" i="17"/>
  <c r="J39" i="17" s="1"/>
  <c r="K39" i="17" s="1"/>
  <c r="V39" i="17" s="1"/>
  <c r="AB26" i="7"/>
  <c r="B27" i="10" s="1"/>
  <c r="Q27" i="7"/>
  <c r="I29" i="7"/>
  <c r="C210" i="10" l="1"/>
  <c r="Z41" i="17"/>
  <c r="N42" i="17"/>
  <c r="S41" i="17"/>
  <c r="T41" i="17" s="1"/>
  <c r="AF39" i="17"/>
  <c r="C124" i="10"/>
  <c r="E40" i="17"/>
  <c r="Y39" i="17"/>
  <c r="AD26" i="7"/>
  <c r="E30" i="7"/>
  <c r="B114" i="10"/>
  <c r="Y29" i="7"/>
  <c r="AI27" i="7"/>
  <c r="AH27" i="7"/>
  <c r="J29" i="7"/>
  <c r="K29" i="7" s="1"/>
  <c r="R27" i="7"/>
  <c r="AA39" i="17" l="1"/>
  <c r="AB39" i="17" s="1"/>
  <c r="F40" i="17"/>
  <c r="H40" i="17" s="1"/>
  <c r="O42" i="17"/>
  <c r="Q42" i="17" s="1"/>
  <c r="R42" i="17" s="1"/>
  <c r="N28" i="7"/>
  <c r="B196" i="10"/>
  <c r="Z27" i="7"/>
  <c r="AA27" i="7" s="1"/>
  <c r="S27" i="7"/>
  <c r="T27" i="7" s="1"/>
  <c r="V27" i="7" s="1"/>
  <c r="F30" i="7"/>
  <c r="AD39" i="17" l="1"/>
  <c r="C40" i="10"/>
  <c r="C211" i="10"/>
  <c r="Z42" i="17"/>
  <c r="N43" i="17"/>
  <c r="S42" i="17"/>
  <c r="T42" i="17" s="1"/>
  <c r="AI40" i="17"/>
  <c r="AH40" i="17"/>
  <c r="I40" i="17"/>
  <c r="AB27" i="7"/>
  <c r="AD27" i="7" s="1"/>
  <c r="AF27" i="7"/>
  <c r="O28" i="7"/>
  <c r="H30" i="7"/>
  <c r="O43" i="17" l="1"/>
  <c r="Q43" i="17" s="1"/>
  <c r="R43" i="17" s="1"/>
  <c r="S43" i="17" s="1"/>
  <c r="T43" i="17" s="1"/>
  <c r="C125" i="10"/>
  <c r="E41" i="17"/>
  <c r="Y40" i="17"/>
  <c r="AA40" i="17" s="1"/>
  <c r="J40" i="17"/>
  <c r="B28" i="10"/>
  <c r="Q28" i="7"/>
  <c r="I30" i="7"/>
  <c r="K40" i="17" l="1"/>
  <c r="V40" i="17" s="1"/>
  <c r="AB40" i="17" s="1"/>
  <c r="AF40" i="17"/>
  <c r="F41" i="17"/>
  <c r="H41" i="17" s="1"/>
  <c r="C212" i="10"/>
  <c r="Z43" i="17"/>
  <c r="N44" i="17"/>
  <c r="E31" i="7"/>
  <c r="B115" i="10"/>
  <c r="Y30" i="7"/>
  <c r="AI28" i="7"/>
  <c r="AH28" i="7"/>
  <c r="J30" i="7"/>
  <c r="K30" i="7" s="1"/>
  <c r="R28" i="7"/>
  <c r="AI41" i="17" l="1"/>
  <c r="AH41" i="17"/>
  <c r="I41" i="17"/>
  <c r="J41" i="17" s="1"/>
  <c r="K41" i="17" s="1"/>
  <c r="V41" i="17" s="1"/>
  <c r="O44" i="17"/>
  <c r="Q44" i="17" s="1"/>
  <c r="AD40" i="17"/>
  <c r="C41" i="10"/>
  <c r="N29" i="7"/>
  <c r="Z28" i="7"/>
  <c r="AA28" i="7" s="1"/>
  <c r="B197" i="10"/>
  <c r="S28" i="7"/>
  <c r="F31" i="7"/>
  <c r="R44" i="17" l="1"/>
  <c r="C126" i="10"/>
  <c r="E42" i="17"/>
  <c r="Y41" i="17"/>
  <c r="AF41" i="17"/>
  <c r="AF28" i="7"/>
  <c r="T28" i="7"/>
  <c r="V28" i="7" s="1"/>
  <c r="AB28" i="7" s="1"/>
  <c r="O29" i="7"/>
  <c r="H31" i="7"/>
  <c r="AA41" i="17" l="1"/>
  <c r="AB41" i="17" s="1"/>
  <c r="F42" i="17"/>
  <c r="H42" i="17" s="1"/>
  <c r="I42" i="17" s="1"/>
  <c r="C213" i="10"/>
  <c r="N45" i="17"/>
  <c r="Z44" i="17"/>
  <c r="S44" i="17"/>
  <c r="T44" i="17" s="1"/>
  <c r="AD28" i="7"/>
  <c r="B19" i="15" s="1"/>
  <c r="B29" i="10"/>
  <c r="Q29" i="7"/>
  <c r="I31" i="7"/>
  <c r="AD41" i="17" l="1"/>
  <c r="C42" i="10"/>
  <c r="C127" i="10"/>
  <c r="Y42" i="17"/>
  <c r="AA42" i="17" s="1"/>
  <c r="E43" i="17"/>
  <c r="J42" i="17"/>
  <c r="K42" i="17" s="1"/>
  <c r="V42" i="17" s="1"/>
  <c r="O45" i="17"/>
  <c r="Q45" i="17" s="1"/>
  <c r="R45" i="17" s="1"/>
  <c r="AI42" i="17"/>
  <c r="AH42" i="17"/>
  <c r="E32" i="7"/>
  <c r="Y31" i="7"/>
  <c r="B116" i="10"/>
  <c r="AI29" i="7"/>
  <c r="AH29" i="7"/>
  <c r="J31" i="7"/>
  <c r="K31" i="7" s="1"/>
  <c r="R29" i="7"/>
  <c r="S29" i="7" s="1"/>
  <c r="T29" i="7" s="1"/>
  <c r="V29" i="7" s="1"/>
  <c r="AF42" i="17" l="1"/>
  <c r="C214" i="10"/>
  <c r="Z45" i="17"/>
  <c r="N46" i="17"/>
  <c r="S45" i="17"/>
  <c r="T45" i="17" s="1"/>
  <c r="AB42" i="17"/>
  <c r="F43" i="17"/>
  <c r="H43" i="17" s="1"/>
  <c r="I43" i="17" s="1"/>
  <c r="N30" i="7"/>
  <c r="Z29" i="7"/>
  <c r="B198" i="10"/>
  <c r="AF29" i="7"/>
  <c r="AA29" i="7" l="1"/>
  <c r="AB29" i="7" s="1"/>
  <c r="AD42" i="17"/>
  <c r="C43" i="10"/>
  <c r="C128" i="10"/>
  <c r="Y43" i="17"/>
  <c r="AA43" i="17" s="1"/>
  <c r="E44" i="17"/>
  <c r="J43" i="17"/>
  <c r="K43" i="17" s="1"/>
  <c r="V43" i="17" s="1"/>
  <c r="O46" i="17"/>
  <c r="Q46" i="17" s="1"/>
  <c r="AI43" i="17"/>
  <c r="AH43" i="17"/>
  <c r="O30" i="7"/>
  <c r="F32" i="7"/>
  <c r="H32" i="7" s="1"/>
  <c r="AB43" i="17" l="1"/>
  <c r="AD43" i="17" s="1"/>
  <c r="AD29" i="7"/>
  <c r="B30" i="10"/>
  <c r="R46" i="17"/>
  <c r="F44" i="17"/>
  <c r="H44" i="17" s="1"/>
  <c r="AF43" i="17"/>
  <c r="Q30" i="7"/>
  <c r="I32" i="7"/>
  <c r="C44" i="10" l="1"/>
  <c r="AI44" i="17"/>
  <c r="AH44" i="17"/>
  <c r="I44" i="17"/>
  <c r="C215" i="10"/>
  <c r="N47" i="17"/>
  <c r="Z46" i="17"/>
  <c r="S46" i="17"/>
  <c r="T46" i="17" s="1"/>
  <c r="E33" i="7"/>
  <c r="Y32" i="7"/>
  <c r="B117" i="10"/>
  <c r="AH30" i="7"/>
  <c r="AI30" i="7"/>
  <c r="J32" i="7"/>
  <c r="K32" i="7" s="1"/>
  <c r="R30" i="7"/>
  <c r="C129" i="10" l="1"/>
  <c r="E45" i="17"/>
  <c r="Y44" i="17"/>
  <c r="AA44" i="17" s="1"/>
  <c r="J44" i="17"/>
  <c r="K44" i="17" s="1"/>
  <c r="V44" i="17" s="1"/>
  <c r="O47" i="17"/>
  <c r="Q47" i="17" s="1"/>
  <c r="N31" i="7"/>
  <c r="Z30" i="7"/>
  <c r="AA30" i="7" s="1"/>
  <c r="B199" i="10"/>
  <c r="S30" i="7"/>
  <c r="AB44" i="17" l="1"/>
  <c r="AD44" i="17" s="1"/>
  <c r="AF44" i="17"/>
  <c r="R47" i="17"/>
  <c r="F45" i="17"/>
  <c r="H45" i="17" s="1"/>
  <c r="AF30" i="7"/>
  <c r="T30" i="7"/>
  <c r="V30" i="7" s="1"/>
  <c r="AB30" i="7" s="1"/>
  <c r="O31" i="7"/>
  <c r="C45" i="10" l="1"/>
  <c r="AH45" i="17"/>
  <c r="AI45" i="17"/>
  <c r="I45" i="17"/>
  <c r="C216" i="10"/>
  <c r="N48" i="17"/>
  <c r="Z47" i="17"/>
  <c r="S47" i="17"/>
  <c r="T47" i="17" s="1"/>
  <c r="B31" i="10"/>
  <c r="AD30" i="7"/>
  <c r="Q31" i="7"/>
  <c r="F33" i="7"/>
  <c r="O48" i="17" l="1"/>
  <c r="Q48" i="17" s="1"/>
  <c r="C130" i="10"/>
  <c r="Y45" i="17"/>
  <c r="AA45" i="17" s="1"/>
  <c r="E46" i="17"/>
  <c r="J45" i="17"/>
  <c r="K45" i="17" s="1"/>
  <c r="V45" i="17" s="1"/>
  <c r="AI31" i="7"/>
  <c r="AH31" i="7"/>
  <c r="R31" i="7"/>
  <c r="H33" i="7"/>
  <c r="AB45" i="17" l="1"/>
  <c r="AD45" i="17" s="1"/>
  <c r="F46" i="17"/>
  <c r="H46" i="17" s="1"/>
  <c r="R48" i="17"/>
  <c r="AF45" i="17"/>
  <c r="N32" i="7"/>
  <c r="Z31" i="7"/>
  <c r="AA31" i="7" s="1"/>
  <c r="B200" i="10"/>
  <c r="S31" i="7"/>
  <c r="T31" i="7" s="1"/>
  <c r="V31" i="7" s="1"/>
  <c r="I33" i="7"/>
  <c r="C46" i="10" l="1"/>
  <c r="AF31" i="7"/>
  <c r="C217" i="10"/>
  <c r="N49" i="17"/>
  <c r="Z48" i="17"/>
  <c r="S48" i="17"/>
  <c r="T48" i="17" s="1"/>
  <c r="AH46" i="17"/>
  <c r="AI46" i="17"/>
  <c r="I46" i="17"/>
  <c r="AB31" i="7"/>
  <c r="AD31" i="7" s="1"/>
  <c r="E34" i="7"/>
  <c r="Y33" i="7"/>
  <c r="B118" i="10"/>
  <c r="J33" i="7"/>
  <c r="K33" i="7" s="1"/>
  <c r="O32" i="7"/>
  <c r="B32" i="10" l="1"/>
  <c r="O49" i="17"/>
  <c r="Q49" i="17" s="1"/>
  <c r="C131" i="10"/>
  <c r="Y46" i="17"/>
  <c r="AA46" i="17" s="1"/>
  <c r="E47" i="17"/>
  <c r="J46" i="17"/>
  <c r="Q32" i="7"/>
  <c r="AF46" i="17" l="1"/>
  <c r="K46" i="17"/>
  <c r="V46" i="17" s="1"/>
  <c r="AB46" i="17" s="1"/>
  <c r="F47" i="17"/>
  <c r="H47" i="17" s="1"/>
  <c r="R49" i="17"/>
  <c r="AI32" i="7"/>
  <c r="AH32" i="7"/>
  <c r="R32" i="7"/>
  <c r="F34" i="7"/>
  <c r="H34" i="7" s="1"/>
  <c r="AI47" i="17" l="1"/>
  <c r="AH47" i="17"/>
  <c r="I47" i="17"/>
  <c r="AD46" i="17"/>
  <c r="C47" i="10"/>
  <c r="C218" i="10"/>
  <c r="Z49" i="17"/>
  <c r="N50" i="17"/>
  <c r="S49" i="17"/>
  <c r="T49" i="17" s="1"/>
  <c r="N33" i="7"/>
  <c r="B201" i="10"/>
  <c r="Z32" i="7"/>
  <c r="AA32" i="7" s="1"/>
  <c r="S32" i="7"/>
  <c r="T32" i="7" s="1"/>
  <c r="V32" i="7" s="1"/>
  <c r="I34" i="7"/>
  <c r="C132" i="10" l="1"/>
  <c r="Y47" i="17"/>
  <c r="AA47" i="17" s="1"/>
  <c r="E48" i="17"/>
  <c r="J47" i="17"/>
  <c r="K47" i="17" s="1"/>
  <c r="V47" i="17" s="1"/>
  <c r="O50" i="17"/>
  <c r="Q50" i="17" s="1"/>
  <c r="R50" i="17" s="1"/>
  <c r="AB32" i="7"/>
  <c r="AD32" i="7" s="1"/>
  <c r="E35" i="7"/>
  <c r="Y34" i="7"/>
  <c r="B119" i="10"/>
  <c r="AF32" i="7"/>
  <c r="J34" i="7"/>
  <c r="K34" i="7" s="1"/>
  <c r="O33" i="7"/>
  <c r="AB47" i="17" l="1"/>
  <c r="AD47" i="17" s="1"/>
  <c r="C219" i="10"/>
  <c r="Z50" i="17"/>
  <c r="N51" i="17"/>
  <c r="S50" i="17"/>
  <c r="T50" i="17" s="1"/>
  <c r="F48" i="17"/>
  <c r="H48" i="17" s="1"/>
  <c r="AF47" i="17"/>
  <c r="B33" i="10"/>
  <c r="Q33" i="7"/>
  <c r="C48" i="10" l="1"/>
  <c r="I48" i="17"/>
  <c r="J48" i="17" s="1"/>
  <c r="O51" i="17"/>
  <c r="Q51" i="17" s="1"/>
  <c r="AI48" i="17"/>
  <c r="AH48" i="17"/>
  <c r="AI33" i="7"/>
  <c r="AH33" i="7"/>
  <c r="R33" i="7"/>
  <c r="C133" i="10" l="1"/>
  <c r="Y48" i="17"/>
  <c r="AA48" i="17" s="1"/>
  <c r="E49" i="17"/>
  <c r="F49" i="17" s="1"/>
  <c r="H49" i="17" s="1"/>
  <c r="I49" i="17" s="1"/>
  <c r="K48" i="17"/>
  <c r="V48" i="17" s="1"/>
  <c r="AF48" i="17"/>
  <c r="R51" i="17"/>
  <c r="S51" i="17" s="1"/>
  <c r="T51" i="17" s="1"/>
  <c r="S33" i="7"/>
  <c r="T33" i="7" s="1"/>
  <c r="V33" i="7" s="1"/>
  <c r="N34" i="7"/>
  <c r="O34" i="7" s="1"/>
  <c r="B202" i="10"/>
  <c r="Z33" i="7"/>
  <c r="AA33" i="7" s="1"/>
  <c r="F35" i="7"/>
  <c r="H35" i="7" s="1"/>
  <c r="AB48" i="17" l="1"/>
  <c r="AD48" i="17" s="1"/>
  <c r="C134" i="10"/>
  <c r="E50" i="17"/>
  <c r="Y49" i="17"/>
  <c r="AA49" i="17" s="1"/>
  <c r="C220" i="10"/>
  <c r="Z51" i="17"/>
  <c r="N52" i="17"/>
  <c r="J49" i="17"/>
  <c r="K49" i="17" s="1"/>
  <c r="V49" i="17" s="1"/>
  <c r="AI49" i="17"/>
  <c r="AH49" i="17"/>
  <c r="AB33" i="7"/>
  <c r="B34" i="10" s="1"/>
  <c r="AF33" i="7"/>
  <c r="Q34" i="7"/>
  <c r="I35" i="7"/>
  <c r="C49" i="10" l="1"/>
  <c r="AB49" i="17"/>
  <c r="C50" i="10" s="1"/>
  <c r="O52" i="17"/>
  <c r="Q52" i="17" s="1"/>
  <c r="F50" i="17"/>
  <c r="H50" i="17" s="1"/>
  <c r="AF49" i="17"/>
  <c r="AD33" i="7"/>
  <c r="E36" i="7"/>
  <c r="B120" i="10"/>
  <c r="Y35" i="7"/>
  <c r="AI34" i="7"/>
  <c r="AH34" i="7"/>
  <c r="J35" i="7"/>
  <c r="K35" i="7" s="1"/>
  <c r="R34" i="7"/>
  <c r="AD49" i="17" l="1"/>
  <c r="AH50" i="17"/>
  <c r="AI50" i="17"/>
  <c r="I50" i="17"/>
  <c r="R52" i="17"/>
  <c r="S34" i="7"/>
  <c r="T34" i="7" s="1"/>
  <c r="V34" i="7" s="1"/>
  <c r="N35" i="7"/>
  <c r="B203" i="10"/>
  <c r="Z34" i="7"/>
  <c r="AA34" i="7" s="1"/>
  <c r="C221" i="10" l="1"/>
  <c r="Z52" i="17"/>
  <c r="N53" i="17"/>
  <c r="S52" i="17"/>
  <c r="T52" i="17" s="1"/>
  <c r="C135" i="10"/>
  <c r="Y50" i="17"/>
  <c r="AA50" i="17" s="1"/>
  <c r="E51" i="17"/>
  <c r="J50" i="17"/>
  <c r="K50" i="17" s="1"/>
  <c r="V50" i="17" s="1"/>
  <c r="AB34" i="7"/>
  <c r="AD34" i="7" s="1"/>
  <c r="AF34" i="7"/>
  <c r="O35" i="7"/>
  <c r="AB50" i="17" l="1"/>
  <c r="AD50" i="17" s="1"/>
  <c r="F51" i="17"/>
  <c r="H51" i="17" s="1"/>
  <c r="O53" i="17"/>
  <c r="Q53" i="17" s="1"/>
  <c r="AF50" i="17"/>
  <c r="B35" i="10"/>
  <c r="Q35" i="7"/>
  <c r="F36" i="7"/>
  <c r="C51" i="10" l="1"/>
  <c r="R53" i="17"/>
  <c r="AI51" i="17"/>
  <c r="AH51" i="17"/>
  <c r="I51" i="17"/>
  <c r="J51" i="17" s="1"/>
  <c r="K51" i="17" s="1"/>
  <c r="V51" i="17" s="1"/>
  <c r="AI35" i="7"/>
  <c r="AH35" i="7"/>
  <c r="R35" i="7"/>
  <c r="H36" i="7"/>
  <c r="AF51" i="17" l="1"/>
  <c r="C222" i="10"/>
  <c r="Z53" i="17"/>
  <c r="N54" i="17"/>
  <c r="S53" i="17"/>
  <c r="T53" i="17" s="1"/>
  <c r="C136" i="10"/>
  <c r="E52" i="17"/>
  <c r="Y51" i="17"/>
  <c r="N36" i="7"/>
  <c r="B204" i="10"/>
  <c r="Z35" i="7"/>
  <c r="AA35" i="7" s="1"/>
  <c r="S35" i="7"/>
  <c r="T35" i="7" s="1"/>
  <c r="V35" i="7" s="1"/>
  <c r="I36" i="7"/>
  <c r="AF35" i="7" l="1"/>
  <c r="AA51" i="17"/>
  <c r="AB51" i="17" s="1"/>
  <c r="F52" i="17"/>
  <c r="H52" i="17" s="1"/>
  <c r="O54" i="17"/>
  <c r="Q54" i="17" s="1"/>
  <c r="AB35" i="7"/>
  <c r="B36" i="10" s="1"/>
  <c r="E37" i="7"/>
  <c r="B121" i="10"/>
  <c r="Y36" i="7"/>
  <c r="J36" i="7"/>
  <c r="K36" i="7" s="1"/>
  <c r="O36" i="7"/>
  <c r="C52" i="10" l="1"/>
  <c r="AD51" i="17"/>
  <c r="R54" i="17"/>
  <c r="AH52" i="17"/>
  <c r="AI52" i="17"/>
  <c r="I52" i="17"/>
  <c r="J52" i="17" s="1"/>
  <c r="K52" i="17" s="1"/>
  <c r="V52" i="17" s="1"/>
  <c r="AD35" i="7"/>
  <c r="Q36" i="7"/>
  <c r="C223" i="10" l="1"/>
  <c r="N55" i="17"/>
  <c r="Z54" i="17"/>
  <c r="AF52" i="17"/>
  <c r="S54" i="17"/>
  <c r="T54" i="17" s="1"/>
  <c r="C137" i="10"/>
  <c r="E53" i="17"/>
  <c r="Y52" i="17"/>
  <c r="AI36" i="7"/>
  <c r="AH36" i="7"/>
  <c r="R36" i="7"/>
  <c r="F37" i="7"/>
  <c r="AA52" i="17" l="1"/>
  <c r="AB52" i="17" s="1"/>
  <c r="F53" i="17"/>
  <c r="H53" i="17" s="1"/>
  <c r="O55" i="17"/>
  <c r="Q55" i="17" s="1"/>
  <c r="N37" i="7"/>
  <c r="Z36" i="7"/>
  <c r="AA36" i="7" s="1"/>
  <c r="B205" i="10"/>
  <c r="S36" i="7"/>
  <c r="T36" i="7" s="1"/>
  <c r="V36" i="7" s="1"/>
  <c r="H37" i="7"/>
  <c r="AD52" i="17" l="1"/>
  <c r="C53" i="10"/>
  <c r="AF36" i="7"/>
  <c r="R55" i="17"/>
  <c r="S55" i="17" s="1"/>
  <c r="T55" i="17" s="1"/>
  <c r="AH53" i="17"/>
  <c r="AI53" i="17"/>
  <c r="I53" i="17"/>
  <c r="AB36" i="7"/>
  <c r="AD36" i="7" s="1"/>
  <c r="O37" i="7"/>
  <c r="I37" i="7"/>
  <c r="B37" i="10" l="1"/>
  <c r="C224" i="10"/>
  <c r="Z55" i="17"/>
  <c r="N56" i="17"/>
  <c r="C138" i="10"/>
  <c r="Y53" i="17"/>
  <c r="AA53" i="17" s="1"/>
  <c r="E54" i="17"/>
  <c r="J53" i="17"/>
  <c r="E38" i="7"/>
  <c r="B122" i="10"/>
  <c r="Y37" i="7"/>
  <c r="J37" i="7"/>
  <c r="Q37" i="7"/>
  <c r="K53" i="17" l="1"/>
  <c r="V53" i="17" s="1"/>
  <c r="AB53" i="17" s="1"/>
  <c r="AF53" i="17"/>
  <c r="F54" i="17"/>
  <c r="H54" i="17" s="1"/>
  <c r="O56" i="17"/>
  <c r="Q56" i="17" s="1"/>
  <c r="AI37" i="7"/>
  <c r="AH37" i="7"/>
  <c r="K37" i="7"/>
  <c r="R37" i="7"/>
  <c r="R56" i="17" l="1"/>
  <c r="AH54" i="17"/>
  <c r="AI54" i="17"/>
  <c r="I54" i="17"/>
  <c r="J54" i="17" s="1"/>
  <c r="K54" i="17" s="1"/>
  <c r="V54" i="17" s="1"/>
  <c r="AD53" i="17"/>
  <c r="C54" i="10"/>
  <c r="N38" i="7"/>
  <c r="O38" i="7" s="1"/>
  <c r="Z37" i="7"/>
  <c r="AA37" i="7" s="1"/>
  <c r="B206" i="10"/>
  <c r="S37" i="7"/>
  <c r="T37" i="7" s="1"/>
  <c r="V37" i="7" s="1"/>
  <c r="F38" i="7"/>
  <c r="H38" i="7" s="1"/>
  <c r="AF54" i="17" l="1"/>
  <c r="C225" i="10"/>
  <c r="Z56" i="17"/>
  <c r="N57" i="17"/>
  <c r="S56" i="17"/>
  <c r="T56" i="17" s="1"/>
  <c r="C139" i="10"/>
  <c r="E55" i="17"/>
  <c r="Y54" i="17"/>
  <c r="AF37" i="7"/>
  <c r="AB37" i="7"/>
  <c r="B38" i="10" s="1"/>
  <c r="Q38" i="7"/>
  <c r="I38" i="7"/>
  <c r="AA54" i="17" l="1"/>
  <c r="AB54" i="17" s="1"/>
  <c r="O57" i="17"/>
  <c r="Q57" i="17" s="1"/>
  <c r="R57" i="17" s="1"/>
  <c r="F55" i="17"/>
  <c r="H55" i="17" s="1"/>
  <c r="AD37" i="7"/>
  <c r="E39" i="7"/>
  <c r="B123" i="10"/>
  <c r="Y38" i="7"/>
  <c r="AI38" i="7"/>
  <c r="AH38" i="7"/>
  <c r="J38" i="7"/>
  <c r="K38" i="7" s="1"/>
  <c r="R38" i="7"/>
  <c r="AD54" i="17" l="1"/>
  <c r="C55" i="10"/>
  <c r="C226" i="10"/>
  <c r="N58" i="17"/>
  <c r="Z57" i="17"/>
  <c r="AI55" i="17"/>
  <c r="AH55" i="17"/>
  <c r="I55" i="17"/>
  <c r="S57" i="17"/>
  <c r="T57" i="17" s="1"/>
  <c r="N39" i="7"/>
  <c r="B207" i="10"/>
  <c r="Z38" i="7"/>
  <c r="AA38" i="7" s="1"/>
  <c r="S38" i="7"/>
  <c r="T38" i="7" s="1"/>
  <c r="V38" i="7" s="1"/>
  <c r="F39" i="7"/>
  <c r="C140" i="10" l="1"/>
  <c r="E56" i="17"/>
  <c r="Y55" i="17"/>
  <c r="AA55" i="17" s="1"/>
  <c r="J55" i="17"/>
  <c r="K55" i="17" s="1"/>
  <c r="V55" i="17" s="1"/>
  <c r="O58" i="17"/>
  <c r="Q58" i="17" s="1"/>
  <c r="R58" i="17" s="1"/>
  <c r="AF38" i="7"/>
  <c r="O39" i="7"/>
  <c r="H39" i="7"/>
  <c r="AB38" i="7"/>
  <c r="B39" i="10" s="1"/>
  <c r="AF55" i="17" l="1"/>
  <c r="AB55" i="17"/>
  <c r="C56" i="10" s="1"/>
  <c r="C227" i="10"/>
  <c r="N59" i="17"/>
  <c r="Z58" i="17"/>
  <c r="F56" i="17"/>
  <c r="H56" i="17" s="1"/>
  <c r="S58" i="17"/>
  <c r="T58" i="17" s="1"/>
  <c r="Q39" i="7"/>
  <c r="I39" i="7"/>
  <c r="AD38" i="7"/>
  <c r="AD55" i="17" l="1"/>
  <c r="AI56" i="17"/>
  <c r="AH56" i="17"/>
  <c r="I56" i="17"/>
  <c r="O59" i="17"/>
  <c r="Q59" i="17" s="1"/>
  <c r="E40" i="7"/>
  <c r="B124" i="10"/>
  <c r="Y39" i="7"/>
  <c r="AI39" i="7"/>
  <c r="AH39" i="7"/>
  <c r="J39" i="7"/>
  <c r="K39" i="7" s="1"/>
  <c r="R39" i="7"/>
  <c r="S39" i="7" s="1"/>
  <c r="R59" i="17" l="1"/>
  <c r="C141" i="10"/>
  <c r="Y56" i="17"/>
  <c r="AA56" i="17" s="1"/>
  <c r="E57" i="17"/>
  <c r="J56" i="17"/>
  <c r="K56" i="17" s="1"/>
  <c r="V56" i="17" s="1"/>
  <c r="T39" i="7"/>
  <c r="V39" i="7" s="1"/>
  <c r="AF39" i="7"/>
  <c r="N40" i="7"/>
  <c r="O40" i="7" s="1"/>
  <c r="B208" i="10"/>
  <c r="Z39" i="7"/>
  <c r="AA39" i="7" s="1"/>
  <c r="AF56" i="17" l="1"/>
  <c r="F57" i="17"/>
  <c r="H57" i="17" s="1"/>
  <c r="I57" i="17" s="1"/>
  <c r="J57" i="17" s="1"/>
  <c r="K57" i="17" s="1"/>
  <c r="V57" i="17" s="1"/>
  <c r="C228" i="10"/>
  <c r="Z59" i="17"/>
  <c r="N60" i="17"/>
  <c r="S59" i="17"/>
  <c r="T59" i="17" s="1"/>
  <c r="AB56" i="17"/>
  <c r="Q40" i="7"/>
  <c r="F40" i="7"/>
  <c r="AB39" i="7"/>
  <c r="C57" i="10" l="1"/>
  <c r="AD56" i="17"/>
  <c r="O60" i="17"/>
  <c r="Q60" i="17" s="1"/>
  <c r="AF57" i="17"/>
  <c r="AH57" i="17"/>
  <c r="AI57" i="17"/>
  <c r="C142" i="10"/>
  <c r="Y57" i="17"/>
  <c r="E58" i="17"/>
  <c r="R40" i="7"/>
  <c r="H40" i="7"/>
  <c r="I40" i="7" s="1"/>
  <c r="B40" i="10"/>
  <c r="AD39" i="7"/>
  <c r="AA57" i="17" l="1"/>
  <c r="AB57" i="17" s="1"/>
  <c r="F58" i="17"/>
  <c r="H58" i="17" s="1"/>
  <c r="I58" i="17" s="1"/>
  <c r="R60" i="17"/>
  <c r="N41" i="7"/>
  <c r="O41" i="7" s="1"/>
  <c r="B209" i="10"/>
  <c r="Z40" i="7"/>
  <c r="S40" i="7"/>
  <c r="T40" i="7" s="1"/>
  <c r="AI40" i="7"/>
  <c r="E41" i="7"/>
  <c r="B125" i="10"/>
  <c r="Y40" i="7"/>
  <c r="AH40" i="7"/>
  <c r="J40" i="7"/>
  <c r="K40" i="7" s="1"/>
  <c r="AA40" i="7" l="1"/>
  <c r="AD57" i="17"/>
  <c r="C58" i="10"/>
  <c r="C143" i="10"/>
  <c r="Y58" i="17"/>
  <c r="AA58" i="17" s="1"/>
  <c r="E59" i="17"/>
  <c r="J58" i="17"/>
  <c r="K58" i="17" s="1"/>
  <c r="V58" i="17" s="1"/>
  <c r="AB58" i="17" s="1"/>
  <c r="C229" i="10"/>
  <c r="N61" i="17"/>
  <c r="Z60" i="17"/>
  <c r="AH58" i="17"/>
  <c r="AI58" i="17"/>
  <c r="S60" i="17"/>
  <c r="T60" i="17" s="1"/>
  <c r="AF40" i="7"/>
  <c r="Q41" i="7"/>
  <c r="AF58" i="17" l="1"/>
  <c r="O61" i="17"/>
  <c r="Q61" i="17" s="1"/>
  <c r="AD58" i="17"/>
  <c r="C59" i="10"/>
  <c r="F59" i="17"/>
  <c r="H59" i="17" s="1"/>
  <c r="R41" i="7"/>
  <c r="V40" i="7"/>
  <c r="AH59" i="17" l="1"/>
  <c r="AI59" i="17"/>
  <c r="I59" i="17"/>
  <c r="R61" i="17"/>
  <c r="S61" i="17" s="1"/>
  <c r="T61" i="17" s="1"/>
  <c r="N42" i="7"/>
  <c r="O42" i="7" s="1"/>
  <c r="B210" i="10"/>
  <c r="Z41" i="7"/>
  <c r="S41" i="7"/>
  <c r="T41" i="7" s="1"/>
  <c r="F41" i="7"/>
  <c r="AB40" i="7"/>
  <c r="C230" i="10" l="1"/>
  <c r="N62" i="17"/>
  <c r="Z61" i="17"/>
  <c r="C144" i="10"/>
  <c r="Y59" i="17"/>
  <c r="AA59" i="17" s="1"/>
  <c r="E60" i="17"/>
  <c r="J59" i="17"/>
  <c r="K59" i="17" s="1"/>
  <c r="V59" i="17" s="1"/>
  <c r="Q42" i="7"/>
  <c r="H41" i="7"/>
  <c r="B41" i="10"/>
  <c r="AD40" i="7"/>
  <c r="AF59" i="17" l="1"/>
  <c r="F60" i="17"/>
  <c r="H60" i="17" s="1"/>
  <c r="O62" i="17"/>
  <c r="Q62" i="17" s="1"/>
  <c r="AB59" i="17"/>
  <c r="AH41" i="7"/>
  <c r="AI41" i="7"/>
  <c r="R42" i="7"/>
  <c r="S42" i="7" s="1"/>
  <c r="T42" i="7" s="1"/>
  <c r="I41" i="7"/>
  <c r="AD59" i="17" l="1"/>
  <c r="C60" i="10"/>
  <c r="R62" i="17"/>
  <c r="AI60" i="17"/>
  <c r="AH60" i="17"/>
  <c r="I60" i="17"/>
  <c r="E42" i="7"/>
  <c r="B126" i="10"/>
  <c r="Y41" i="7"/>
  <c r="AA41" i="7" s="1"/>
  <c r="N43" i="7"/>
  <c r="B211" i="10"/>
  <c r="Z42" i="7"/>
  <c r="J41" i="7"/>
  <c r="K41" i="7" s="1"/>
  <c r="C231" i="10" l="1"/>
  <c r="Z62" i="17"/>
  <c r="N63" i="17"/>
  <c r="S62" i="17"/>
  <c r="T62" i="17" s="1"/>
  <c r="C145" i="10"/>
  <c r="Y60" i="17"/>
  <c r="AA60" i="17" s="1"/>
  <c r="E61" i="17"/>
  <c r="J60" i="17"/>
  <c r="AF41" i="7"/>
  <c r="O43" i="7"/>
  <c r="Q43" i="7" s="1"/>
  <c r="V41" i="7"/>
  <c r="K60" i="17" l="1"/>
  <c r="V60" i="17" s="1"/>
  <c r="AB60" i="17" s="1"/>
  <c r="AF60" i="17"/>
  <c r="F61" i="17"/>
  <c r="H61" i="17" s="1"/>
  <c r="O63" i="17"/>
  <c r="Q63" i="17" s="1"/>
  <c r="R43" i="7"/>
  <c r="F42" i="7"/>
  <c r="AB41" i="7"/>
  <c r="AH61" i="17" l="1"/>
  <c r="AI61" i="17"/>
  <c r="I61" i="17"/>
  <c r="R63" i="17"/>
  <c r="AD60" i="17"/>
  <c r="C61" i="10"/>
  <c r="N44" i="7"/>
  <c r="B212" i="10"/>
  <c r="Z43" i="7"/>
  <c r="S43" i="7"/>
  <c r="T43" i="7" s="1"/>
  <c r="H42" i="7"/>
  <c r="AD41" i="7"/>
  <c r="B42" i="10"/>
  <c r="C232" i="10" l="1"/>
  <c r="N64" i="17"/>
  <c r="Z63" i="17"/>
  <c r="S63" i="17"/>
  <c r="T63" i="17" s="1"/>
  <c r="C146" i="10"/>
  <c r="Y61" i="17"/>
  <c r="AA61" i="17" s="1"/>
  <c r="E62" i="17"/>
  <c r="J61" i="17"/>
  <c r="K61" i="17" s="1"/>
  <c r="V61" i="17" s="1"/>
  <c r="I42" i="7"/>
  <c r="J42" i="7" s="1"/>
  <c r="K42" i="7" s="1"/>
  <c r="AI42" i="7"/>
  <c r="AH42" i="7"/>
  <c r="O44" i="7"/>
  <c r="AB61" i="17" l="1"/>
  <c r="AD61" i="17" s="1"/>
  <c r="F62" i="17"/>
  <c r="H62" i="17" s="1"/>
  <c r="O64" i="17"/>
  <c r="Q64" i="17" s="1"/>
  <c r="AF61" i="17"/>
  <c r="AF42" i="7"/>
  <c r="E43" i="7"/>
  <c r="Y42" i="7"/>
  <c r="AA42" i="7" s="1"/>
  <c r="B127" i="10"/>
  <c r="Q44" i="7"/>
  <c r="C62" i="10" l="1"/>
  <c r="AH62" i="17"/>
  <c r="AI62" i="17"/>
  <c r="R64" i="17"/>
  <c r="I62" i="17"/>
  <c r="J62" i="17" s="1"/>
  <c r="K62" i="17" s="1"/>
  <c r="V62" i="17" s="1"/>
  <c r="R44" i="7"/>
  <c r="S44" i="7" s="1"/>
  <c r="T44" i="7" s="1"/>
  <c r="V42" i="7"/>
  <c r="C233" i="10" l="1"/>
  <c r="N65" i="17"/>
  <c r="Z64" i="17"/>
  <c r="S64" i="17"/>
  <c r="T64" i="17" s="1"/>
  <c r="C147" i="10"/>
  <c r="Y62" i="17"/>
  <c r="E63" i="17"/>
  <c r="AF62" i="17"/>
  <c r="N45" i="7"/>
  <c r="Z44" i="7"/>
  <c r="B213" i="10"/>
  <c r="F43" i="7"/>
  <c r="AB42" i="7"/>
  <c r="AA62" i="17" l="1"/>
  <c r="AB62" i="17" s="1"/>
  <c r="F63" i="17"/>
  <c r="H63" i="17" s="1"/>
  <c r="O65" i="17"/>
  <c r="Q65" i="17" s="1"/>
  <c r="O45" i="7"/>
  <c r="H43" i="7"/>
  <c r="AD42" i="7"/>
  <c r="B43" i="10"/>
  <c r="AD62" i="17" l="1"/>
  <c r="C63" i="10"/>
  <c r="R65" i="17"/>
  <c r="AI63" i="17"/>
  <c r="AH63" i="17"/>
  <c r="I63" i="17"/>
  <c r="AI43" i="7"/>
  <c r="AH43" i="7"/>
  <c r="Q45" i="7"/>
  <c r="I43" i="7"/>
  <c r="C234" i="10" l="1"/>
  <c r="Z65" i="17"/>
  <c r="N66" i="17"/>
  <c r="S65" i="17"/>
  <c r="T65" i="17" s="1"/>
  <c r="C148" i="10"/>
  <c r="E64" i="17"/>
  <c r="Y63" i="17"/>
  <c r="AA63" i="17" s="1"/>
  <c r="J63" i="17"/>
  <c r="K63" i="17" s="1"/>
  <c r="V63" i="17" s="1"/>
  <c r="E44" i="7"/>
  <c r="B128" i="10"/>
  <c r="Y43" i="7"/>
  <c r="AA43" i="7" s="1"/>
  <c r="J43" i="7"/>
  <c r="K43" i="7" s="1"/>
  <c r="R45" i="7"/>
  <c r="S45" i="7" s="1"/>
  <c r="T45" i="7" s="1"/>
  <c r="AB63" i="17" l="1"/>
  <c r="C64" i="10" s="1"/>
  <c r="AF63" i="17"/>
  <c r="F64" i="17"/>
  <c r="H64" i="17" s="1"/>
  <c r="I64" i="17" s="1"/>
  <c r="O66" i="17"/>
  <c r="Q66" i="17" s="1"/>
  <c r="AF43" i="7"/>
  <c r="N46" i="7"/>
  <c r="Z45" i="7"/>
  <c r="B214" i="10"/>
  <c r="V43" i="7"/>
  <c r="AD63" i="17" l="1"/>
  <c r="C149" i="10"/>
  <c r="E65" i="17"/>
  <c r="Y64" i="17"/>
  <c r="AA64" i="17" s="1"/>
  <c r="AH64" i="17"/>
  <c r="AI64" i="17"/>
  <c r="R66" i="17"/>
  <c r="S66" i="17" s="1"/>
  <c r="T66" i="17" s="1"/>
  <c r="J64" i="17"/>
  <c r="K64" i="17" s="1"/>
  <c r="V64" i="17" s="1"/>
  <c r="O46" i="7"/>
  <c r="F44" i="7"/>
  <c r="AB43" i="7"/>
  <c r="AF64" i="17" l="1"/>
  <c r="AB64" i="17"/>
  <c r="F65" i="17"/>
  <c r="H65" i="17" s="1"/>
  <c r="I65" i="17" s="1"/>
  <c r="J65" i="17" s="1"/>
  <c r="K65" i="17" s="1"/>
  <c r="V65" i="17" s="1"/>
  <c r="C235" i="10"/>
  <c r="N67" i="17"/>
  <c r="Z66" i="17"/>
  <c r="Q46" i="7"/>
  <c r="H44" i="7"/>
  <c r="B44" i="10"/>
  <c r="AD43" i="7"/>
  <c r="O67" i="17" l="1"/>
  <c r="Q67" i="17" s="1"/>
  <c r="AF65" i="17"/>
  <c r="AI65" i="17"/>
  <c r="AH65" i="17"/>
  <c r="C150" i="10"/>
  <c r="E66" i="17"/>
  <c r="Y65" i="17"/>
  <c r="AD64" i="17"/>
  <c r="C65" i="10"/>
  <c r="AI44" i="7"/>
  <c r="AH44" i="7"/>
  <c r="R46" i="7"/>
  <c r="S46" i="7" s="1"/>
  <c r="T46" i="7" s="1"/>
  <c r="I44" i="7"/>
  <c r="AA65" i="17" l="1"/>
  <c r="AB65" i="17" s="1"/>
  <c r="R67" i="17"/>
  <c r="F66" i="17"/>
  <c r="H66" i="17" s="1"/>
  <c r="E45" i="7"/>
  <c r="B129" i="10"/>
  <c r="Y44" i="7"/>
  <c r="AA44" i="7" s="1"/>
  <c r="N47" i="7"/>
  <c r="B215" i="10"/>
  <c r="Z46" i="7"/>
  <c r="J44" i="7"/>
  <c r="K44" i="7" s="1"/>
  <c r="AD65" i="17" l="1"/>
  <c r="C66" i="10"/>
  <c r="I66" i="17"/>
  <c r="J66" i="17" s="1"/>
  <c r="C236" i="10"/>
  <c r="N68" i="17"/>
  <c r="Z67" i="17"/>
  <c r="S67" i="17"/>
  <c r="T67" i="17" s="1"/>
  <c r="AH66" i="17"/>
  <c r="AI66" i="17"/>
  <c r="AF44" i="7"/>
  <c r="O47" i="7"/>
  <c r="V44" i="7"/>
  <c r="Y66" i="17" l="1"/>
  <c r="AA66" i="17" s="1"/>
  <c r="E67" i="17"/>
  <c r="F67" i="17" s="1"/>
  <c r="H67" i="17" s="1"/>
  <c r="I67" i="17" s="1"/>
  <c r="C151" i="10"/>
  <c r="K66" i="17"/>
  <c r="V66" i="17" s="1"/>
  <c r="AF66" i="17"/>
  <c r="O68" i="17"/>
  <c r="Q68" i="17" s="1"/>
  <c r="Q47" i="7"/>
  <c r="F45" i="7"/>
  <c r="AB44" i="7"/>
  <c r="AB66" i="17" l="1"/>
  <c r="AD66" i="17" s="1"/>
  <c r="C152" i="10"/>
  <c r="E68" i="17"/>
  <c r="Y67" i="17"/>
  <c r="AA67" i="17" s="1"/>
  <c r="R68" i="17"/>
  <c r="AI67" i="17"/>
  <c r="AH67" i="17"/>
  <c r="J67" i="17"/>
  <c r="K67" i="17" s="1"/>
  <c r="V67" i="17" s="1"/>
  <c r="AB67" i="17" s="1"/>
  <c r="R47" i="7"/>
  <c r="H45" i="7"/>
  <c r="B45" i="10"/>
  <c r="AD44" i="7"/>
  <c r="C67" i="10" l="1"/>
  <c r="AF67" i="17"/>
  <c r="AD67" i="17"/>
  <c r="C68" i="10"/>
  <c r="F68" i="17"/>
  <c r="H68" i="17" s="1"/>
  <c r="C237" i="10"/>
  <c r="N69" i="17"/>
  <c r="Z68" i="17"/>
  <c r="S68" i="17"/>
  <c r="T68" i="17" s="1"/>
  <c r="AI45" i="7"/>
  <c r="AH45" i="7"/>
  <c r="N48" i="7"/>
  <c r="B216" i="10"/>
  <c r="Z47" i="7"/>
  <c r="S47" i="7"/>
  <c r="T47" i="7" s="1"/>
  <c r="I45" i="7"/>
  <c r="O69" i="17" l="1"/>
  <c r="Q69" i="17" s="1"/>
  <c r="R69" i="17" s="1"/>
  <c r="AH68" i="17"/>
  <c r="AI68" i="17"/>
  <c r="I68" i="17"/>
  <c r="E46" i="7"/>
  <c r="B130" i="10"/>
  <c r="Y45" i="7"/>
  <c r="AA45" i="7" s="1"/>
  <c r="J45" i="7"/>
  <c r="K45" i="7" s="1"/>
  <c r="O48" i="7"/>
  <c r="C153" i="10" l="1"/>
  <c r="E69" i="17"/>
  <c r="Y68" i="17"/>
  <c r="AA68" i="17" s="1"/>
  <c r="J68" i="17"/>
  <c r="K68" i="17" s="1"/>
  <c r="V68" i="17" s="1"/>
  <c r="S69" i="17"/>
  <c r="T69" i="17" s="1"/>
  <c r="C238" i="10"/>
  <c r="Z69" i="17"/>
  <c r="N70" i="17"/>
  <c r="AF45" i="7"/>
  <c r="Q48" i="7"/>
  <c r="V45" i="7"/>
  <c r="AF68" i="17" l="1"/>
  <c r="AB68" i="17"/>
  <c r="AD68" i="17" s="1"/>
  <c r="O70" i="17"/>
  <c r="Q70" i="17" s="1"/>
  <c r="F69" i="17"/>
  <c r="H69" i="17" s="1"/>
  <c r="R48" i="7"/>
  <c r="F46" i="7"/>
  <c r="AB45" i="7"/>
  <c r="C69" i="10" l="1"/>
  <c r="AH69" i="17"/>
  <c r="AI69" i="17"/>
  <c r="I69" i="17"/>
  <c r="R70" i="17"/>
  <c r="S70" i="17" s="1"/>
  <c r="T70" i="17" s="1"/>
  <c r="N49" i="7"/>
  <c r="B217" i="10"/>
  <c r="Z48" i="7"/>
  <c r="S48" i="7"/>
  <c r="T48" i="7" s="1"/>
  <c r="H46" i="7"/>
  <c r="B46" i="10"/>
  <c r="AD45" i="7"/>
  <c r="C154" i="10" l="1"/>
  <c r="Y69" i="17"/>
  <c r="AA69" i="17" s="1"/>
  <c r="E70" i="17"/>
  <c r="J69" i="17"/>
  <c r="C239" i="10"/>
  <c r="N71" i="17"/>
  <c r="Z70" i="17"/>
  <c r="AI46" i="7"/>
  <c r="AH46" i="7"/>
  <c r="O49" i="7"/>
  <c r="I46" i="7"/>
  <c r="F70" i="17" l="1"/>
  <c r="H70" i="17" s="1"/>
  <c r="O71" i="17"/>
  <c r="Q71" i="17" s="1"/>
  <c r="K69" i="17"/>
  <c r="V69" i="17" s="1"/>
  <c r="AB69" i="17" s="1"/>
  <c r="AF69" i="17"/>
  <c r="E47" i="7"/>
  <c r="B131" i="10"/>
  <c r="Y46" i="7"/>
  <c r="AA46" i="7" s="1"/>
  <c r="J46" i="7"/>
  <c r="K46" i="7" s="1"/>
  <c r="Q49" i="7"/>
  <c r="AD69" i="17" l="1"/>
  <c r="C70" i="10"/>
  <c r="R71" i="17"/>
  <c r="AH70" i="17"/>
  <c r="AI70" i="17"/>
  <c r="I70" i="17"/>
  <c r="AF46" i="7"/>
  <c r="R49" i="7"/>
  <c r="V46" i="7"/>
  <c r="C240" i="10" l="1"/>
  <c r="N72" i="17"/>
  <c r="Z71" i="17"/>
  <c r="S71" i="17"/>
  <c r="T71" i="17" s="1"/>
  <c r="C155" i="10"/>
  <c r="Y70" i="17"/>
  <c r="AA70" i="17" s="1"/>
  <c r="E71" i="17"/>
  <c r="J70" i="17"/>
  <c r="N50" i="7"/>
  <c r="B218" i="10"/>
  <c r="Z49" i="7"/>
  <c r="S49" i="7"/>
  <c r="T49" i="7" s="1"/>
  <c r="F47" i="7"/>
  <c r="AB46" i="7"/>
  <c r="K70" i="17" l="1"/>
  <c r="V70" i="17" s="1"/>
  <c r="AB70" i="17" s="1"/>
  <c r="AF70" i="17"/>
  <c r="F71" i="17"/>
  <c r="H71" i="17" s="1"/>
  <c r="O72" i="17"/>
  <c r="Q72" i="17" s="1"/>
  <c r="O50" i="7"/>
  <c r="H47" i="7"/>
  <c r="B47" i="10"/>
  <c r="AD46" i="7"/>
  <c r="R72" i="17" l="1"/>
  <c r="AI71" i="17"/>
  <c r="AH71" i="17"/>
  <c r="I71" i="17"/>
  <c r="AD70" i="17"/>
  <c r="C71" i="10"/>
  <c r="AI47" i="7"/>
  <c r="AH47" i="7"/>
  <c r="Q50" i="7"/>
  <c r="I47" i="7"/>
  <c r="C156" i="10" l="1"/>
  <c r="E72" i="17"/>
  <c r="Y71" i="17"/>
  <c r="AA71" i="17" s="1"/>
  <c r="J71" i="17"/>
  <c r="K71" i="17" s="1"/>
  <c r="V71" i="17" s="1"/>
  <c r="C241" i="10"/>
  <c r="N73" i="17"/>
  <c r="Z72" i="17"/>
  <c r="S72" i="17"/>
  <c r="T72" i="17" s="1"/>
  <c r="E48" i="7"/>
  <c r="Y47" i="7"/>
  <c r="AA47" i="7" s="1"/>
  <c r="B132" i="10"/>
  <c r="J47" i="7"/>
  <c r="K47" i="7" s="1"/>
  <c r="R50" i="7"/>
  <c r="S50" i="7" s="1"/>
  <c r="T50" i="7" s="1"/>
  <c r="AB71" i="17" l="1"/>
  <c r="AD71" i="17" s="1"/>
  <c r="AF71" i="17"/>
  <c r="O73" i="17"/>
  <c r="Q73" i="17" s="1"/>
  <c r="F72" i="17"/>
  <c r="H72" i="17" s="1"/>
  <c r="AF47" i="7"/>
  <c r="N51" i="7"/>
  <c r="B219" i="10"/>
  <c r="Z50" i="7"/>
  <c r="V47" i="7"/>
  <c r="C72" i="10" l="1"/>
  <c r="AI72" i="17"/>
  <c r="AH72" i="17"/>
  <c r="I72" i="17"/>
  <c r="R73" i="17"/>
  <c r="O51" i="7"/>
  <c r="F48" i="7"/>
  <c r="H48" i="7" s="1"/>
  <c r="AB47" i="7"/>
  <c r="C157" i="10" l="1"/>
  <c r="E73" i="17"/>
  <c r="Y72" i="17"/>
  <c r="AA72" i="17" s="1"/>
  <c r="J72" i="17"/>
  <c r="K72" i="17" s="1"/>
  <c r="V72" i="17" s="1"/>
  <c r="C242" i="10"/>
  <c r="Z73" i="17"/>
  <c r="N74" i="17"/>
  <c r="S73" i="17"/>
  <c r="T73" i="17" s="1"/>
  <c r="AI48" i="7"/>
  <c r="AH48" i="7"/>
  <c r="Q51" i="7"/>
  <c r="I48" i="7"/>
  <c r="AD47" i="7"/>
  <c r="B48" i="10"/>
  <c r="AF72" i="17" l="1"/>
  <c r="O74" i="17"/>
  <c r="Q74" i="17" s="1"/>
  <c r="R74" i="17" s="1"/>
  <c r="AB72" i="17"/>
  <c r="F73" i="17"/>
  <c r="H73" i="17" s="1"/>
  <c r="I73" i="17" s="1"/>
  <c r="E49" i="7"/>
  <c r="Y48" i="7"/>
  <c r="AA48" i="7" s="1"/>
  <c r="B133" i="10"/>
  <c r="J48" i="7"/>
  <c r="K48" i="7" s="1"/>
  <c r="R51" i="7"/>
  <c r="S51" i="7" s="1"/>
  <c r="T51" i="7" s="1"/>
  <c r="C158" i="10" l="1"/>
  <c r="Y73" i="17"/>
  <c r="AA73" i="17" s="1"/>
  <c r="E74" i="17"/>
  <c r="J73" i="17"/>
  <c r="K73" i="17" s="1"/>
  <c r="V73" i="17" s="1"/>
  <c r="AI73" i="17"/>
  <c r="AH73" i="17"/>
  <c r="AD72" i="17"/>
  <c r="C73" i="10"/>
  <c r="S74" i="17"/>
  <c r="T74" i="17" s="1"/>
  <c r="C243" i="10"/>
  <c r="Z74" i="17"/>
  <c r="N75" i="17"/>
  <c r="AF48" i="7"/>
  <c r="N52" i="7"/>
  <c r="B220" i="10"/>
  <c r="Z51" i="7"/>
  <c r="V48" i="7"/>
  <c r="AF73" i="17" l="1"/>
  <c r="AB73" i="17"/>
  <c r="AD73" i="17" s="1"/>
  <c r="O75" i="17"/>
  <c r="Q75" i="17" s="1"/>
  <c r="F74" i="17"/>
  <c r="H74" i="17" s="1"/>
  <c r="O52" i="7"/>
  <c r="F49" i="7"/>
  <c r="C74" i="10" l="1"/>
  <c r="AI74" i="17"/>
  <c r="AH74" i="17"/>
  <c r="I74" i="17"/>
  <c r="R75" i="17"/>
  <c r="Q52" i="7"/>
  <c r="H49" i="7"/>
  <c r="AB48" i="7"/>
  <c r="C244" i="10" l="1"/>
  <c r="N76" i="17"/>
  <c r="Z75" i="17"/>
  <c r="S75" i="17"/>
  <c r="T75" i="17" s="1"/>
  <c r="C159" i="10"/>
  <c r="E75" i="17"/>
  <c r="Y74" i="17"/>
  <c r="AA74" i="17" s="1"/>
  <c r="J74" i="17"/>
  <c r="AI49" i="7"/>
  <c r="AH49" i="7"/>
  <c r="R52" i="7"/>
  <c r="S52" i="7" s="1"/>
  <c r="T52" i="7" s="1"/>
  <c r="I49" i="7"/>
  <c r="AD48" i="7"/>
  <c r="B49" i="10"/>
  <c r="K74" i="17" l="1"/>
  <c r="V74" i="17" s="1"/>
  <c r="AB74" i="17" s="1"/>
  <c r="AF74" i="17"/>
  <c r="F75" i="17"/>
  <c r="H75" i="17" s="1"/>
  <c r="I75" i="17" s="1"/>
  <c r="O76" i="17"/>
  <c r="Q76" i="17" s="1"/>
  <c r="R76" i="17" s="1"/>
  <c r="E50" i="7"/>
  <c r="Y49" i="7"/>
  <c r="AA49" i="7" s="1"/>
  <c r="B134" i="10"/>
  <c r="N53" i="7"/>
  <c r="Z52" i="7"/>
  <c r="B221" i="10"/>
  <c r="J49" i="7"/>
  <c r="K49" i="7" s="1"/>
  <c r="C245" i="10" l="1"/>
  <c r="N77" i="17"/>
  <c r="Z76" i="17"/>
  <c r="AI75" i="17"/>
  <c r="AH75" i="17"/>
  <c r="J75" i="17"/>
  <c r="K75" i="17" s="1"/>
  <c r="V75" i="17" s="1"/>
  <c r="C160" i="10"/>
  <c r="E76" i="17"/>
  <c r="Y75" i="17"/>
  <c r="AA75" i="17" s="1"/>
  <c r="S76" i="17"/>
  <c r="T76" i="17" s="1"/>
  <c r="AD74" i="17"/>
  <c r="C75" i="10"/>
  <c r="AF49" i="7"/>
  <c r="O53" i="7"/>
  <c r="V49" i="7"/>
  <c r="AB75" i="17" l="1"/>
  <c r="AD75" i="17" s="1"/>
  <c r="F76" i="17"/>
  <c r="H76" i="17" s="1"/>
  <c r="AF75" i="17"/>
  <c r="O77" i="17"/>
  <c r="Q77" i="17" s="1"/>
  <c r="R77" i="17" s="1"/>
  <c r="Q53" i="7"/>
  <c r="F50" i="7"/>
  <c r="AB49" i="7"/>
  <c r="C76" i="10" l="1"/>
  <c r="C246" i="10"/>
  <c r="Z77" i="17"/>
  <c r="N78" i="17"/>
  <c r="AH76" i="17"/>
  <c r="AI76" i="17"/>
  <c r="I76" i="17"/>
  <c r="S77" i="17"/>
  <c r="T77" i="17" s="1"/>
  <c r="R53" i="7"/>
  <c r="H50" i="7"/>
  <c r="B50" i="10"/>
  <c r="AD49" i="7"/>
  <c r="O78" i="17" l="1"/>
  <c r="Q78" i="17" s="1"/>
  <c r="R78" i="17" s="1"/>
  <c r="S78" i="17" s="1"/>
  <c r="C161" i="10"/>
  <c r="E77" i="17"/>
  <c r="Y76" i="17"/>
  <c r="AA76" i="17" s="1"/>
  <c r="J76" i="17"/>
  <c r="K76" i="17" s="1"/>
  <c r="V76" i="17" s="1"/>
  <c r="AI50" i="7"/>
  <c r="AH50" i="7"/>
  <c r="N54" i="7"/>
  <c r="Z53" i="7"/>
  <c r="B222" i="10"/>
  <c r="S53" i="7"/>
  <c r="T53" i="7" s="1"/>
  <c r="I50" i="7"/>
  <c r="AF76" i="17" l="1"/>
  <c r="F77" i="17"/>
  <c r="H77" i="17" s="1"/>
  <c r="T78" i="17"/>
  <c r="C247" i="10"/>
  <c r="Z78" i="17"/>
  <c r="N79" i="17"/>
  <c r="AB76" i="17"/>
  <c r="E51" i="7"/>
  <c r="Y50" i="7"/>
  <c r="AA50" i="7" s="1"/>
  <c r="B135" i="10"/>
  <c r="J50" i="7"/>
  <c r="O54" i="7"/>
  <c r="AD76" i="17" l="1"/>
  <c r="C77" i="10"/>
  <c r="AH77" i="17"/>
  <c r="AI77" i="17"/>
  <c r="O79" i="17"/>
  <c r="Q79" i="17" s="1"/>
  <c r="R79" i="17" s="1"/>
  <c r="I77" i="17"/>
  <c r="K50" i="7"/>
  <c r="V50" i="7" s="1"/>
  <c r="AF50" i="7"/>
  <c r="Q54" i="7"/>
  <c r="C248" i="10" l="1"/>
  <c r="N80" i="17"/>
  <c r="Z79" i="17"/>
  <c r="S79" i="17"/>
  <c r="T79" i="17" s="1"/>
  <c r="C162" i="10"/>
  <c r="E78" i="17"/>
  <c r="Y77" i="17"/>
  <c r="AA77" i="17" s="1"/>
  <c r="J77" i="17"/>
  <c r="K77" i="17" s="1"/>
  <c r="V77" i="17" s="1"/>
  <c r="R54" i="7"/>
  <c r="F51" i="7"/>
  <c r="AB50" i="7"/>
  <c r="F78" i="17" l="1"/>
  <c r="H78" i="17" s="1"/>
  <c r="O80" i="17"/>
  <c r="Q80" i="17" s="1"/>
  <c r="AB77" i="17"/>
  <c r="AF77" i="17"/>
  <c r="N55" i="7"/>
  <c r="B223" i="10"/>
  <c r="Z54" i="7"/>
  <c r="S54" i="7"/>
  <c r="T54" i="7" s="1"/>
  <c r="H51" i="7"/>
  <c r="B51" i="10"/>
  <c r="AD50" i="7"/>
  <c r="AD77" i="17" l="1"/>
  <c r="C78" i="10"/>
  <c r="R80" i="17"/>
  <c r="AH78" i="17"/>
  <c r="AI78" i="17"/>
  <c r="I78" i="17"/>
  <c r="AI51" i="7"/>
  <c r="AH51" i="7"/>
  <c r="O55" i="7"/>
  <c r="I51" i="7"/>
  <c r="C249" i="10" l="1"/>
  <c r="Z80" i="17"/>
  <c r="N81" i="17"/>
  <c r="S80" i="17"/>
  <c r="T80" i="17" s="1"/>
  <c r="C163" i="10"/>
  <c r="Y78" i="17"/>
  <c r="AA78" i="17" s="1"/>
  <c r="E79" i="17"/>
  <c r="J78" i="17"/>
  <c r="E52" i="7"/>
  <c r="Y51" i="7"/>
  <c r="AA51" i="7" s="1"/>
  <c r="B136" i="10"/>
  <c r="J51" i="7"/>
  <c r="K51" i="7" s="1"/>
  <c r="Q55" i="7"/>
  <c r="K78" i="17" l="1"/>
  <c r="V78" i="17" s="1"/>
  <c r="AB78" i="17" s="1"/>
  <c r="AF78" i="17"/>
  <c r="F79" i="17"/>
  <c r="H79" i="17" s="1"/>
  <c r="I79" i="17" s="1"/>
  <c r="J79" i="17" s="1"/>
  <c r="O81" i="17"/>
  <c r="Q81" i="17" s="1"/>
  <c r="AF51" i="7"/>
  <c r="R55" i="7"/>
  <c r="F52" i="7"/>
  <c r="V51" i="7"/>
  <c r="R81" i="17" l="1"/>
  <c r="K79" i="17"/>
  <c r="V79" i="17" s="1"/>
  <c r="AF79" i="17"/>
  <c r="AI79" i="17"/>
  <c r="AH79" i="17"/>
  <c r="C164" i="10"/>
  <c r="E80" i="17"/>
  <c r="Y79" i="17"/>
  <c r="AA79" i="17" s="1"/>
  <c r="AD78" i="17"/>
  <c r="C79" i="10"/>
  <c r="N56" i="7"/>
  <c r="Z55" i="7"/>
  <c r="B224" i="10"/>
  <c r="S55" i="7"/>
  <c r="T55" i="7" s="1"/>
  <c r="H52" i="7"/>
  <c r="AB51" i="7"/>
  <c r="AD51" i="7" s="1"/>
  <c r="AB79" i="17" l="1"/>
  <c r="C250" i="10"/>
  <c r="Z81" i="17"/>
  <c r="N82" i="17"/>
  <c r="S81" i="17"/>
  <c r="T81" i="17" s="1"/>
  <c r="F80" i="17"/>
  <c r="H80" i="17" s="1"/>
  <c r="AI52" i="7"/>
  <c r="AH52" i="7"/>
  <c r="B52" i="10"/>
  <c r="O56" i="7"/>
  <c r="I52" i="7"/>
  <c r="AI80" i="17" l="1"/>
  <c r="AH80" i="17"/>
  <c r="I80" i="17"/>
  <c r="O82" i="17"/>
  <c r="Q82" i="17" s="1"/>
  <c r="AD79" i="17"/>
  <c r="C80" i="10"/>
  <c r="E53" i="7"/>
  <c r="B137" i="10"/>
  <c r="Y52" i="7"/>
  <c r="AA52" i="7" s="1"/>
  <c r="J52" i="7"/>
  <c r="K52" i="7" s="1"/>
  <c r="V52" i="7" s="1"/>
  <c r="Q56" i="7"/>
  <c r="R82" i="17" l="1"/>
  <c r="S82" i="17" s="1"/>
  <c r="T82" i="17" s="1"/>
  <c r="C165" i="10"/>
  <c r="E81" i="17"/>
  <c r="Y80" i="17"/>
  <c r="AA80" i="17" s="1"/>
  <c r="J80" i="17"/>
  <c r="K80" i="17" s="1"/>
  <c r="V80" i="17" s="1"/>
  <c r="AF52" i="7"/>
  <c r="R56" i="7"/>
  <c r="F53" i="7"/>
  <c r="AB80" i="17" l="1"/>
  <c r="C81" i="10" s="1"/>
  <c r="F81" i="17"/>
  <c r="H81" i="17" s="1"/>
  <c r="C251" i="10"/>
  <c r="N83" i="17"/>
  <c r="N2" i="17" s="1"/>
  <c r="Z82" i="17"/>
  <c r="AF80" i="17"/>
  <c r="N57" i="7"/>
  <c r="Z56" i="7"/>
  <c r="B225" i="10"/>
  <c r="S56" i="7"/>
  <c r="T56" i="7" s="1"/>
  <c r="H53" i="7"/>
  <c r="AB52" i="7"/>
  <c r="AD52" i="7" s="1"/>
  <c r="AD80" i="17" l="1"/>
  <c r="O83" i="17"/>
  <c r="AI81" i="17"/>
  <c r="AH81" i="17"/>
  <c r="I81" i="17"/>
  <c r="AI53" i="7"/>
  <c r="AH53" i="7"/>
  <c r="O57" i="7"/>
  <c r="I53" i="7"/>
  <c r="B53" i="10"/>
  <c r="Q83" i="17" l="1"/>
  <c r="O2" i="17"/>
  <c r="C166" i="10"/>
  <c r="E82" i="17"/>
  <c r="Y81" i="17"/>
  <c r="AA81" i="17" s="1"/>
  <c r="J81" i="17"/>
  <c r="E54" i="7"/>
  <c r="Y53" i="7"/>
  <c r="AA53" i="7" s="1"/>
  <c r="B138" i="10"/>
  <c r="J53" i="7"/>
  <c r="Q57" i="7"/>
  <c r="R83" i="17" l="1"/>
  <c r="Q2" i="17"/>
  <c r="K81" i="17"/>
  <c r="V81" i="17" s="1"/>
  <c r="AB81" i="17" s="1"/>
  <c r="AF81" i="17"/>
  <c r="F82" i="17"/>
  <c r="H82" i="17" s="1"/>
  <c r="K53" i="7"/>
  <c r="V53" i="7" s="1"/>
  <c r="AF53" i="7"/>
  <c r="R57" i="7"/>
  <c r="S57" i="7" s="1"/>
  <c r="T57" i="7" s="1"/>
  <c r="F54" i="7"/>
  <c r="S83" i="17" l="1"/>
  <c r="R2" i="17"/>
  <c r="C252" i="10"/>
  <c r="Z83" i="17"/>
  <c r="Z2" i="17" s="1"/>
  <c r="I82" i="17"/>
  <c r="J82" i="17" s="1"/>
  <c r="AH82" i="17"/>
  <c r="AI82" i="17"/>
  <c r="AD81" i="17"/>
  <c r="C82" i="10"/>
  <c r="N58" i="7"/>
  <c r="B226" i="10"/>
  <c r="Z57" i="7"/>
  <c r="H54" i="7"/>
  <c r="AB53" i="7"/>
  <c r="AD53" i="7" s="1"/>
  <c r="Y82" i="17" l="1"/>
  <c r="AA82" i="17" s="1"/>
  <c r="S2" i="17"/>
  <c r="T83" i="17"/>
  <c r="E83" i="17"/>
  <c r="E2" i="17" s="1"/>
  <c r="C167" i="10"/>
  <c r="K82" i="17"/>
  <c r="V82" i="17" s="1"/>
  <c r="AF82" i="17"/>
  <c r="AH54" i="7"/>
  <c r="AI54" i="7"/>
  <c r="O58" i="7"/>
  <c r="I54" i="7"/>
  <c r="B54" i="10"/>
  <c r="AB82" i="17" l="1"/>
  <c r="C83" i="10" s="1"/>
  <c r="T2" i="17"/>
  <c r="C25" i="15"/>
  <c r="F83" i="17"/>
  <c r="E55" i="7"/>
  <c r="B139" i="10"/>
  <c r="Y54" i="7"/>
  <c r="AA54" i="7" s="1"/>
  <c r="J54" i="7"/>
  <c r="K54" i="7" s="1"/>
  <c r="Q58" i="7"/>
  <c r="AD82" i="17" l="1"/>
  <c r="H83" i="17"/>
  <c r="F2" i="17"/>
  <c r="AF54" i="7"/>
  <c r="R58" i="7"/>
  <c r="F55" i="7"/>
  <c r="H55" i="7" s="1"/>
  <c r="V54" i="7"/>
  <c r="H2" i="17" l="1"/>
  <c r="AI83" i="17"/>
  <c r="AI2" i="17" s="1"/>
  <c r="AH83" i="17"/>
  <c r="AH2" i="17" s="1"/>
  <c r="I83" i="17"/>
  <c r="N59" i="7"/>
  <c r="B227" i="10"/>
  <c r="Z58" i="7"/>
  <c r="AH55" i="7"/>
  <c r="AI55" i="7"/>
  <c r="S58" i="7"/>
  <c r="T58" i="7" s="1"/>
  <c r="I55" i="7"/>
  <c r="AB54" i="7"/>
  <c r="AD54" i="7" s="1"/>
  <c r="J83" i="17" l="1"/>
  <c r="AF83" i="17" s="1"/>
  <c r="AF2" i="17" s="1"/>
  <c r="I2" i="17"/>
  <c r="Y83" i="17"/>
  <c r="C168" i="10"/>
  <c r="E56" i="7"/>
  <c r="B140" i="10"/>
  <c r="Y55" i="7"/>
  <c r="AA55" i="7" s="1"/>
  <c r="J55" i="7"/>
  <c r="O59" i="7"/>
  <c r="B55" i="10"/>
  <c r="AA83" i="17" l="1"/>
  <c r="AA2" i="17" s="1"/>
  <c r="Y2" i="17"/>
  <c r="J2" i="17"/>
  <c r="K83" i="17"/>
  <c r="K55" i="7"/>
  <c r="AF55" i="7"/>
  <c r="Q59" i="7"/>
  <c r="K2" i="17" l="1"/>
  <c r="V83" i="17"/>
  <c r="C24" i="15"/>
  <c r="R59" i="7"/>
  <c r="V55" i="7"/>
  <c r="V2" i="17" l="1"/>
  <c r="AB83" i="17"/>
  <c r="N60" i="7"/>
  <c r="B228" i="10"/>
  <c r="Z59" i="7"/>
  <c r="S59" i="7"/>
  <c r="T59" i="7" s="1"/>
  <c r="F56" i="7"/>
  <c r="AB55" i="7"/>
  <c r="AB2" i="17" l="1"/>
  <c r="AD83" i="17"/>
  <c r="C84" i="10"/>
  <c r="O60" i="7"/>
  <c r="H56" i="7"/>
  <c r="AD55" i="7"/>
  <c r="B56" i="10"/>
  <c r="B13" i="15" l="1"/>
  <c r="C20" i="15"/>
  <c r="AD2" i="17"/>
  <c r="AI56" i="7"/>
  <c r="AH56" i="7"/>
  <c r="I56" i="7"/>
  <c r="Q60" i="7"/>
  <c r="E57" i="7" l="1"/>
  <c r="Y56" i="7"/>
  <c r="AA56" i="7" s="1"/>
  <c r="B141" i="10"/>
  <c r="J56" i="7"/>
  <c r="K56" i="7" s="1"/>
  <c r="R60" i="7"/>
  <c r="S60" i="7" s="1"/>
  <c r="T60" i="7" s="1"/>
  <c r="AF56" i="7" l="1"/>
  <c r="N61" i="7"/>
  <c r="Z60" i="7"/>
  <c r="B229" i="10"/>
  <c r="F57" i="7"/>
  <c r="V56" i="7"/>
  <c r="O61" i="7" l="1"/>
  <c r="H57" i="7"/>
  <c r="AB56" i="7"/>
  <c r="AD56" i="7" s="1"/>
  <c r="AI57" i="7" l="1"/>
  <c r="AH57" i="7"/>
  <c r="Q61" i="7"/>
  <c r="I57" i="7"/>
  <c r="B57" i="10"/>
  <c r="E58" i="7" l="1"/>
  <c r="B142" i="10"/>
  <c r="Y57" i="7"/>
  <c r="AA57" i="7" s="1"/>
  <c r="J57" i="7"/>
  <c r="K57" i="7" s="1"/>
  <c r="R61" i="7"/>
  <c r="S61" i="7" s="1"/>
  <c r="T61" i="7" s="1"/>
  <c r="N62" i="7" l="1"/>
  <c r="Z61" i="7"/>
  <c r="B230" i="10"/>
  <c r="AF57" i="7"/>
  <c r="V57" i="7"/>
  <c r="O62" i="7" l="1"/>
  <c r="F58" i="7"/>
  <c r="AB57" i="7"/>
  <c r="Q62" i="7" l="1"/>
  <c r="H58" i="7"/>
  <c r="AD57" i="7"/>
  <c r="B58" i="10"/>
  <c r="AI58" i="7" l="1"/>
  <c r="AH58" i="7"/>
  <c r="R62" i="7"/>
  <c r="S62" i="7" s="1"/>
  <c r="T62" i="7" s="1"/>
  <c r="I58" i="7"/>
  <c r="E59" i="7" l="1"/>
  <c r="Y58" i="7"/>
  <c r="AA58" i="7" s="1"/>
  <c r="B143" i="10"/>
  <c r="N63" i="7"/>
  <c r="B231" i="10"/>
  <c r="Z62" i="7"/>
  <c r="J58" i="7"/>
  <c r="K58" i="7" s="1"/>
  <c r="AF58" i="7" l="1"/>
  <c r="O63" i="7"/>
  <c r="V58" i="7"/>
  <c r="Q63" i="7" l="1"/>
  <c r="R63" i="7" s="1"/>
  <c r="F59" i="7"/>
  <c r="AB58" i="7"/>
  <c r="N64" i="7" l="1"/>
  <c r="B232" i="10"/>
  <c r="Z63" i="7"/>
  <c r="S63" i="7"/>
  <c r="T63" i="7" s="1"/>
  <c r="H59" i="7"/>
  <c r="B59" i="10"/>
  <c r="AD58" i="7"/>
  <c r="AI59" i="7" l="1"/>
  <c r="AH59" i="7"/>
  <c r="O64" i="7"/>
  <c r="I59" i="7"/>
  <c r="E60" i="7" l="1"/>
  <c r="Y59" i="7"/>
  <c r="AA59" i="7" s="1"/>
  <c r="B144" i="10"/>
  <c r="J59" i="7"/>
  <c r="K59" i="7" s="1"/>
  <c r="Q64" i="7"/>
  <c r="AF59" i="7" l="1"/>
  <c r="R64" i="7"/>
  <c r="V59" i="7"/>
  <c r="N65" i="7" l="1"/>
  <c r="B233" i="10"/>
  <c r="Z64" i="7"/>
  <c r="S64" i="7"/>
  <c r="T64" i="7" s="1"/>
  <c r="F60" i="7"/>
  <c r="AB59" i="7"/>
  <c r="O65" i="7" l="1"/>
  <c r="H60" i="7"/>
  <c r="AD59" i="7"/>
  <c r="B60" i="10"/>
  <c r="AI60" i="7" l="1"/>
  <c r="AH60" i="7"/>
  <c r="I60" i="7"/>
  <c r="Q65" i="7"/>
  <c r="E61" i="7" l="1"/>
  <c r="B145" i="10"/>
  <c r="Y60" i="7"/>
  <c r="AA60" i="7" s="1"/>
  <c r="J60" i="7"/>
  <c r="K60" i="7" s="1"/>
  <c r="R65" i="7"/>
  <c r="S65" i="7" s="1"/>
  <c r="T65" i="7" s="1"/>
  <c r="AF60" i="7" l="1"/>
  <c r="N66" i="7"/>
  <c r="B234" i="10"/>
  <c r="Z65" i="7"/>
  <c r="V60" i="7"/>
  <c r="O66" i="7" l="1"/>
  <c r="F61" i="7"/>
  <c r="H61" i="7" s="1"/>
  <c r="AB60" i="7"/>
  <c r="AI61" i="7" l="1"/>
  <c r="AH61" i="7"/>
  <c r="Q66" i="7"/>
  <c r="I61" i="7"/>
  <c r="AD60" i="7"/>
  <c r="B61" i="10"/>
  <c r="E62" i="7" l="1"/>
  <c r="Y61" i="7"/>
  <c r="AA61" i="7" s="1"/>
  <c r="B146" i="10"/>
  <c r="J61" i="7"/>
  <c r="K61" i="7" s="1"/>
  <c r="R66" i="7"/>
  <c r="S66" i="7" s="1"/>
  <c r="T66" i="7" s="1"/>
  <c r="N67" i="7" l="1"/>
  <c r="B235" i="10"/>
  <c r="Z66" i="7"/>
  <c r="AF61" i="7"/>
  <c r="V61" i="7"/>
  <c r="O67" i="7" l="1"/>
  <c r="Q67" i="7" s="1"/>
  <c r="F62" i="7"/>
  <c r="AB61" i="7"/>
  <c r="R67" i="7" l="1"/>
  <c r="H62" i="7"/>
  <c r="B62" i="10"/>
  <c r="AD61" i="7"/>
  <c r="N68" i="7" l="1"/>
  <c r="B236" i="10"/>
  <c r="Z67" i="7"/>
  <c r="S67" i="7"/>
  <c r="T67" i="7" s="1"/>
  <c r="AI62" i="7"/>
  <c r="AH62" i="7"/>
  <c r="I62" i="7"/>
  <c r="E63" i="7" l="1"/>
  <c r="B147" i="10"/>
  <c r="Y62" i="7"/>
  <c r="AA62" i="7" s="1"/>
  <c r="J62" i="7"/>
  <c r="K62" i="7" s="1"/>
  <c r="O68" i="7"/>
  <c r="AF62" i="7" l="1"/>
  <c r="Q68" i="7"/>
  <c r="V62" i="7"/>
  <c r="R68" i="7" l="1"/>
  <c r="S68" i="7" s="1"/>
  <c r="T68" i="7" s="1"/>
  <c r="F63" i="7"/>
  <c r="H63" i="7" s="1"/>
  <c r="AB62" i="7"/>
  <c r="AI63" i="7" l="1"/>
  <c r="AH63" i="7"/>
  <c r="N69" i="7"/>
  <c r="Z68" i="7"/>
  <c r="B237" i="10"/>
  <c r="I63" i="7"/>
  <c r="B63" i="10"/>
  <c r="AD62" i="7"/>
  <c r="E64" i="7" l="1"/>
  <c r="B148" i="10"/>
  <c r="Y63" i="7"/>
  <c r="AA63" i="7" s="1"/>
  <c r="J63" i="7"/>
  <c r="K63" i="7" s="1"/>
  <c r="O69" i="7"/>
  <c r="AF63" i="7" l="1"/>
  <c r="Q69" i="7"/>
  <c r="R69" i="7" l="1"/>
  <c r="V63" i="7"/>
  <c r="N70" i="7" l="1"/>
  <c r="Z69" i="7"/>
  <c r="B238" i="10"/>
  <c r="S69" i="7"/>
  <c r="T69" i="7" s="1"/>
  <c r="F64" i="7"/>
  <c r="H64" i="7" s="1"/>
  <c r="AB63" i="7"/>
  <c r="AI64" i="7" l="1"/>
  <c r="AH64" i="7"/>
  <c r="O70" i="7"/>
  <c r="I64" i="7"/>
  <c r="AD63" i="7"/>
  <c r="B64" i="10"/>
  <c r="E65" i="7" l="1"/>
  <c r="B149" i="10"/>
  <c r="Y64" i="7"/>
  <c r="AA64" i="7" s="1"/>
  <c r="J64" i="7"/>
  <c r="K64" i="7" s="1"/>
  <c r="Q70" i="7"/>
  <c r="AF64" i="7" l="1"/>
  <c r="R70" i="7"/>
  <c r="N71" i="7" l="1"/>
  <c r="Z70" i="7"/>
  <c r="B239" i="10"/>
  <c r="S70" i="7"/>
  <c r="T70" i="7" s="1"/>
  <c r="V64" i="7"/>
  <c r="O71" i="7" l="1"/>
  <c r="F65" i="7"/>
  <c r="AB64" i="7"/>
  <c r="Q71" i="7" l="1"/>
  <c r="H65" i="7"/>
  <c r="AD64" i="7"/>
  <c r="B65" i="10"/>
  <c r="AH65" i="7" l="1"/>
  <c r="AI65" i="7"/>
  <c r="R71" i="7"/>
  <c r="I65" i="7"/>
  <c r="N72" i="7" l="1"/>
  <c r="B240" i="10"/>
  <c r="Z71" i="7"/>
  <c r="S71" i="7"/>
  <c r="T71" i="7" s="1"/>
  <c r="E66" i="7"/>
  <c r="B150" i="10"/>
  <c r="Y65" i="7"/>
  <c r="AA65" i="7" s="1"/>
  <c r="J65" i="7"/>
  <c r="K65" i="7" s="1"/>
  <c r="AF65" i="7" l="1"/>
  <c r="O72" i="7"/>
  <c r="F66" i="7"/>
  <c r="V65" i="7"/>
  <c r="Q72" i="7" l="1"/>
  <c r="H66" i="7"/>
  <c r="AB65" i="7"/>
  <c r="AH66" i="7" l="1"/>
  <c r="AI66" i="7"/>
  <c r="R72" i="7"/>
  <c r="I66" i="7"/>
  <c r="AD65" i="7"/>
  <c r="B66" i="10"/>
  <c r="N73" i="7" l="1"/>
  <c r="Z72" i="7"/>
  <c r="B241" i="10"/>
  <c r="S72" i="7"/>
  <c r="T72" i="7" s="1"/>
  <c r="E67" i="7"/>
  <c r="B151" i="10"/>
  <c r="Y66" i="7"/>
  <c r="AA66" i="7" s="1"/>
  <c r="J66" i="7"/>
  <c r="K66" i="7" s="1"/>
  <c r="V66" i="7" s="1"/>
  <c r="AF66" i="7" l="1"/>
  <c r="O73" i="7"/>
  <c r="F67" i="7"/>
  <c r="Q73" i="7" l="1"/>
  <c r="H67" i="7"/>
  <c r="AB66" i="7"/>
  <c r="B67" i="10" s="1"/>
  <c r="AI67" i="7" l="1"/>
  <c r="AH67" i="7"/>
  <c r="I67" i="7"/>
  <c r="R73" i="7"/>
  <c r="S73" i="7" s="1"/>
  <c r="T73" i="7" s="1"/>
  <c r="AD66" i="7"/>
  <c r="E68" i="7" l="1"/>
  <c r="Y67" i="7"/>
  <c r="AA67" i="7" s="1"/>
  <c r="B152" i="10"/>
  <c r="N74" i="7"/>
  <c r="B242" i="10"/>
  <c r="Z73" i="7"/>
  <c r="J67" i="7"/>
  <c r="K67" i="7" s="1"/>
  <c r="AF67" i="7" l="1"/>
  <c r="O74" i="7"/>
  <c r="F68" i="7"/>
  <c r="V67" i="7"/>
  <c r="H68" i="7" l="1"/>
  <c r="I68" i="7" s="1"/>
  <c r="Q74" i="7"/>
  <c r="AB67" i="7"/>
  <c r="AD67" i="7" s="1"/>
  <c r="E69" i="7" l="1"/>
  <c r="B153" i="10"/>
  <c r="Y68" i="7"/>
  <c r="AA68" i="7" s="1"/>
  <c r="AI68" i="7"/>
  <c r="AH68" i="7"/>
  <c r="J68" i="7"/>
  <c r="AF68" i="7" s="1"/>
  <c r="R74" i="7"/>
  <c r="B68" i="10"/>
  <c r="K68" i="7" l="1"/>
  <c r="V68" i="7" s="1"/>
  <c r="N75" i="7"/>
  <c r="B243" i="10"/>
  <c r="Z74" i="7"/>
  <c r="S74" i="7"/>
  <c r="T74" i="7" s="1"/>
  <c r="O75" i="7" l="1"/>
  <c r="F69" i="7"/>
  <c r="Q75" i="7" l="1"/>
  <c r="H69" i="7"/>
  <c r="AB68" i="7"/>
  <c r="B69" i="10" s="1"/>
  <c r="AI69" i="7" l="1"/>
  <c r="AH69" i="7"/>
  <c r="R75" i="7"/>
  <c r="I69" i="7"/>
  <c r="AD68" i="7"/>
  <c r="N76" i="7" l="1"/>
  <c r="B244" i="10"/>
  <c r="Z75" i="7"/>
  <c r="S75" i="7"/>
  <c r="T75" i="7" s="1"/>
  <c r="E70" i="7"/>
  <c r="Y69" i="7"/>
  <c r="AA69" i="7" s="1"/>
  <c r="B154" i="10"/>
  <c r="J69" i="7"/>
  <c r="K69" i="7" s="1"/>
  <c r="AF69" i="7" l="1"/>
  <c r="O76" i="7"/>
  <c r="F70" i="7"/>
  <c r="V69" i="7"/>
  <c r="Q76" i="7" l="1"/>
  <c r="H70" i="7"/>
  <c r="AB69" i="7"/>
  <c r="AD69" i="7" s="1"/>
  <c r="AI70" i="7" l="1"/>
  <c r="AH70" i="7"/>
  <c r="R76" i="7"/>
  <c r="S76" i="7" s="1"/>
  <c r="T76" i="7" s="1"/>
  <c r="I70" i="7"/>
  <c r="B70" i="10"/>
  <c r="E71" i="7" l="1"/>
  <c r="B155" i="10"/>
  <c r="Y70" i="7"/>
  <c r="AA70" i="7" s="1"/>
  <c r="N77" i="7"/>
  <c r="Z76" i="7"/>
  <c r="B245" i="10"/>
  <c r="J70" i="7"/>
  <c r="K70" i="7" s="1"/>
  <c r="AF70" i="7" l="1"/>
  <c r="O77" i="7"/>
  <c r="V70" i="7"/>
  <c r="Q77" i="7" l="1"/>
  <c r="F71" i="7"/>
  <c r="AB70" i="7"/>
  <c r="R77" i="7" l="1"/>
  <c r="S77" i="7" s="1"/>
  <c r="T77" i="7" s="1"/>
  <c r="H71" i="7"/>
  <c r="AD70" i="7"/>
  <c r="B71" i="10"/>
  <c r="AH71" i="7" l="1"/>
  <c r="AI71" i="7"/>
  <c r="N78" i="7"/>
  <c r="Z77" i="7"/>
  <c r="B246" i="10"/>
  <c r="I71" i="7"/>
  <c r="E72" i="7" l="1"/>
  <c r="B156" i="10"/>
  <c r="Y71" i="7"/>
  <c r="AA71" i="7" s="1"/>
  <c r="J71" i="7"/>
  <c r="K71" i="7" s="1"/>
  <c r="O78" i="7"/>
  <c r="AF71" i="7" l="1"/>
  <c r="Q78" i="7"/>
  <c r="V71" i="7"/>
  <c r="R78" i="7" l="1"/>
  <c r="F72" i="7"/>
  <c r="AB71" i="7"/>
  <c r="N79" i="7" l="1"/>
  <c r="B247" i="10"/>
  <c r="Z78" i="7"/>
  <c r="S78" i="7"/>
  <c r="T78" i="7" s="1"/>
  <c r="H72" i="7"/>
  <c r="AD71" i="7"/>
  <c r="B72" i="10"/>
  <c r="AI72" i="7" l="1"/>
  <c r="AH72" i="7"/>
  <c r="O79" i="7"/>
  <c r="I72" i="7"/>
  <c r="E73" i="7" l="1"/>
  <c r="Y72" i="7"/>
  <c r="AA72" i="7" s="1"/>
  <c r="B157" i="10"/>
  <c r="J72" i="7"/>
  <c r="K72" i="7" s="1"/>
  <c r="V72" i="7" s="1"/>
  <c r="Q79" i="7"/>
  <c r="AF72" i="7" l="1"/>
  <c r="R79" i="7"/>
  <c r="F73" i="7"/>
  <c r="N80" i="7" l="1"/>
  <c r="B248" i="10"/>
  <c r="Z79" i="7"/>
  <c r="S79" i="7"/>
  <c r="T79" i="7" s="1"/>
  <c r="H73" i="7"/>
  <c r="AB72" i="7"/>
  <c r="AH73" i="7" l="1"/>
  <c r="AI73" i="7"/>
  <c r="O80" i="7"/>
  <c r="I73" i="7"/>
  <c r="AD72" i="7"/>
  <c r="B73" i="10"/>
  <c r="E74" i="7" l="1"/>
  <c r="B158" i="10"/>
  <c r="Y73" i="7"/>
  <c r="AA73" i="7" s="1"/>
  <c r="J73" i="7"/>
  <c r="K73" i="7" s="1"/>
  <c r="Q80" i="7"/>
  <c r="AF73" i="7" l="1"/>
  <c r="R80" i="7"/>
  <c r="S80" i="7" s="1"/>
  <c r="T80" i="7" s="1"/>
  <c r="N81" i="7" l="1"/>
  <c r="Z80" i="7"/>
  <c r="B249" i="10"/>
  <c r="F74" i="7"/>
  <c r="V73" i="7"/>
  <c r="O81" i="7" l="1"/>
  <c r="H74" i="7"/>
  <c r="AB73" i="7"/>
  <c r="AI74" i="7" l="1"/>
  <c r="AH74" i="7"/>
  <c r="Q81" i="7"/>
  <c r="I74" i="7"/>
  <c r="B74" i="10"/>
  <c r="AD73" i="7"/>
  <c r="E75" i="7" l="1"/>
  <c r="B159" i="10"/>
  <c r="Y74" i="7"/>
  <c r="AA74" i="7" s="1"/>
  <c r="J74" i="7"/>
  <c r="K74" i="7" s="1"/>
  <c r="R81" i="7"/>
  <c r="S81" i="7" s="1"/>
  <c r="T81" i="7" s="1"/>
  <c r="AF74" i="7" l="1"/>
  <c r="N82" i="7"/>
  <c r="B250" i="10"/>
  <c r="Z81" i="7"/>
  <c r="F75" i="7"/>
  <c r="O82" i="7" l="1"/>
  <c r="H75" i="7"/>
  <c r="V74" i="7"/>
  <c r="AI75" i="7" l="1"/>
  <c r="AH75" i="7"/>
  <c r="Q82" i="7"/>
  <c r="I75" i="7"/>
  <c r="AB74" i="7"/>
  <c r="B75" i="10" s="1"/>
  <c r="E76" i="7" l="1"/>
  <c r="Y75" i="7"/>
  <c r="AA75" i="7" s="1"/>
  <c r="B160" i="10"/>
  <c r="J75" i="7"/>
  <c r="K75" i="7" s="1"/>
  <c r="R82" i="7"/>
  <c r="S82" i="7" s="1"/>
  <c r="T82" i="7" s="1"/>
  <c r="AD74" i="7"/>
  <c r="AF75" i="7" l="1"/>
  <c r="N83" i="7"/>
  <c r="O83" i="7" s="1"/>
  <c r="O2" i="7" s="1"/>
  <c r="B251" i="10"/>
  <c r="Z82" i="7"/>
  <c r="F76" i="7"/>
  <c r="V75" i="7"/>
  <c r="N2" i="7" l="1"/>
  <c r="Q83" i="7"/>
  <c r="Q2" i="7" s="1"/>
  <c r="H76" i="7"/>
  <c r="I76" i="7" s="1"/>
  <c r="AB75" i="7"/>
  <c r="E77" i="7" l="1"/>
  <c r="Y76" i="7"/>
  <c r="AA76" i="7" s="1"/>
  <c r="B161" i="10"/>
  <c r="AH76" i="7"/>
  <c r="AI76" i="7"/>
  <c r="J76" i="7"/>
  <c r="K76" i="7" s="1"/>
  <c r="R83" i="7"/>
  <c r="B76" i="10"/>
  <c r="AD75" i="7"/>
  <c r="S83" i="7" l="1"/>
  <c r="R2" i="7"/>
  <c r="AF76" i="7"/>
  <c r="B252" i="10"/>
  <c r="Z83" i="7"/>
  <c r="T83" i="7" l="1"/>
  <c r="S2" i="7"/>
  <c r="Z2" i="7"/>
  <c r="B25" i="15" l="1"/>
  <c r="T2" i="7"/>
  <c r="F77" i="7"/>
  <c r="H77" i="7" s="1"/>
  <c r="V76" i="7"/>
  <c r="AI77" i="7" l="1"/>
  <c r="AH77" i="7"/>
  <c r="I77" i="7"/>
  <c r="AB76" i="7"/>
  <c r="B77" i="10" s="1"/>
  <c r="E78" i="7" l="1"/>
  <c r="Y77" i="7"/>
  <c r="AA77" i="7" s="1"/>
  <c r="B162" i="10"/>
  <c r="J77" i="7"/>
  <c r="K77" i="7" s="1"/>
  <c r="AD76" i="7"/>
  <c r="AF77" i="7" l="1"/>
  <c r="F78" i="7"/>
  <c r="V77" i="7"/>
  <c r="H78" i="7" l="1"/>
  <c r="AB77" i="7"/>
  <c r="AD77" i="7" s="1"/>
  <c r="AI78" i="7" l="1"/>
  <c r="AH78" i="7"/>
  <c r="I78" i="7"/>
  <c r="B78" i="10"/>
  <c r="E79" i="7" l="1"/>
  <c r="F79" i="7" s="1"/>
  <c r="B163" i="10"/>
  <c r="Y78" i="7"/>
  <c r="AA78" i="7" s="1"/>
  <c r="J78" i="7"/>
  <c r="K78" i="7" s="1"/>
  <c r="V78" i="7" s="1"/>
  <c r="AF78" i="7" l="1"/>
  <c r="H79" i="7"/>
  <c r="AB78" i="7"/>
  <c r="AH79" i="7" l="1"/>
  <c r="AI79" i="7"/>
  <c r="I79" i="7"/>
  <c r="AD78" i="7"/>
  <c r="B79" i="10"/>
  <c r="E80" i="7" l="1"/>
  <c r="F80" i="7" s="1"/>
  <c r="B164" i="10"/>
  <c r="Y79" i="7"/>
  <c r="AA79" i="7" s="1"/>
  <c r="J79" i="7"/>
  <c r="AF79" i="7" s="1"/>
  <c r="K79" i="7" l="1"/>
  <c r="V79" i="7" s="1"/>
  <c r="AB79" i="7" s="1"/>
  <c r="H80" i="7"/>
  <c r="AD79" i="7" l="1"/>
  <c r="B80" i="10"/>
  <c r="AH80" i="7"/>
  <c r="AI80" i="7"/>
  <c r="I80" i="7"/>
  <c r="E81" i="7" l="1"/>
  <c r="F81" i="7" s="1"/>
  <c r="H81" i="7" s="1"/>
  <c r="B165" i="10"/>
  <c r="Y80" i="7"/>
  <c r="AA80" i="7" s="1"/>
  <c r="J80" i="7"/>
  <c r="AF80" i="7" s="1"/>
  <c r="AI81" i="7" l="1"/>
  <c r="AH81" i="7"/>
  <c r="K80" i="7"/>
  <c r="V80" i="7" s="1"/>
  <c r="AB80" i="7" s="1"/>
  <c r="I81" i="7"/>
  <c r="B81" i="10" l="1"/>
  <c r="AD80" i="7"/>
  <c r="E82" i="7"/>
  <c r="Y81" i="7"/>
  <c r="AA81" i="7" s="1"/>
  <c r="B166" i="10"/>
  <c r="J81" i="7"/>
  <c r="K81" i="7" l="1"/>
  <c r="V81" i="7" s="1"/>
  <c r="AF81" i="7"/>
  <c r="F82" i="7"/>
  <c r="AB81" i="7" l="1"/>
  <c r="AD81" i="7" s="1"/>
  <c r="H82" i="7"/>
  <c r="B82" i="10" l="1"/>
  <c r="I82" i="7"/>
  <c r="J82" i="7" s="1"/>
  <c r="AI82" i="7"/>
  <c r="AH82" i="7"/>
  <c r="K82" i="7" l="1"/>
  <c r="V82" i="7" s="1"/>
  <c r="AF82" i="7"/>
  <c r="E83" i="7"/>
  <c r="F83" i="7" s="1"/>
  <c r="Y82" i="7"/>
  <c r="AA82" i="7" s="1"/>
  <c r="B167" i="10"/>
  <c r="H83" i="7" l="1"/>
  <c r="H2" i="7" s="1"/>
  <c r="F2" i="7"/>
  <c r="AB82" i="7"/>
  <c r="B83" i="10" s="1"/>
  <c r="E2" i="7"/>
  <c r="I83" i="7" l="1"/>
  <c r="I2" i="7" s="1"/>
  <c r="AD82" i="7"/>
  <c r="AI83" i="7"/>
  <c r="AH83" i="7"/>
  <c r="AH2" i="7" s="1"/>
  <c r="AI2" i="7"/>
  <c r="B168" i="10" l="1"/>
  <c r="Y83" i="7"/>
  <c r="AA83" i="7" s="1"/>
  <c r="J83" i="7"/>
  <c r="K83" i="7" s="1"/>
  <c r="V83" i="7" s="1"/>
  <c r="J2" i="7"/>
  <c r="Y2" i="7"/>
  <c r="AF83" i="7" l="1"/>
  <c r="AF2" i="7" s="1"/>
  <c r="B24" i="15"/>
  <c r="K2" i="7"/>
  <c r="V2" i="7"/>
  <c r="AA2" i="7"/>
  <c r="AB83" i="7" l="1"/>
  <c r="B84" i="10" l="1"/>
  <c r="AD83" i="7"/>
  <c r="AB2" i="7"/>
  <c r="B20" i="15" l="1"/>
  <c r="B12" i="15"/>
  <c r="B14" i="15" s="1"/>
  <c r="AD2" i="7"/>
</calcChain>
</file>

<file path=xl/sharedStrings.xml><?xml version="1.0" encoding="utf-8"?>
<sst xmlns="http://schemas.openxmlformats.org/spreadsheetml/2006/main" count="268" uniqueCount="191">
  <si>
    <t>Bharat Offshore Energy Ltd (BOEL)</t>
  </si>
  <si>
    <t>Production Parameters</t>
  </si>
  <si>
    <t>Parameter</t>
  </si>
  <si>
    <t>Value</t>
  </si>
  <si>
    <t>Unit</t>
  </si>
  <si>
    <t>Total initial production capacity</t>
  </si>
  <si>
    <t>barrels equivalent / week</t>
  </si>
  <si>
    <t>Initial allocation to crude oil</t>
  </si>
  <si>
    <t>proportion</t>
  </si>
  <si>
    <t>Initial allocation to natural gas</t>
  </si>
  <si>
    <t>Natural production decline rate</t>
  </si>
  <si>
    <t>per annum</t>
  </si>
  <si>
    <t>Storage Parameters</t>
  </si>
  <si>
    <t>Crude Oil</t>
  </si>
  <si>
    <t>Natural Gas</t>
  </si>
  <si>
    <t>Maximum storage capacity</t>
  </si>
  <si>
    <t>Initial storage level</t>
  </si>
  <si>
    <t>Fixed storage cost per week</t>
  </si>
  <si>
    <t>Variable storage cost per unit/week</t>
  </si>
  <si>
    <t>Pricing Parameters</t>
  </si>
  <si>
    <t>Base crude oil price</t>
  </si>
  <si>
    <t>USD per barrel</t>
  </si>
  <si>
    <t>Base natural gas price</t>
  </si>
  <si>
    <t>INR per BOE</t>
  </si>
  <si>
    <t>Base exchange rate</t>
  </si>
  <si>
    <t>INR per USD</t>
  </si>
  <si>
    <t>Base weekly demand - Crude Oil</t>
  </si>
  <si>
    <t>barrels per week</t>
  </si>
  <si>
    <t>Base weekly demand - Natural Gas</t>
  </si>
  <si>
    <t>BOE per week</t>
  </si>
  <si>
    <t>Cost Parameters</t>
  </si>
  <si>
    <t>Fixed operating cost (Week 1)</t>
  </si>
  <si>
    <t>INR per week</t>
  </si>
  <si>
    <t>Annual inflation - Base</t>
  </si>
  <si>
    <t>Annual inflation - Stress (Weeks 10-45)</t>
  </si>
  <si>
    <t>Annual inflation - Stress (Weeks 46-80)</t>
  </si>
  <si>
    <t>Weekly Demand Volatility Factors</t>
  </si>
  <si>
    <t>Multiplicative factors applied to base demand</t>
  </si>
  <si>
    <t>Week</t>
  </si>
  <si>
    <t>Crude Oil Factor</t>
  </si>
  <si>
    <t>Natural Gas Factor</t>
  </si>
  <si>
    <t>Stress Scenario - Deterministic Adjustment Table</t>
  </si>
  <si>
    <t>Oil Price
(USD/bbl)</t>
  </si>
  <si>
    <t>Gas Price
(INR/BOE)</t>
  </si>
  <si>
    <t>Exchange Rate
(INR/USD)</t>
  </si>
  <si>
    <t>Gas Demand
Adjustment (%)</t>
  </si>
  <si>
    <t>Oil Export
Proportion (%)</t>
  </si>
  <si>
    <t>Jarque-Bera Normality Test</t>
  </si>
  <si>
    <t>Number of observations (n)</t>
  </si>
  <si>
    <t>Sample Mean (μ)</t>
  </si>
  <si>
    <t>Sample Std Dev (σ)</t>
  </si>
  <si>
    <t>Sample Skewness (S)</t>
  </si>
  <si>
    <t>Sample Excess Kurtosis (K)</t>
  </si>
  <si>
    <t>JB Statistic = (n/6) × [S² + K²/4]</t>
  </si>
  <si>
    <t>Chi-Sq Critical Value (df=2, α=0.05)</t>
  </si>
  <si>
    <t>Conclusion</t>
  </si>
  <si>
    <t>Natural Gas Demand Volatility Factors</t>
  </si>
  <si>
    <t>Histogram Data - Oil Factors</t>
  </si>
  <si>
    <t>Bin Range</t>
  </si>
  <si>
    <t>Frequency</t>
  </si>
  <si>
    <t>0.90 - 0.93</t>
  </si>
  <si>
    <t>0.93 - 0.96</t>
  </si>
  <si>
    <t>0.96 - 0.99</t>
  </si>
  <si>
    <t>0.99 - 1.02</t>
  </si>
  <si>
    <t>1.02 - 1.05</t>
  </si>
  <si>
    <t>1.05 - 1.08</t>
  </si>
  <si>
    <t>1.08 - 1.11</t>
  </si>
  <si>
    <t>Base Scenario - Weekly Projection Model</t>
  </si>
  <si>
    <t>Total
Capacity</t>
  </si>
  <si>
    <t>Oil
Capacity</t>
  </si>
  <si>
    <t>Gas
Capacity</t>
  </si>
  <si>
    <t>Gas Open
Storage</t>
  </si>
  <si>
    <t>Oil Revenue
(INR)</t>
  </si>
  <si>
    <t>Gas Revenue
(INR)</t>
  </si>
  <si>
    <t>Total Revenue
(INR)</t>
  </si>
  <si>
    <t>Fixed Op
Cost</t>
  </si>
  <si>
    <t>Oil Storage
Cost</t>
  </si>
  <si>
    <t>Gas Storage
Cost</t>
  </si>
  <si>
    <t>Total
Cost</t>
  </si>
  <si>
    <t>Gross
Profit</t>
  </si>
  <si>
    <t>Discount
Factor</t>
  </si>
  <si>
    <t>PV Profit</t>
  </si>
  <si>
    <t>Charts</t>
  </si>
  <si>
    <t>Skewness</t>
  </si>
  <si>
    <t>Kurtosis</t>
  </si>
  <si>
    <t>Range Markers</t>
  </si>
  <si>
    <t>per week</t>
  </si>
  <si>
    <t>barrels or BOE</t>
  </si>
  <si>
    <t>INR</t>
  </si>
  <si>
    <t>INR per barrel or BOE</t>
  </si>
  <si>
    <t>Cost Inflation Factors</t>
  </si>
  <si>
    <t>Weekly inflation - Base</t>
  </si>
  <si>
    <t>Weekly inflation - Stress (Weeks 10-45)</t>
  </si>
  <si>
    <t>Weekly inflation - Stress (Weeks 46-80)</t>
  </si>
  <si>
    <t>Weekly discount rate for NPV</t>
  </si>
  <si>
    <t>Chart 1: Gross Profit</t>
  </si>
  <si>
    <t>Base GP</t>
  </si>
  <si>
    <t>Stress GP</t>
  </si>
  <si>
    <t>Sense Check 1: Capacity Declline</t>
  </si>
  <si>
    <t>Start Capacity</t>
  </si>
  <si>
    <t>Period</t>
  </si>
  <si>
    <t>Oil</t>
  </si>
  <si>
    <t>Gas</t>
  </si>
  <si>
    <t>Decline Factor</t>
  </si>
  <si>
    <t>Week 84 capacity</t>
  </si>
  <si>
    <t>In model</t>
  </si>
  <si>
    <t>Period (in years)</t>
  </si>
  <si>
    <t>Annual decline rate</t>
  </si>
  <si>
    <t>Sense Check 2: Stress NPV &lt; Base NPV</t>
  </si>
  <si>
    <t>Base NPV</t>
  </si>
  <si>
    <t>Stress NPV</t>
  </si>
  <si>
    <t>Check</t>
  </si>
  <si>
    <t>Checks&gt;&gt;</t>
  </si>
  <si>
    <t>Sense Check 3: Profitability drop in Stress Scenario</t>
  </si>
  <si>
    <t>Week 10 to 25</t>
  </si>
  <si>
    <t>Week 26 to 80</t>
  </si>
  <si>
    <t>Base</t>
  </si>
  <si>
    <t>Stress</t>
  </si>
  <si>
    <t>Week 1 to 9</t>
  </si>
  <si>
    <t>&lt;&lt; Acute Stess Period</t>
  </si>
  <si>
    <t>&lt;&lt; Rebound in the prices, leading to higher profitability</t>
  </si>
  <si>
    <t>Sense Check 4: Average Revenue per week for oil and Gas</t>
  </si>
  <si>
    <t>Commodity</t>
  </si>
  <si>
    <t>&lt;&lt; Impact on oil demand leading to lower revenues in Oil</t>
  </si>
  <si>
    <t>&lt;&lt; Higher gas prices leading to higher weekly average revenue in stress scenario</t>
  </si>
  <si>
    <t>Production Declining</t>
  </si>
  <si>
    <t>Sales less than demand</t>
  </si>
  <si>
    <t>Sales not more than what is available</t>
  </si>
  <si>
    <t>BOEL - Weekly Financial Projection Model Under Geopolitical Shock</t>
  </si>
  <si>
    <t>Purpose</t>
  </si>
  <si>
    <t>Data</t>
  </si>
  <si>
    <t>Assumptions</t>
  </si>
  <si>
    <t>Base_Scenario</t>
  </si>
  <si>
    <t>This sheet contains the full 80-week projection under Base (stable) conditions.</t>
  </si>
  <si>
    <t>Automated Checks:</t>
  </si>
  <si>
    <t>Stress Scenario</t>
  </si>
  <si>
    <t>This sheet contains the full 80-week projection under the Stress (Geopolitical Shock) scenario.</t>
  </si>
  <si>
    <t>Sense Checks</t>
  </si>
  <si>
    <t xml:space="preserve">The distribution appears broadly bell-shaped with a clear central peak around 1.00, indicating it is approximately normal. </t>
  </si>
  <si>
    <t xml:space="preserve">The frequencies taper on both sides, though there is a slight asymmetry suggesting mild skewness. </t>
  </si>
  <si>
    <t>Overall, it is reasonably consistent with a normal distribution, with only minor deviations.</t>
  </si>
  <si>
    <t>Oil Demand</t>
  </si>
  <si>
    <t>Excess oil production discount</t>
  </si>
  <si>
    <t>Excess gas production discount</t>
  </si>
  <si>
    <t>Chart 2: Storage Levels - Oil</t>
  </si>
  <si>
    <t>Base Scenario</t>
  </si>
  <si>
    <t>Chart 3: Storage Levels - Gas</t>
  </si>
  <si>
    <t>Total Production is sold or stored</t>
  </si>
  <si>
    <t>Oil Available Volume for Sale</t>
  </si>
  <si>
    <t>Gas Available Volume for Sale</t>
  </si>
  <si>
    <t>Gas Demand</t>
  </si>
  <si>
    <t>Oil Primary Sales</t>
  </si>
  <si>
    <t>Gas Primary Sales</t>
  </si>
  <si>
    <t>Oil Opening
Storage</t>
  </si>
  <si>
    <t>Oil Closing Storage</t>
  </si>
  <si>
    <t>Gas Closing Storage</t>
  </si>
  <si>
    <t>Oil Excess Volumes</t>
  </si>
  <si>
    <t>Gas Excess Volumes</t>
  </si>
  <si>
    <t>The purpose of this model is to project the weekly financial performance of Bharat Offshore Energy Ltd (BOEL) over an 80-week horizon under two scenarios:
• Scenario 1 (Base): Stable macroeconomic conditions with normal demand and pricing.
• Scenario 2 (Stress): A geopolitical shock involving disruption of shipping lanes through the Strait of Hormuz, resulting in crude oil export blockage, elevated gas demand, price changes, currency depreciation, and higher inflation.
BOEL operates an offshore block producing both crude oil (exported via tanker through the Strait of Hormuz) and natural gas (supplied domestically via pipeline). The model projects weekly production, storage, primary sales, excess volume disposal, revenues, costs, gross profit and present value of gross profit for each product under both scenarios.
The model has been built to assist the Board of BOEL in understanding the financial resilience of the business under adverse geopolitical conditions.</t>
  </si>
  <si>
    <t>BOEL has provided the following information:
1. Production parameters including total initial production capacity (120,000 BOE/week), allocation split between crude oil (70%) and natural gas (30%), and annual production decline rate — tabulated in the 'Parameters' sheet.
2. Storage parameters including maximum storage capacity for each product, initial storage levels, and fixed and variable storage costs per unit — tabulated in the 'Parameters' sheet.
3. Base weekly demand for crude oil (78,000 barrels) and natural gas (32,000 BOE) — tabulated in the 'Parameters' sheet.
4. Weekly demand volatility factors as multiplicative adjustments to base demand for each product over 80 weeks — tabulated in the 'Demand_Volatility' sheet.
5. Pricing parameters including base crude oil price (USD 72/barrel), natural gas price (INR 3,200/BOE), base exchange rate (INR 83/USD), and discount factors for excess volume disposal (70% discount for oil, 50% discount for gas) — tabulated in the 'Parameters' sheet (cells B20–B24).
6. Fixed weekly operating cost (INR 245 million in Week 1), annual inflation rates under each scenario, and annual discount rate for NPV calculation — tabulated in the 'Parameters' sheet.
7. Stress scenario deterministic adjustment table with week-by-week values for oil price, gas price, exchange rate, gas demand adjustment percentage, and oil export proportion — tabulated in the 'Stress_Data' sheet.</t>
  </si>
  <si>
    <t>In Column A, week numbers 1 to 80 are entered (rows 4 to 83).</t>
  </si>
  <si>
    <t>In Column B, total production capacity is calculated as 120,000 × (1 − weekly decline rate)^(week − 1), where the weekly decline rate is taken from cell B9 of "Parameters". For Week 1 (Row 4), capacity equals 120,000. For subsequent weeks, capacity declines multiplicatively using the formula =B4*(1-Parameters!$B$9).</t>
  </si>
  <si>
    <t>Stress Scenario - Weekly Projection Model</t>
  </si>
  <si>
    <t>Annual rate for NPV</t>
  </si>
  <si>
    <t>Crude Oil Demand Volatility Factors JB Test</t>
  </si>
  <si>
    <t>NA</t>
  </si>
  <si>
    <t>A Jarque-Bera (JB) test has been performed on both sets of demand volatility factors to verify that they follow a Normal distribution:
Step 1: Sample mean (μ) and sample standard deviation (σ) are calculated for the oil and gas volatility factors provided in the 'Demand_Volatility' sheet.
Step 2: Sample skewness S = (1/n) × Σ[(xi − μ)/σ]³ is calculated. Intermediate cubed standardised values are shown in Column E of the 'Demand_Volatility' sheet for crude oil and Column H for natural gas.
Step 3: Sample excess kurtosis K = (1/n) × Σ[(xi − μ)/σ]⁴ − 3 is calculated. Intermediate fourth-power values are shown in Column F and Column I of the 'Demand_Volatility' sheet for Crude oil and Natural Gas respectively.
Step 4: JB statistic = (n/6) × [S² + K²/4] is calculated.
Step 5: The JB statistic is compared against the Chi-Squared critical value at 2 degrees of freedom and 95% significance level using CHISQ.INV.RT(0.05, 2) = 5.991.
Results:
• Oil factors: JB = 0.301, which is less than 5.991. Cannot reject normality. PASS.
• Gas factors: JB = 0.843, which is less than 5.991. Cannot reject normality. PASS.
Both sets of demand volatility factors can be treated as Normally distributed. Results are documented in the 'JB_Test' sheet.
A histogram of demand volatility factors has been prepared to provide a graphical check. The data plots as a bell-shaped distribution, consistent with normality.</t>
  </si>
  <si>
    <t>JB Test</t>
  </si>
  <si>
    <t>The following assumptions have been made:
• Apart from the data errors discovered, the data provided by BOEL is correct and can be used for projections.
• All cashflows occur at the end of each week.
• The annual production decline rate is converted to a weekly rate using compound conversion: (1- (1 - annual rate)^(1/52)), calculated in cell B9 of the 'Parameters' sheet. The rate is NOT divided by 52. 
• The compounding approach applicable to annual inflation rates and the hurdle rate to convery to a weekly rate follows: (1+annual rate)^(1/52)-1.
• The 70/30 allocation between crude oil and natural gas is fixed throughout the projection period.
• Natural gas capacity is expressed in barrel of oil equivalent (BOE) units for comparability with crude oil.
• The Strait of Hormuz is the only viable export route for BOEL's crude oil. No alternative shipping lanes or domestic crude oil primary sales channels are available. When the strait is blocked, oil primary sales fall to zero.
• Excess crude oil that cannot be stored is disposed of in the domestic spot market at a 70% discount to the prevailing crude oil price (i.e., sold at 30% of price). Such a discount prevails even in the stressed scenario
• Excess natural gas that cannot be stored is disposed of to industrial consumers under short-term emergency offtake agreements at a 50% discount to the prevailing gas price (i.e., sold at 50% of price). Such a discount rate prevails even in the stressed scenario
• Variable production costs are not separately modelled. Total cost comprises fixed operating cost and storage costs only. This reflects the assumption that incremental production costs are negligible relative to fixed costs for an offshore facility.
• Natural gas supply via the domestic undersea pipeline is entirely independent of the Strait of Hormuz disruption.
• BOEL has no oil price or foreign exchange hedging arrangements in place.
• Under the Stress Scenario, crude oil production continues during Phase 1 subject only to storage constraints. The company does not voluntarily shut down production.
• During Phase 2 (Weeks 26–80), crude oil primary sales are restricted to 85% of normal effective demand, and this restriction remains constant throughout Phase 2.
• During the stressed period, the price of the crude oil in the disposed markets is still pegged to export markets. The price has no impact of oversupply of crude oil in the market.
• Demand volatility factors are multiplicative adjustments to base demand. Under the Stress Scenario, scenario-specific adjustments are applied on top of the volatility factors. Volatility patterns are assumed identical under stress and base conditions.
• The offshore facility operates continuously with no planned maintenance shutdowns during the projection period.
• No new wells, capacity expansion, or exploration activity occurs during the 80-week projection.
• No capital expenditure, tax, counterparty risk, or supply-side cost disruption (beyond modelled inflation) has been modelled.</t>
  </si>
  <si>
    <t>In Column E, oil opening storage equals 30,000 barrels for Week 1 (from "Parameters" sheet), and equals the previous week's closing storage (Column I) from Week 2 onwards.</t>
  </si>
  <si>
    <t>In Column F, oil available volume for sale is calculated as oil capacity plus oil opening storage.This represents the maximum volume that could be sold in the week from any source (production or existing inventory).</t>
  </si>
  <si>
    <t>In Column G, oil effective demand is calculated as base weekly oil demand of 78,000 barrels (from "Parameters" sheet) multiplied by the weekly oil demand volatility factor from Column B of the "Demand_Volatility" sheet</t>
  </si>
  <si>
    <t>In Column H, oil primary sales are calculated as MIN(Oil Available Volume, Oil Effective Demand). Sales are constrained to the lesser of what is available and what the market demands.</t>
  </si>
  <si>
    <t>In Column I, oil closing storage is calculated as the minimum of maximum storage capacity and the maximum of zero and (opening storage + capacity − primary sales). This ensures closing storage is non-negative and does not exceed the storage maxima.</t>
  </si>
  <si>
    <t>In Column J, oil excess volumes are calculated as any production that could not be sold as primary sales and could not be stored by taking the difference between Production + opening storage and sales + closing storage.</t>
  </si>
  <si>
    <t>In Column K, oil revenue (INR) is calculated as:
   Primary Sales Revenue: Primary sales × oil price (USD) × exchange rate
   Excess Disposal Revenue: Excess Volumes × oil price (USD) × exchange rate × (1 − Discount)</t>
  </si>
  <si>
    <t>In Column D, oil capacity is calculated as total capacity (Column B) multiplied by the oil allocation proportion from "Parameters" sheet</t>
  </si>
  <si>
    <t>Columns M to T follow the same structure for Natural Gas, using gas-specific parameters:
• Column M: Gas capacity = Total Capacity x Natural Gas Allocation (from Parameter's sheet)
• Column N: Gas opening storage = Initial Level of Storage from "Parameters"; thereafter Column R of prior week
• Column O: Gas available volume = Column M + Column N
• Column P: Gas demand = Base Demand from "Parameters" sheet × volatility factor from Column C of "Demand_Volatility"
• Column Q: Gas primary sales = MIN(Column O and Column P), ie, Minimum(Available volumes, Demand)
• Column R: Gas closing storage = MIN(Maximum Storage Capacity for Gas, MAX(0, N+M−Q))
• Column S: Gas excess volumes = columns M+N−Q−R
• Column T: Gas revenue (INR) = (Q×gas price B21) + (S×gas price B21×(1−B23))</t>
  </si>
  <si>
    <t>In Column V, total revenue is calculated as oil revenue plus gas revenue - columns K + columns T</t>
  </si>
  <si>
    <t>In Column W, cost inflation factor is calculated as 1 for Week 1, and for subsequent weeks as the previous week's inflation factor multiplied by (1 + weekly base inflation rate). The weekly base inflation rate is derived as (1+inflation rate)^(1/52)−1.</t>
  </si>
  <si>
    <t>In Column X, fixed operating cost is calculated as the base fixed cost of base fixed cost provided in the "Parameters" sheet multiplied by the cost inflation factor.</t>
  </si>
  <si>
    <t>In Column Z, gas storage cost follows the same structure as oil, using the parameters relevant to natural gas</t>
  </si>
  <si>
    <t>In Column AA, total cost is calculated as the sum of fixed operating cost, oil storage cost, and gas storage cost: =Columns X+Y+Z</t>
  </si>
  <si>
    <t>In Column AB, gross profit is calculated as total revenue minus total cost: =Column V - Column AA</t>
  </si>
  <si>
    <t>In Column AC, discount factor is calculated as (1 + weekly discount rate)^(−week), where the weekly discount rate is derived from annual hurdle rate provided in the "Parameters" sheet</t>
  </si>
  <si>
    <t>In Column AD, present value of gross profit is calculated as gross profit × discount factor - Column AB x Column AC</t>
  </si>
  <si>
    <t xml:space="preserve">In Column Y, oil storage cost is calculated as (fixed storage cost + variable storage cost × closing storage) × inflation factor. The fixed storage costs and variable storage cost are picked from "Parameters" sheet. </t>
  </si>
  <si>
    <t>In Columns AF to AI, four automated checks are included:
• Column AF checks that all production is accounted for (sold as primary sales, sold as excess disposal, or stored) for both products.
• Column AG checks that total production capacity is declining week-on-week: returns 0 if valid.
• Column AH checks that primary sales do not exceed effective demand for either product: returns 0 if valid.
• Column AI checks that primary sales do not exceed the available volume (capacity + opening storage) for either product: returns 0 if valid.
All four checks return 0 across all 80 weeks, confirming the model is functioning correctly.</t>
  </si>
  <si>
    <t>The column structure is identical to the Base_Scenario sheet (Columns A to AI). Weeks 1–9 are identical to the Base Scenario. The key differences from Week 10 onwards are as follows:
Column G — Oil Effective Demand: incorporates the oil export proportion from Column F of "Stress_Data".
Column K — Oil Revenue: uses the stress oil price from Column B of "Stress_Data" and the stress exchange rate from Column D of "Stress_Data"
Column P — Gas Effective Demand: incorporates the gas demand adjustment from Column E of "Stress_Data".
Column T — Gas Revenue: uses the stress gas price from Column C of "Stress_Data"
Column W — Cost Inflation Factor: uses the stress weekly inflation rates as provided in the "Parameters" Sheet
Columns AF to AI: the same four automated checks as the Base sheet are included and all return 0, confirming the stress model is functioning correctly.</t>
  </si>
  <si>
    <t>This sheet contains higher-level reasonableness checks comparing outputs across scenarios.
Sense Check 1 — Capacity Decline:
The model's Week 80 capacity is compared against an independent calculation using the annual decline factor over 79/52 years: 120,000 × (1 − weekly decline rate)^(80/52). The model output is consistent with this independent figure, confirming the weekly decline rate conversion is working correctly.
Sense Check 2 — Stress NPV &lt; Base NPV:
Total PV of gross profit under the Stress Scenario (SUM of Column AD of "Stress_Scenario") is compared against the Base Scenario (SUM of Column AD of "Base_Scenario"). The check returns TRUE, confirming the stress scenario produces a lower NPV than base, as expected given the oil export blockage and higher inflation.
Sense Check 3 — Profitability by Period:
Gross profit (PV) is aggregated into three periods under both scenarios:
• Weeks 1–9: identical under both scenarios, as the shock begins at Week 10.
• Weeks 10–25 (Acute Shock): Base is profitable; Stress records a loss driven by zero primary oil revenue, continued fixed costs, and elevated inflation. Partial revenue from excess oil disposal at discount partially offsets this.
• Weeks 26–80 (Recovery): Stress profitability recovers and may exceed Base due to elevated oil and gas prices and favourable exchange rate, partially offset by higher inflation.
Sense Check 4 — Average Revenue per Week:
Average weekly oil revenue and gas revenue are compared across scenarios using AVERAGE(). Oil revenue is lower under Stress (due to zero primary sales during Phase 1 and excess disposal at discount). Gas revenue is higher under Stress (elevated prices and demand). Both are directionally consistent with scenario assumptions.</t>
  </si>
  <si>
    <t>This sheet contains three charts with their underlying data tables.
Chart 1 — Present Value of Gross Profit over 80 Weeks (Base vs Stress):
A line chart comparing weekly PV of gross profit (Column AD) under both scenarios. The chart shows stable positive values under Base versus the collapse during Phase 1 of the Stress Scenario, followed by recovery during Phase 2.
Chart 2 — Crude Oil Storage Levels under the Both Scenario:
A line chart showing crude oil closing storage (Column R) over 80 weeks from both Scenarios. The storage declines under the base scenario as the production capacity declines to an extent where it is lower than the demand. Thus the storage gets used up and no excess production results in no replenish of the inventory. This happens gradually in Base Scenario. In the stress scenario due to higher demand, there is shortage production, leading to a depleting storage levels once we enter the phase 1. 
Chart 2 — Natural Gas Storage Levels under the Both Scenario:
A line chart showing crude oil closing storage (Column I) over 80 weeks from both Scenarios. The storage declines under the base scenario as the production capacity declines to an extent where it is lower than the demand. Thus the storage gets used up and no excess production results in no replenish of the inventory. In the stress scenario due to lower demand, there is excess production, leading to a high storage levels through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</si>
</sst>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0000"/>
    <numFmt numFmtId="166" formatCode="0.0%"/>
    <numFmt numFmtId="167" formatCode="0.0000%"/>
    <numFmt numFmtId="168" formatCode="#,##0.0000"/>
  </numFmts>
  <fonts count="19" x14ac:knownFonts="1">
    <font>
      <sz val="11"/>
      <color theme="1"/>
      <name val="Calibri"/>
      <family val="2"/>
      <scheme val="minor"/>
    </font>
    <font>
      <b/>
      <sz val="14"/>
      <name val="Arial"/>
      <family val="2"/>
    </font>
    <font>
      <b/>
      <sz val="12"/>
      <name val="Arial"/>
      <family val="2"/>
    </font>
    <font>
      <b/>
      <sz val="10"/>
      <name val="Arial"/>
      <family val="2"/>
    </font>
    <font>
      <sz val="10"/>
      <name val="Arial"/>
      <family val="2"/>
    </font>
    <font>
      <b/>
      <sz val="11"/>
      <name val="Arial"/>
      <family val="2"/>
    </font>
    <font>
      <sz val="10"/>
      <color rgb="FF0000FF"/>
      <name val="Arial"/>
      <family val="2"/>
    </font>
    <font>
      <i/>
      <sz val="10"/>
      <name val="Arial"/>
      <family val="2"/>
    </font>
    <font>
      <sz val="11"/>
      <color rgb="FFFF0000"/>
      <name val="Calibri"/>
      <family val="2"/>
      <scheme val="minor"/>
    </font>
    <font>
      <sz val="10"/>
      <name val="Arial"/>
      <family val="2"/>
    </font>
    <font>
      <b/>
      <sz val="11"/>
      <name val="Arial"/>
      <family val="2"/>
    </font>
    <font>
      <b/>
      <sz val="10"/>
      <color rgb="FF008000"/>
      <name val="Arial"/>
      <family val="2"/>
    </font>
    <font>
      <b/>
      <sz val="10"/>
      <name val="Arial"/>
      <family val="2"/>
    </font>
    <font>
      <b/>
      <sz val="14"/>
      <name val="Arial"/>
      <family val="2"/>
    </font>
    <font>
      <i/>
      <sz val="11"/>
      <color theme="1"/>
      <name val="Calibri"/>
      <family val="2"/>
      <scheme val="minor"/>
    </font>
    <font>
      <b/>
      <i/>
      <sz val="10"/>
      <name val="Arial"/>
      <family val="2"/>
    </font>
    <font>
      <sz val="10"/>
      <name val="Arial"/>
      <family val="2"/>
    </font>
    <font>
      <b/>
      <sz val="12"/>
      <color theme="1"/>
      <name val="Arial"/>
      <family val="2"/>
    </font>
    <font>
      <sz val="11"/>
      <color theme="1"/>
      <name val="Calibri"/>
      <family val="2"/>
      <charset val="1"/>
    </font>
  </fonts>
  <fills count="6">
    <fill>
      <patternFill patternType="none"/>
    </fill>
    <fill>
      <patternFill patternType="gray125"/>
    </fill>
    <fill>
      <patternFill patternType="solid">
        <fgColor rgb="FFD9E2F3"/>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8" fillId="0" borderId="0"/>
    <xf numFmtId="0" fontId="4" fillId="0" borderId="0"/>
  </cellStyleXfs>
  <cellXfs count="6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0" fillId="0" borderId="1" xfId="0" applyBorder="1" applyAlignment="1">
      <alignment horizontal="center" vertical="center"/>
    </xf>
    <xf numFmtId="165"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3" fillId="2" borderId="1" xfId="0" applyFont="1" applyFill="1" applyBorder="1"/>
    <xf numFmtId="3" fontId="4" fillId="0" borderId="1" xfId="0" applyNumberFormat="1" applyFont="1" applyBorder="1" applyAlignment="1">
      <alignment horizontal="center" vertical="center"/>
    </xf>
    <xf numFmtId="166" fontId="4" fillId="0" borderId="1" xfId="0" applyNumberFormat="1" applyFont="1" applyBorder="1" applyAlignment="1">
      <alignment horizontal="center" vertical="center"/>
    </xf>
    <xf numFmtId="9" fontId="4"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3" fontId="6" fillId="0" borderId="1" xfId="0" applyNumberFormat="1" applyFont="1" applyBorder="1" applyAlignment="1">
      <alignment horizontal="center" vertical="center"/>
    </xf>
    <xf numFmtId="166" fontId="6" fillId="0" borderId="1" xfId="0" applyNumberFormat="1" applyFont="1" applyBorder="1" applyAlignment="1">
      <alignment horizontal="center" vertical="center"/>
    </xf>
    <xf numFmtId="0" fontId="5" fillId="2" borderId="1" xfId="0" applyFont="1" applyFill="1" applyBorder="1" applyAlignment="1">
      <alignment horizontal="center" vertical="center" wrapText="1"/>
    </xf>
    <xf numFmtId="165" fontId="9" fillId="0" borderId="1" xfId="0" applyNumberFormat="1" applyFont="1" applyBorder="1" applyAlignment="1">
      <alignment horizontal="center" vertical="center"/>
    </xf>
    <xf numFmtId="0" fontId="11" fillId="0" borderId="1" xfId="0" applyFont="1" applyBorder="1" applyAlignment="1">
      <alignment horizontal="left" vertical="center"/>
    </xf>
    <xf numFmtId="3" fontId="0" fillId="0" borderId="0" xfId="0" applyNumberFormat="1"/>
    <xf numFmtId="0" fontId="8" fillId="0" borderId="0" xfId="0" applyFont="1"/>
    <xf numFmtId="0" fontId="9" fillId="0" borderId="1" xfId="0" applyFont="1" applyBorder="1" applyAlignment="1">
      <alignment horizontal="left" vertical="center"/>
    </xf>
    <xf numFmtId="0" fontId="12" fillId="2"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xf>
    <xf numFmtId="168" fontId="4" fillId="0" borderId="1" xfId="0" applyNumberFormat="1" applyFont="1" applyBorder="1" applyAlignment="1">
      <alignment horizontal="center" vertical="center"/>
    </xf>
    <xf numFmtId="0" fontId="12" fillId="2" borderId="1" xfId="0" applyFont="1" applyFill="1" applyBorder="1"/>
    <xf numFmtId="0" fontId="4" fillId="4" borderId="1" xfId="0" applyFont="1" applyFill="1" applyBorder="1" applyAlignment="1">
      <alignment horizontal="left" vertical="center"/>
    </xf>
    <xf numFmtId="166" fontId="6" fillId="4" borderId="1" xfId="0" applyNumberFormat="1" applyFont="1" applyFill="1" applyBorder="1" applyAlignment="1">
      <alignment horizontal="center" vertical="center"/>
    </xf>
    <xf numFmtId="0" fontId="9" fillId="4" borderId="1" xfId="0" applyFont="1" applyFill="1" applyBorder="1" applyAlignment="1">
      <alignment horizontal="left" vertical="center"/>
    </xf>
    <xf numFmtId="167" fontId="6" fillId="4" borderId="1" xfId="0" applyNumberFormat="1" applyFont="1" applyFill="1" applyBorder="1" applyAlignment="1">
      <alignment horizontal="center" vertical="center"/>
    </xf>
    <xf numFmtId="168" fontId="4" fillId="3" borderId="1" xfId="0" applyNumberFormat="1" applyFont="1" applyFill="1" applyBorder="1" applyAlignment="1">
      <alignment horizontal="center" vertical="center"/>
    </xf>
    <xf numFmtId="0" fontId="13" fillId="0" borderId="0" xfId="0" applyFont="1"/>
    <xf numFmtId="0" fontId="14" fillId="0" borderId="0" xfId="0" applyFont="1"/>
    <xf numFmtId="0" fontId="0" fillId="0" borderId="1" xfId="0" applyBorder="1"/>
    <xf numFmtId="3" fontId="0" fillId="0" borderId="1" xfId="0" applyNumberFormat="1" applyBorder="1"/>
    <xf numFmtId="4" fontId="0" fillId="0" borderId="1" xfId="0" applyNumberFormat="1" applyBorder="1"/>
    <xf numFmtId="9" fontId="0" fillId="0" borderId="0" xfId="0" applyNumberFormat="1"/>
    <xf numFmtId="0" fontId="0" fillId="0" borderId="1" xfId="0" applyBorder="1" applyAlignment="1">
      <alignment horizontal="center"/>
    </xf>
    <xf numFmtId="3" fontId="0" fillId="0" borderId="1" xfId="0" applyNumberFormat="1" applyBorder="1" applyAlignment="1">
      <alignment horizontal="center"/>
    </xf>
    <xf numFmtId="0" fontId="1"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15" fillId="0" borderId="0" xfId="0" applyFont="1" applyAlignment="1">
      <alignment vertical="top" wrapText="1"/>
    </xf>
    <xf numFmtId="0" fontId="9" fillId="0" borderId="0" xfId="0" applyFont="1" applyAlignment="1">
      <alignment vertical="top" wrapText="1"/>
    </xf>
    <xf numFmtId="0" fontId="11" fillId="0" borderId="0" xfId="0" applyFont="1" applyAlignment="1">
      <alignment horizontal="left" vertical="center"/>
    </xf>
    <xf numFmtId="3" fontId="14" fillId="0" borderId="0" xfId="0" applyNumberFormat="1" applyFont="1"/>
    <xf numFmtId="9" fontId="6" fillId="0" borderId="1" xfId="0" applyNumberFormat="1" applyFont="1" applyBorder="1" applyAlignment="1">
      <alignment horizontal="center" vertical="center"/>
    </xf>
    <xf numFmtId="0" fontId="16" fillId="0" borderId="0" xfId="0" applyFont="1" applyAlignment="1">
      <alignment vertical="top" wrapText="1"/>
    </xf>
    <xf numFmtId="9" fontId="0" fillId="0" borderId="1" xfId="0" applyNumberFormat="1" applyBorder="1"/>
    <xf numFmtId="0" fontId="0" fillId="0" borderId="0" xfId="0" applyAlignment="1">
      <alignment horizontal="center"/>
    </xf>
    <xf numFmtId="165" fontId="0" fillId="0" borderId="0" xfId="0" applyNumberFormat="1" applyAlignment="1">
      <alignment horizontal="center"/>
    </xf>
    <xf numFmtId="164" fontId="0" fillId="0" borderId="0" xfId="0" applyNumberFormat="1"/>
    <xf numFmtId="164" fontId="9" fillId="0" borderId="1" xfId="0" applyNumberFormat="1" applyFont="1" applyBorder="1" applyAlignment="1">
      <alignment horizontal="center" vertical="center"/>
    </xf>
    <xf numFmtId="0" fontId="17" fillId="0" borderId="0" xfId="0" applyFont="1"/>
    <xf numFmtId="0" fontId="14" fillId="5" borderId="1" xfId="0" applyFont="1" applyFill="1" applyBorder="1" applyAlignment="1">
      <alignment horizontal="center"/>
    </xf>
    <xf numFmtId="0" fontId="14" fillId="5" borderId="2" xfId="0" applyFont="1" applyFill="1" applyBorder="1" applyAlignment="1">
      <alignment horizontal="center"/>
    </xf>
    <xf numFmtId="0" fontId="14" fillId="5" borderId="4" xfId="0" applyFont="1" applyFill="1" applyBorder="1" applyAlignment="1">
      <alignment horizontal="center"/>
    </xf>
    <xf numFmtId="0" fontId="14" fillId="5" borderId="3" xfId="0" applyFont="1" applyFill="1" applyBorder="1" applyAlignment="1">
      <alignment horizontal="center"/>
    </xf>
    <xf numFmtId="0" fontId="2" fillId="0" borderId="0" xfId="0" applyFont="1"/>
    <xf numFmtId="0" fontId="0" fillId="0" borderId="0" xfId="0"/>
    <xf numFmtId="0" fontId="1" fillId="0" borderId="0" xfId="0" applyFont="1"/>
    <xf numFmtId="0" fontId="7" fillId="0" borderId="0" xfId="0" applyFont="1"/>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cellXfs>
  <cellStyles count="3">
    <cellStyle name="Normal" xfId="0" builtinId="0"/>
    <cellStyle name="Normal 2" xfId="1" xr:uid="{52DB8831-39EA-4B6B-BFED-005DBB81AE3E}"/>
    <cellStyle name="Normal 2 2" xfId="2" xr:uid="{9DB6CB88-7A72-43BD-A498-FF7DA96B01B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IN"/>
              <a:t>Histogram - Oil Demand Volatility Factors</a:t>
            </a:r>
          </a:p>
        </c:rich>
      </c:tx>
      <c:overlay val="1"/>
    </c:title>
    <c:autoTitleDeleted val="0"/>
    <c:plotArea>
      <c:layout>
        <c:manualLayout>
          <c:layoutTarget val="inner"/>
          <c:xMode val="edge"/>
          <c:yMode val="edge"/>
          <c:x val="7.7812884306625432E-2"/>
          <c:y val="3.1055999118991245E-2"/>
          <c:w val="0.79163775470989117"/>
          <c:h val="0.8597086063542756"/>
        </c:manualLayout>
      </c:layout>
      <c:barChart>
        <c:barDir val="col"/>
        <c:grouping val="clustered"/>
        <c:varyColors val="1"/>
        <c:ser>
          <c:idx val="0"/>
          <c:order val="0"/>
          <c:tx>
            <c:strRef>
              <c:f>JB_Test!$C$28</c:f>
              <c:strCache>
                <c:ptCount val="1"/>
                <c:pt idx="0">
                  <c:v>Frequency</c:v>
                </c:pt>
              </c:strCache>
            </c:strRef>
          </c:tx>
          <c:spPr>
            <a:solidFill>
              <a:srgbClr val="8EB4E3"/>
            </a:solidFill>
            <a:ln>
              <a:prstDash val="solid"/>
            </a:ln>
          </c:spPr>
          <c:invertIfNegative val="1"/>
          <c:cat>
            <c:strRef>
              <c:f>JB_Test!$A$29:$A$35</c:f>
              <c:strCache>
                <c:ptCount val="7"/>
                <c:pt idx="0">
                  <c:v>0.90 - 0.93</c:v>
                </c:pt>
                <c:pt idx="1">
                  <c:v>0.93 - 0.96</c:v>
                </c:pt>
                <c:pt idx="2">
                  <c:v>0.96 - 0.99</c:v>
                </c:pt>
                <c:pt idx="3">
                  <c:v>0.99 - 1.02</c:v>
                </c:pt>
                <c:pt idx="4">
                  <c:v>1.02 - 1.05</c:v>
                </c:pt>
                <c:pt idx="5">
                  <c:v>1.05 - 1.08</c:v>
                </c:pt>
                <c:pt idx="6">
                  <c:v>1.08 - 1.11</c:v>
                </c:pt>
              </c:strCache>
            </c:strRef>
          </c:cat>
          <c:val>
            <c:numRef>
              <c:f>JB_Test!$C$29:$C$35</c:f>
              <c:numCache>
                <c:formatCode>General</c:formatCode>
                <c:ptCount val="7"/>
                <c:pt idx="0">
                  <c:v>2</c:v>
                </c:pt>
                <c:pt idx="1">
                  <c:v>15</c:v>
                </c:pt>
                <c:pt idx="2">
                  <c:v>40</c:v>
                </c:pt>
                <c:pt idx="3">
                  <c:v>49</c:v>
                </c:pt>
                <c:pt idx="4">
                  <c:v>41</c:v>
                </c:pt>
                <c:pt idx="5">
                  <c:v>10</c:v>
                </c:pt>
                <c:pt idx="6">
                  <c:v>3</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0798-4728-B175-B2B8799C717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en-IN"/>
                  <a:t>Factor Range</a:t>
                </a:r>
              </a:p>
            </c:rich>
          </c:tx>
          <c:overlay val="1"/>
        </c:title>
        <c:numFmt formatCode="General" sourceLinked="1"/>
        <c:majorTickMark val="out"/>
        <c:minorTickMark val="none"/>
        <c:tickLblPos val="nextTo"/>
        <c:crossAx val="100"/>
        <c:crosses val="autoZero"/>
        <c:auto val="1"/>
        <c:lblAlgn val="ctr"/>
        <c:lblOffset val="100"/>
        <c:noMultiLvlLbl val="1"/>
      </c:catAx>
      <c:valAx>
        <c:axId val="100"/>
        <c:scaling>
          <c:orientation val="minMax"/>
        </c:scaling>
        <c:delete val="0"/>
        <c:axPos val="l"/>
        <c:title>
          <c:tx>
            <c:rich>
              <a:bodyPr/>
              <a:lstStyle/>
              <a:p>
                <a:pPr>
                  <a:defRPr/>
                </a:pPr>
                <a:r>
                  <a:rPr lang="en-IN"/>
                  <a:t>Frequency</a:t>
                </a:r>
              </a:p>
            </c:rich>
          </c:tx>
          <c:overlay val="1"/>
        </c:title>
        <c:numFmt formatCode="General" sourceLinked="1"/>
        <c:majorTickMark val="out"/>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IN"/>
              <a:t> Gross Profit - Base vs Stress</a:t>
            </a:r>
          </a:p>
        </c:rich>
      </c:tx>
      <c:overlay val="1"/>
    </c:title>
    <c:autoTitleDeleted val="0"/>
    <c:plotArea>
      <c:layout/>
      <c:lineChart>
        <c:grouping val="standard"/>
        <c:varyColors val="1"/>
        <c:ser>
          <c:idx val="0"/>
          <c:order val="0"/>
          <c:tx>
            <c:strRef>
              <c:f>Charts!$B$4</c:f>
              <c:strCache>
                <c:ptCount val="1"/>
                <c:pt idx="0">
                  <c:v>Base GP</c:v>
                </c:pt>
              </c:strCache>
            </c:strRef>
          </c:tx>
          <c:spPr>
            <a:ln w="20000">
              <a:prstDash val="solid"/>
            </a:ln>
          </c:spPr>
          <c:marker>
            <c:symbol val="none"/>
          </c:marker>
          <c:cat>
            <c:numRef>
              <c:f>Charts!$A$5:$A$84</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cat>
          <c:val>
            <c:numRef>
              <c:f>Charts!$B$5:$B$84</c:f>
              <c:numCache>
                <c:formatCode>#,##0</c:formatCode>
                <c:ptCount val="80"/>
                <c:pt idx="0">
                  <c:v>293930508.80000007</c:v>
                </c:pt>
                <c:pt idx="1">
                  <c:v>327029518.17104506</c:v>
                </c:pt>
                <c:pt idx="2">
                  <c:v>325046906.36750746</c:v>
                </c:pt>
                <c:pt idx="3">
                  <c:v>325464951.01615477</c:v>
                </c:pt>
                <c:pt idx="4">
                  <c:v>324267031.27299577</c:v>
                </c:pt>
                <c:pt idx="5">
                  <c:v>329384246.72877139</c:v>
                </c:pt>
                <c:pt idx="6">
                  <c:v>319643670.53496587</c:v>
                </c:pt>
                <c:pt idx="7">
                  <c:v>318348150.52902448</c:v>
                </c:pt>
                <c:pt idx="8">
                  <c:v>336237730.07166255</c:v>
                </c:pt>
                <c:pt idx="9">
                  <c:v>333108300.04685694</c:v>
                </c:pt>
                <c:pt idx="10">
                  <c:v>325380887.02184045</c:v>
                </c:pt>
                <c:pt idx="11">
                  <c:v>325521373.0870927</c:v>
                </c:pt>
                <c:pt idx="12">
                  <c:v>326350988.97633469</c:v>
                </c:pt>
                <c:pt idx="13">
                  <c:v>332121737.58652043</c:v>
                </c:pt>
                <c:pt idx="14">
                  <c:v>332503388.6978308</c:v>
                </c:pt>
                <c:pt idx="15">
                  <c:v>309560386.17366552</c:v>
                </c:pt>
                <c:pt idx="16">
                  <c:v>308021712.92063713</c:v>
                </c:pt>
                <c:pt idx="17">
                  <c:v>320417851.04856241</c:v>
                </c:pt>
                <c:pt idx="18">
                  <c:v>335172315.95045662</c:v>
                </c:pt>
                <c:pt idx="19">
                  <c:v>314452359.66252613</c:v>
                </c:pt>
                <c:pt idx="20">
                  <c:v>309408208.46416092</c:v>
                </c:pt>
                <c:pt idx="21">
                  <c:v>311406702.71792781</c:v>
                </c:pt>
                <c:pt idx="22">
                  <c:v>297933470.78956348</c:v>
                </c:pt>
                <c:pt idx="23">
                  <c:v>313136069.04796785</c:v>
                </c:pt>
                <c:pt idx="24">
                  <c:v>329716207.43432057</c:v>
                </c:pt>
                <c:pt idx="25">
                  <c:v>303653637.33397281</c:v>
                </c:pt>
                <c:pt idx="26">
                  <c:v>310442422.12008262</c:v>
                </c:pt>
                <c:pt idx="27">
                  <c:v>329493807.10291588</c:v>
                </c:pt>
                <c:pt idx="28">
                  <c:v>331849186.99406564</c:v>
                </c:pt>
                <c:pt idx="29">
                  <c:v>304353508.49065018</c:v>
                </c:pt>
                <c:pt idx="30">
                  <c:v>318611700.13484883</c:v>
                </c:pt>
                <c:pt idx="31">
                  <c:v>303210019.62502378</c:v>
                </c:pt>
                <c:pt idx="32">
                  <c:v>311754663.00324118</c:v>
                </c:pt>
                <c:pt idx="33">
                  <c:v>307785563.46964669</c:v>
                </c:pt>
                <c:pt idx="34">
                  <c:v>299609023.34747231</c:v>
                </c:pt>
                <c:pt idx="35">
                  <c:v>309580675.62821949</c:v>
                </c:pt>
                <c:pt idx="36">
                  <c:v>309138424.18951452</c:v>
                </c:pt>
                <c:pt idx="37">
                  <c:v>303423465.59805214</c:v>
                </c:pt>
                <c:pt idx="38">
                  <c:v>302791243.06526685</c:v>
                </c:pt>
                <c:pt idx="39">
                  <c:v>321444036.04958421</c:v>
                </c:pt>
                <c:pt idx="40">
                  <c:v>304967540.44362253</c:v>
                </c:pt>
                <c:pt idx="41">
                  <c:v>329567403.65619135</c:v>
                </c:pt>
                <c:pt idx="42">
                  <c:v>295515659.25598657</c:v>
                </c:pt>
                <c:pt idx="43">
                  <c:v>292376363.68749917</c:v>
                </c:pt>
                <c:pt idx="44">
                  <c:v>320725189.43031251</c:v>
                </c:pt>
                <c:pt idx="45">
                  <c:v>284574507.42762685</c:v>
                </c:pt>
                <c:pt idx="46">
                  <c:v>316500516.34811628</c:v>
                </c:pt>
                <c:pt idx="47">
                  <c:v>298172223.97498035</c:v>
                </c:pt>
                <c:pt idx="48">
                  <c:v>314700765.4700197</c:v>
                </c:pt>
                <c:pt idx="49">
                  <c:v>327501952.15108955</c:v>
                </c:pt>
                <c:pt idx="50">
                  <c:v>287793269.64700997</c:v>
                </c:pt>
                <c:pt idx="51">
                  <c:v>302367312.01307279</c:v>
                </c:pt>
                <c:pt idx="52">
                  <c:v>315726141.87487912</c:v>
                </c:pt>
                <c:pt idx="53">
                  <c:v>308242587.81199348</c:v>
                </c:pt>
                <c:pt idx="54">
                  <c:v>322167492.24620235</c:v>
                </c:pt>
                <c:pt idx="55">
                  <c:v>281262679.53000277</c:v>
                </c:pt>
                <c:pt idx="56">
                  <c:v>305628323.78636765</c:v>
                </c:pt>
                <c:pt idx="57">
                  <c:v>285652497.70937049</c:v>
                </c:pt>
                <c:pt idx="58">
                  <c:v>341013307.84020638</c:v>
                </c:pt>
                <c:pt idx="59">
                  <c:v>319854126.0904882</c:v>
                </c:pt>
                <c:pt idx="60">
                  <c:v>297425993.40387291</c:v>
                </c:pt>
                <c:pt idx="61">
                  <c:v>279645440.60880888</c:v>
                </c:pt>
                <c:pt idx="62">
                  <c:v>283371508.20897472</c:v>
                </c:pt>
                <c:pt idx="63">
                  <c:v>286717678.54641485</c:v>
                </c:pt>
                <c:pt idx="64">
                  <c:v>278581246.73506558</c:v>
                </c:pt>
                <c:pt idx="65">
                  <c:v>273972672.27177709</c:v>
                </c:pt>
                <c:pt idx="66">
                  <c:v>278001359.60392779</c:v>
                </c:pt>
                <c:pt idx="67">
                  <c:v>274931034.38251555</c:v>
                </c:pt>
                <c:pt idx="68">
                  <c:v>278445576.24233174</c:v>
                </c:pt>
                <c:pt idx="69">
                  <c:v>271098160.07652885</c:v>
                </c:pt>
                <c:pt idx="70">
                  <c:v>264982430.80917105</c:v>
                </c:pt>
                <c:pt idx="71">
                  <c:v>270578940.94010663</c:v>
                </c:pt>
                <c:pt idx="72">
                  <c:v>262935363.94666427</c:v>
                </c:pt>
                <c:pt idx="73">
                  <c:v>271021777.54461169</c:v>
                </c:pt>
                <c:pt idx="74">
                  <c:v>262738343.60616606</c:v>
                </c:pt>
                <c:pt idx="75">
                  <c:v>261410981.13375413</c:v>
                </c:pt>
                <c:pt idx="76">
                  <c:v>260085558.59891403</c:v>
                </c:pt>
                <c:pt idx="77">
                  <c:v>258762071.3739695</c:v>
                </c:pt>
                <c:pt idx="78">
                  <c:v>257440514.83995306</c:v>
                </c:pt>
                <c:pt idx="79">
                  <c:v>255067864.94783694</c:v>
                </c:pt>
              </c:numCache>
            </c:numRef>
          </c:val>
          <c:smooth val="1"/>
          <c:extLst>
            <c:ext xmlns:c16="http://schemas.microsoft.com/office/drawing/2014/chart" uri="{C3380CC4-5D6E-409C-BE32-E72D297353CC}">
              <c16:uniqueId val="{00000000-E53F-4303-82F2-F7228AAFB1FE}"/>
            </c:ext>
          </c:extLst>
        </c:ser>
        <c:ser>
          <c:idx val="1"/>
          <c:order val="1"/>
          <c:tx>
            <c:strRef>
              <c:f>Charts!$C$4</c:f>
              <c:strCache>
                <c:ptCount val="1"/>
                <c:pt idx="0">
                  <c:v>Stress GP</c:v>
                </c:pt>
              </c:strCache>
            </c:strRef>
          </c:tx>
          <c:spPr>
            <a:ln w="20000">
              <a:prstDash val="solid"/>
            </a:ln>
          </c:spPr>
          <c:marker>
            <c:symbol val="none"/>
          </c:marker>
          <c:cat>
            <c:numRef>
              <c:f>Charts!$A$5:$A$84</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cat>
          <c:val>
            <c:numRef>
              <c:f>Charts!$C$5:$C$84</c:f>
              <c:numCache>
                <c:formatCode>#,##0</c:formatCode>
                <c:ptCount val="80"/>
                <c:pt idx="0">
                  <c:v>293930508.80000007</c:v>
                </c:pt>
                <c:pt idx="1">
                  <c:v>327029518.17104506</c:v>
                </c:pt>
                <c:pt idx="2">
                  <c:v>325046906.36750746</c:v>
                </c:pt>
                <c:pt idx="3">
                  <c:v>325464951.01615477</c:v>
                </c:pt>
                <c:pt idx="4">
                  <c:v>324267031.27299577</c:v>
                </c:pt>
                <c:pt idx="5">
                  <c:v>329384246.72877139</c:v>
                </c:pt>
                <c:pt idx="6">
                  <c:v>319643670.53496587</c:v>
                </c:pt>
                <c:pt idx="7">
                  <c:v>318348150.52902448</c:v>
                </c:pt>
                <c:pt idx="8">
                  <c:v>336237730.07166255</c:v>
                </c:pt>
                <c:pt idx="9">
                  <c:v>149366584.21141338</c:v>
                </c:pt>
                <c:pt idx="10">
                  <c:v>152992397.89843887</c:v>
                </c:pt>
                <c:pt idx="11">
                  <c:v>134868385.6856305</c:v>
                </c:pt>
                <c:pt idx="12">
                  <c:v>124448402.70412436</c:v>
                </c:pt>
                <c:pt idx="13">
                  <c:v>123253373.18176576</c:v>
                </c:pt>
                <c:pt idx="14">
                  <c:v>122059198.21962893</c:v>
                </c:pt>
                <c:pt idx="15">
                  <c:v>120865873.49335834</c:v>
                </c:pt>
                <c:pt idx="16">
                  <c:v>119673394.68304783</c:v>
                </c:pt>
                <c:pt idx="17">
                  <c:v>118481757.47322443</c:v>
                </c:pt>
                <c:pt idx="18">
                  <c:v>117290957.55283245</c:v>
                </c:pt>
                <c:pt idx="19">
                  <c:v>116100990.615217</c:v>
                </c:pt>
                <c:pt idx="20">
                  <c:v>114911852.35810855</c:v>
                </c:pt>
                <c:pt idx="21">
                  <c:v>113723538.48360625</c:v>
                </c:pt>
                <c:pt idx="22">
                  <c:v>112536044.69816223</c:v>
                </c:pt>
                <c:pt idx="23">
                  <c:v>111349366.71256539</c:v>
                </c:pt>
                <c:pt idx="24">
                  <c:v>110163500.24192557</c:v>
                </c:pt>
                <c:pt idx="25">
                  <c:v>333346242.17174971</c:v>
                </c:pt>
                <c:pt idx="26">
                  <c:v>342212409.80669385</c:v>
                </c:pt>
                <c:pt idx="27">
                  <c:v>356541038.03131425</c:v>
                </c:pt>
                <c:pt idx="28">
                  <c:v>355763427.1891216</c:v>
                </c:pt>
                <c:pt idx="29">
                  <c:v>336554199.13266402</c:v>
                </c:pt>
                <c:pt idx="30">
                  <c:v>346028315.78483784</c:v>
                </c:pt>
                <c:pt idx="31">
                  <c:v>331949981.97770309</c:v>
                </c:pt>
                <c:pt idx="32">
                  <c:v>341747615.19410676</c:v>
                </c:pt>
                <c:pt idx="33">
                  <c:v>335865263.44766915</c:v>
                </c:pt>
                <c:pt idx="34">
                  <c:v>326272953.25877112</c:v>
                </c:pt>
                <c:pt idx="35">
                  <c:v>333559250.80790138</c:v>
                </c:pt>
                <c:pt idx="36">
                  <c:v>340593096.60685945</c:v>
                </c:pt>
                <c:pt idx="37">
                  <c:v>335313052.80250776</c:v>
                </c:pt>
                <c:pt idx="38">
                  <c:v>327657457.76609075</c:v>
                </c:pt>
                <c:pt idx="39">
                  <c:v>341910503.03432071</c:v>
                </c:pt>
                <c:pt idx="40">
                  <c:v>328674829.62362528</c:v>
                </c:pt>
                <c:pt idx="41">
                  <c:v>346477750.84934747</c:v>
                </c:pt>
                <c:pt idx="42">
                  <c:v>322821533.87748832</c:v>
                </c:pt>
                <c:pt idx="43">
                  <c:v>317136890.52469373</c:v>
                </c:pt>
                <c:pt idx="44">
                  <c:v>338296481.06624103</c:v>
                </c:pt>
                <c:pt idx="45">
                  <c:v>311431097.78243983</c:v>
                </c:pt>
                <c:pt idx="46">
                  <c:v>331543225.5693202</c:v>
                </c:pt>
                <c:pt idx="47">
                  <c:v>319617757.59359801</c:v>
                </c:pt>
                <c:pt idx="48">
                  <c:v>326761234.68218678</c:v>
                </c:pt>
                <c:pt idx="49">
                  <c:v>336518895.85818857</c:v>
                </c:pt>
                <c:pt idx="50">
                  <c:v>315206880.26088274</c:v>
                </c:pt>
                <c:pt idx="51">
                  <c:v>315383619.16971767</c:v>
                </c:pt>
                <c:pt idx="52">
                  <c:v>333145137.86829966</c:v>
                </c:pt>
                <c:pt idx="53">
                  <c:v>321740561.54838419</c:v>
                </c:pt>
                <c:pt idx="54">
                  <c:v>330340577.14186519</c:v>
                </c:pt>
                <c:pt idx="55">
                  <c:v>302934475.26476651</c:v>
                </c:pt>
                <c:pt idx="56">
                  <c:v>317504902.0332312</c:v>
                </c:pt>
                <c:pt idx="57">
                  <c:v>304716020.25551218</c:v>
                </c:pt>
                <c:pt idx="58">
                  <c:v>344389537.2799626</c:v>
                </c:pt>
                <c:pt idx="59">
                  <c:v>324471772.75502628</c:v>
                </c:pt>
                <c:pt idx="60">
                  <c:v>320299705.78922755</c:v>
                </c:pt>
                <c:pt idx="61">
                  <c:v>301867598.01516223</c:v>
                </c:pt>
                <c:pt idx="62">
                  <c:v>319765762.6054883</c:v>
                </c:pt>
                <c:pt idx="63">
                  <c:v>306142517.06491464</c:v>
                </c:pt>
                <c:pt idx="64">
                  <c:v>303780230.43019402</c:v>
                </c:pt>
                <c:pt idx="65">
                  <c:v>311420595.06211096</c:v>
                </c:pt>
                <c:pt idx="66">
                  <c:v>306252796.34947437</c:v>
                </c:pt>
                <c:pt idx="67">
                  <c:v>313701046.52510673</c:v>
                </c:pt>
                <c:pt idx="68">
                  <c:v>293402788.77783453</c:v>
                </c:pt>
                <c:pt idx="69">
                  <c:v>308821764.87648004</c:v>
                </c:pt>
                <c:pt idx="70">
                  <c:v>315755974.40985018</c:v>
                </c:pt>
                <c:pt idx="71">
                  <c:v>313108430.92272836</c:v>
                </c:pt>
                <c:pt idx="72">
                  <c:v>310106702.20386487</c:v>
                </c:pt>
                <c:pt idx="73">
                  <c:v>290779990.85396683</c:v>
                </c:pt>
                <c:pt idx="74">
                  <c:v>296361982.81368887</c:v>
                </c:pt>
                <c:pt idx="75">
                  <c:v>319173788.31562495</c:v>
                </c:pt>
                <c:pt idx="76">
                  <c:v>316562090.10829723</c:v>
                </c:pt>
                <c:pt idx="77">
                  <c:v>286591031.7281484</c:v>
                </c:pt>
                <c:pt idx="78">
                  <c:v>300983998.37153107</c:v>
                </c:pt>
                <c:pt idx="79">
                  <c:v>272304918.78269893</c:v>
                </c:pt>
              </c:numCache>
            </c:numRef>
          </c:val>
          <c:smooth val="1"/>
          <c:extLst>
            <c:ext xmlns:c16="http://schemas.microsoft.com/office/drawing/2014/chart" uri="{C3380CC4-5D6E-409C-BE32-E72D297353CC}">
              <c16:uniqueId val="{00000001-E53F-4303-82F2-F7228AAFB1FE}"/>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rPr lang="en-IN"/>
                  <a:t>Week</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IN"/>
                  <a:t>Cumulative Gross Profit (INR)</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IN"/>
              <a:t>Storage Levels - Stress Scenario</a:t>
            </a:r>
          </a:p>
        </c:rich>
      </c:tx>
      <c:overlay val="1"/>
    </c:title>
    <c:autoTitleDeleted val="0"/>
    <c:plotArea>
      <c:layout/>
      <c:lineChart>
        <c:grouping val="standard"/>
        <c:varyColors val="1"/>
        <c:ser>
          <c:idx val="0"/>
          <c:order val="0"/>
          <c:tx>
            <c:strRef>
              <c:f>Charts!$C$88</c:f>
              <c:strCache>
                <c:ptCount val="1"/>
                <c:pt idx="0">
                  <c:v>Stress Scenario</c:v>
                </c:pt>
              </c:strCache>
            </c:strRef>
          </c:tx>
          <c:spPr>
            <a:ln w="20000">
              <a:prstDash val="solid"/>
            </a:ln>
          </c:spPr>
          <c:marker>
            <c:symbol val="none"/>
          </c:marker>
          <c:cat>
            <c:numRef>
              <c:f>Charts!$A$89:$A$168</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cat>
          <c:val>
            <c:numRef>
              <c:f>Charts!$C$89:$C$168</c:f>
              <c:numCache>
                <c:formatCode>#,##0</c:formatCode>
                <c:ptCount val="80"/>
                <c:pt idx="0">
                  <c:v>40828.199999999997</c:v>
                </c:pt>
                <c:pt idx="1">
                  <c:v>44934.374551805959</c:v>
                </c:pt>
                <c:pt idx="2">
                  <c:v>49760.067806049236</c:v>
                </c:pt>
                <c:pt idx="3">
                  <c:v>50000</c:v>
                </c:pt>
                <c:pt idx="4">
                  <c:v>50000</c:v>
                </c:pt>
                <c:pt idx="5">
                  <c:v>50000</c:v>
                </c:pt>
                <c:pt idx="6">
                  <c:v>50000</c:v>
                </c:pt>
                <c:pt idx="7">
                  <c:v>50000</c:v>
                </c:pt>
                <c:pt idx="8">
                  <c:v>50000</c:v>
                </c:pt>
                <c:pt idx="9">
                  <c:v>50000</c:v>
                </c:pt>
                <c:pt idx="10">
                  <c:v>50000</c:v>
                </c:pt>
                <c:pt idx="11">
                  <c:v>50000</c:v>
                </c:pt>
                <c:pt idx="12">
                  <c:v>50000</c:v>
                </c:pt>
                <c:pt idx="13">
                  <c:v>50000</c:v>
                </c:pt>
                <c:pt idx="14">
                  <c:v>50000</c:v>
                </c:pt>
                <c:pt idx="15">
                  <c:v>50000</c:v>
                </c:pt>
                <c:pt idx="16">
                  <c:v>50000</c:v>
                </c:pt>
                <c:pt idx="17">
                  <c:v>50000</c:v>
                </c:pt>
                <c:pt idx="18">
                  <c:v>50000</c:v>
                </c:pt>
                <c:pt idx="19">
                  <c:v>50000</c:v>
                </c:pt>
                <c:pt idx="20">
                  <c:v>50000</c:v>
                </c:pt>
                <c:pt idx="21">
                  <c:v>50000</c:v>
                </c:pt>
                <c:pt idx="22">
                  <c:v>50000</c:v>
                </c:pt>
                <c:pt idx="23">
                  <c:v>50000</c:v>
                </c:pt>
                <c:pt idx="24">
                  <c:v>50000</c:v>
                </c:pt>
                <c:pt idx="25">
                  <c:v>50000</c:v>
                </c:pt>
                <c:pt idx="26">
                  <c:v>50000</c:v>
                </c:pt>
                <c:pt idx="27">
                  <c:v>50000</c:v>
                </c:pt>
                <c:pt idx="28">
                  <c:v>50000</c:v>
                </c:pt>
                <c:pt idx="29">
                  <c:v>50000</c:v>
                </c:pt>
                <c:pt idx="30">
                  <c:v>50000</c:v>
                </c:pt>
                <c:pt idx="31">
                  <c:v>50000</c:v>
                </c:pt>
                <c:pt idx="32">
                  <c:v>50000</c:v>
                </c:pt>
                <c:pt idx="33">
                  <c:v>50000</c:v>
                </c:pt>
                <c:pt idx="34">
                  <c:v>50000</c:v>
                </c:pt>
                <c:pt idx="35">
                  <c:v>50000</c:v>
                </c:pt>
                <c:pt idx="36">
                  <c:v>50000</c:v>
                </c:pt>
                <c:pt idx="37">
                  <c:v>50000</c:v>
                </c:pt>
                <c:pt idx="38">
                  <c:v>50000</c:v>
                </c:pt>
                <c:pt idx="39">
                  <c:v>50000</c:v>
                </c:pt>
                <c:pt idx="40">
                  <c:v>50000</c:v>
                </c:pt>
                <c:pt idx="41">
                  <c:v>50000</c:v>
                </c:pt>
                <c:pt idx="42">
                  <c:v>50000</c:v>
                </c:pt>
                <c:pt idx="43">
                  <c:v>50000</c:v>
                </c:pt>
                <c:pt idx="44">
                  <c:v>50000</c:v>
                </c:pt>
                <c:pt idx="45">
                  <c:v>50000</c:v>
                </c:pt>
                <c:pt idx="46">
                  <c:v>50000</c:v>
                </c:pt>
                <c:pt idx="47">
                  <c:v>50000</c:v>
                </c:pt>
                <c:pt idx="48">
                  <c:v>50000</c:v>
                </c:pt>
                <c:pt idx="49">
                  <c:v>50000</c:v>
                </c:pt>
                <c:pt idx="50">
                  <c:v>50000</c:v>
                </c:pt>
                <c:pt idx="51">
                  <c:v>50000</c:v>
                </c:pt>
                <c:pt idx="52">
                  <c:v>50000</c:v>
                </c:pt>
                <c:pt idx="53">
                  <c:v>50000</c:v>
                </c:pt>
                <c:pt idx="54">
                  <c:v>50000</c:v>
                </c:pt>
                <c:pt idx="55">
                  <c:v>50000</c:v>
                </c:pt>
                <c:pt idx="56">
                  <c:v>50000</c:v>
                </c:pt>
                <c:pt idx="57">
                  <c:v>50000</c:v>
                </c:pt>
                <c:pt idx="58">
                  <c:v>50000</c:v>
                </c:pt>
                <c:pt idx="59">
                  <c:v>50000</c:v>
                </c:pt>
                <c:pt idx="60">
                  <c:v>50000</c:v>
                </c:pt>
                <c:pt idx="61">
                  <c:v>50000</c:v>
                </c:pt>
                <c:pt idx="62">
                  <c:v>50000</c:v>
                </c:pt>
                <c:pt idx="63">
                  <c:v>50000</c:v>
                </c:pt>
                <c:pt idx="64">
                  <c:v>50000</c:v>
                </c:pt>
                <c:pt idx="65">
                  <c:v>50000</c:v>
                </c:pt>
                <c:pt idx="66">
                  <c:v>50000</c:v>
                </c:pt>
                <c:pt idx="67">
                  <c:v>50000</c:v>
                </c:pt>
                <c:pt idx="68">
                  <c:v>50000</c:v>
                </c:pt>
                <c:pt idx="69">
                  <c:v>50000</c:v>
                </c:pt>
                <c:pt idx="70">
                  <c:v>50000</c:v>
                </c:pt>
                <c:pt idx="71">
                  <c:v>50000</c:v>
                </c:pt>
                <c:pt idx="72">
                  <c:v>50000</c:v>
                </c:pt>
                <c:pt idx="73">
                  <c:v>50000</c:v>
                </c:pt>
                <c:pt idx="74">
                  <c:v>50000</c:v>
                </c:pt>
                <c:pt idx="75">
                  <c:v>50000</c:v>
                </c:pt>
                <c:pt idx="76">
                  <c:v>50000</c:v>
                </c:pt>
                <c:pt idx="77">
                  <c:v>50000</c:v>
                </c:pt>
                <c:pt idx="78">
                  <c:v>50000</c:v>
                </c:pt>
                <c:pt idx="79">
                  <c:v>50000</c:v>
                </c:pt>
              </c:numCache>
            </c:numRef>
          </c:val>
          <c:smooth val="1"/>
          <c:extLst>
            <c:ext xmlns:c16="http://schemas.microsoft.com/office/drawing/2014/chart" uri="{C3380CC4-5D6E-409C-BE32-E72D297353CC}">
              <c16:uniqueId val="{00000000-BF7F-4B68-829C-D6EA427C2D01}"/>
            </c:ext>
          </c:extLst>
        </c:ser>
        <c:ser>
          <c:idx val="1"/>
          <c:order val="1"/>
          <c:tx>
            <c:strRef>
              <c:f>Charts!$B$88</c:f>
              <c:strCache>
                <c:ptCount val="1"/>
                <c:pt idx="0">
                  <c:v>Base Scenario</c:v>
                </c:pt>
              </c:strCache>
            </c:strRef>
          </c:tx>
          <c:spPr>
            <a:ln w="20000">
              <a:prstDash val="solid"/>
            </a:ln>
          </c:spPr>
          <c:marker>
            <c:symbol val="none"/>
          </c:marker>
          <c:cat>
            <c:numRef>
              <c:f>Charts!$A$89:$A$168</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cat>
          <c:val>
            <c:numRef>
              <c:f>Charts!$B$89:$B$168</c:f>
              <c:numCache>
                <c:formatCode>#,##0</c:formatCode>
                <c:ptCount val="80"/>
                <c:pt idx="0">
                  <c:v>40828.199999999997</c:v>
                </c:pt>
                <c:pt idx="1">
                  <c:v>44934.374551805959</c:v>
                </c:pt>
                <c:pt idx="2">
                  <c:v>49760.067806049236</c:v>
                </c:pt>
                <c:pt idx="3">
                  <c:v>50000</c:v>
                </c:pt>
                <c:pt idx="4">
                  <c:v>50000</c:v>
                </c:pt>
                <c:pt idx="5">
                  <c:v>50000</c:v>
                </c:pt>
                <c:pt idx="6">
                  <c:v>50000</c:v>
                </c:pt>
                <c:pt idx="7">
                  <c:v>50000</c:v>
                </c:pt>
                <c:pt idx="8">
                  <c:v>50000</c:v>
                </c:pt>
                <c:pt idx="9">
                  <c:v>50000</c:v>
                </c:pt>
                <c:pt idx="10">
                  <c:v>50000</c:v>
                </c:pt>
                <c:pt idx="11">
                  <c:v>50000</c:v>
                </c:pt>
                <c:pt idx="12">
                  <c:v>50000</c:v>
                </c:pt>
                <c:pt idx="13">
                  <c:v>50000</c:v>
                </c:pt>
                <c:pt idx="14">
                  <c:v>50000</c:v>
                </c:pt>
                <c:pt idx="15">
                  <c:v>50000</c:v>
                </c:pt>
                <c:pt idx="16">
                  <c:v>50000</c:v>
                </c:pt>
                <c:pt idx="17">
                  <c:v>50000</c:v>
                </c:pt>
                <c:pt idx="18">
                  <c:v>50000</c:v>
                </c:pt>
                <c:pt idx="19">
                  <c:v>50000</c:v>
                </c:pt>
                <c:pt idx="20">
                  <c:v>50000</c:v>
                </c:pt>
                <c:pt idx="21">
                  <c:v>50000</c:v>
                </c:pt>
                <c:pt idx="22">
                  <c:v>50000</c:v>
                </c:pt>
                <c:pt idx="23">
                  <c:v>50000</c:v>
                </c:pt>
                <c:pt idx="24">
                  <c:v>49594.979762115545</c:v>
                </c:pt>
                <c:pt idx="25">
                  <c:v>50000</c:v>
                </c:pt>
                <c:pt idx="26">
                  <c:v>50000</c:v>
                </c:pt>
                <c:pt idx="27">
                  <c:v>48876.096733297862</c:v>
                </c:pt>
                <c:pt idx="28">
                  <c:v>47458.619653606453</c:v>
                </c:pt>
                <c:pt idx="29">
                  <c:v>50000</c:v>
                </c:pt>
                <c:pt idx="30">
                  <c:v>50000</c:v>
                </c:pt>
                <c:pt idx="31">
                  <c:v>50000</c:v>
                </c:pt>
                <c:pt idx="32">
                  <c:v>50000</c:v>
                </c:pt>
                <c:pt idx="33">
                  <c:v>50000</c:v>
                </c:pt>
                <c:pt idx="34">
                  <c:v>50000</c:v>
                </c:pt>
                <c:pt idx="35">
                  <c:v>49360.192604751937</c:v>
                </c:pt>
                <c:pt idx="36">
                  <c:v>49341.999637497516</c:v>
                </c:pt>
                <c:pt idx="37">
                  <c:v>50000</c:v>
                </c:pt>
                <c:pt idx="38">
                  <c:v>50000</c:v>
                </c:pt>
                <c:pt idx="39">
                  <c:v>47496.171263673677</c:v>
                </c:pt>
                <c:pt idx="40">
                  <c:v>47791.435427979159</c:v>
                </c:pt>
                <c:pt idx="41">
                  <c:v>43382.510495356721</c:v>
                </c:pt>
                <c:pt idx="42">
                  <c:v>44292.713824573977</c:v>
                </c:pt>
                <c:pt idx="43">
                  <c:v>46177.762132028656</c:v>
                </c:pt>
                <c:pt idx="44">
                  <c:v>42548.371493048893</c:v>
                </c:pt>
                <c:pt idx="45">
                  <c:v>45050.257343190795</c:v>
                </c:pt>
                <c:pt idx="46">
                  <c:v>42326.934479533433</c:v>
                </c:pt>
                <c:pt idx="47">
                  <c:v>42124.117061971177</c:v>
                </c:pt>
                <c:pt idx="48">
                  <c:v>39832.318614503456</c:v>
                </c:pt>
                <c:pt idx="49">
                  <c:v>34820.052026521807</c:v>
                </c:pt>
                <c:pt idx="50">
                  <c:v>34599.029554094523</c:v>
                </c:pt>
                <c:pt idx="51">
                  <c:v>33974.762821248427</c:v>
                </c:pt>
                <c:pt idx="52">
                  <c:v>28696.56282124827</c:v>
                </c:pt>
                <c:pt idx="53">
                  <c:v>25815.939917873475</c:v>
                </c:pt>
                <c:pt idx="54">
                  <c:v>20497.203846692268</c:v>
                </c:pt>
                <c:pt idx="55">
                  <c:v>21445.463716333223</c:v>
                </c:pt>
                <c:pt idx="56">
                  <c:v>18513.228009754326</c:v>
                </c:pt>
                <c:pt idx="57">
                  <c:v>18315.204585509302</c:v>
                </c:pt>
                <c:pt idx="58">
                  <c:v>8168.9006790115818</c:v>
                </c:pt>
                <c:pt idx="59">
                  <c:v>2481.2229037955258</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val>
          <c:smooth val="1"/>
          <c:extLst>
            <c:ext xmlns:c16="http://schemas.microsoft.com/office/drawing/2014/chart" uri="{C3380CC4-5D6E-409C-BE32-E72D297353CC}">
              <c16:uniqueId val="{00000001-BF7F-4B68-829C-D6EA427C2D01}"/>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rPr lang="en-IN"/>
                  <a:t>Week</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IN"/>
                  <a:t>Storage Level (barrels / BOE)</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IN"/>
              <a:t>Storage Levels - Stress Scenario</a:t>
            </a:r>
          </a:p>
        </c:rich>
      </c:tx>
      <c:overlay val="1"/>
    </c:title>
    <c:autoTitleDeleted val="0"/>
    <c:plotArea>
      <c:layout/>
      <c:lineChart>
        <c:grouping val="standard"/>
        <c:varyColors val="1"/>
        <c:ser>
          <c:idx val="0"/>
          <c:order val="0"/>
          <c:tx>
            <c:strRef>
              <c:f>Charts!$C$88</c:f>
              <c:strCache>
                <c:ptCount val="1"/>
                <c:pt idx="0">
                  <c:v>Stress Scenario</c:v>
                </c:pt>
              </c:strCache>
            </c:strRef>
          </c:tx>
          <c:spPr>
            <a:ln w="20000">
              <a:prstDash val="solid"/>
            </a:ln>
          </c:spPr>
          <c:marker>
            <c:symbol val="none"/>
          </c:marker>
          <c:cat>
            <c:numRef>
              <c:f>Charts!$A$173:$A$252</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cat>
          <c:val>
            <c:numRef>
              <c:f>Charts!$C$173:$C$252</c:f>
              <c:numCache>
                <c:formatCode>#,##0</c:formatCode>
                <c:ptCount val="80"/>
                <c:pt idx="0">
                  <c:v>11910.400000000001</c:v>
                </c:pt>
                <c:pt idx="1">
                  <c:v>15000</c:v>
                </c:pt>
                <c:pt idx="2">
                  <c:v>15000</c:v>
                </c:pt>
                <c:pt idx="3">
                  <c:v>15000</c:v>
                </c:pt>
                <c:pt idx="4">
                  <c:v>15000</c:v>
                </c:pt>
                <c:pt idx="5">
                  <c:v>15000</c:v>
                </c:pt>
                <c:pt idx="6">
                  <c:v>15000</c:v>
                </c:pt>
                <c:pt idx="7">
                  <c:v>15000</c:v>
                </c:pt>
                <c:pt idx="8">
                  <c:v>15000</c:v>
                </c:pt>
                <c:pt idx="9">
                  <c:v>9325.4723079645773</c:v>
                </c:pt>
                <c:pt idx="10">
                  <c:v>2427.3933079222043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89.558729818469146</c:v>
                </c:pt>
                <c:pt idx="27">
                  <c:v>0</c:v>
                </c:pt>
                <c:pt idx="28">
                  <c:v>0</c:v>
                </c:pt>
                <c:pt idx="29">
                  <c:v>0</c:v>
                </c:pt>
                <c:pt idx="30">
                  <c:v>0</c:v>
                </c:pt>
                <c:pt idx="31">
                  <c:v>0</c:v>
                </c:pt>
                <c:pt idx="32">
                  <c:v>0</c:v>
                </c:pt>
                <c:pt idx="33">
                  <c:v>0</c:v>
                </c:pt>
                <c:pt idx="34">
                  <c:v>0</c:v>
                </c:pt>
                <c:pt idx="35">
                  <c:v>2066.6539734651233</c:v>
                </c:pt>
                <c:pt idx="36">
                  <c:v>922.06841607037495</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val>
          <c:smooth val="1"/>
          <c:extLst>
            <c:ext xmlns:c16="http://schemas.microsoft.com/office/drawing/2014/chart" uri="{C3380CC4-5D6E-409C-BE32-E72D297353CC}">
              <c16:uniqueId val="{00000000-50B1-4AB5-81CD-3CB7CE361329}"/>
            </c:ext>
          </c:extLst>
        </c:ser>
        <c:ser>
          <c:idx val="1"/>
          <c:order val="1"/>
          <c:tx>
            <c:strRef>
              <c:f>Charts!$B$88</c:f>
              <c:strCache>
                <c:ptCount val="1"/>
                <c:pt idx="0">
                  <c:v>Base Scenario</c:v>
                </c:pt>
              </c:strCache>
            </c:strRef>
          </c:tx>
          <c:spPr>
            <a:ln w="20000">
              <a:prstDash val="solid"/>
            </a:ln>
          </c:spPr>
          <c:marker>
            <c:symbol val="none"/>
          </c:marker>
          <c:cat>
            <c:numRef>
              <c:f>Charts!$A$173:$A$252</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cat>
          <c:val>
            <c:numRef>
              <c:f>Charts!$B$173:$B$252</c:f>
              <c:numCache>
                <c:formatCode>#,##0</c:formatCode>
                <c:ptCount val="80"/>
                <c:pt idx="0">
                  <c:v>11910.400000000001</c:v>
                </c:pt>
                <c:pt idx="1">
                  <c:v>15000</c:v>
                </c:pt>
                <c:pt idx="2">
                  <c:v>15000</c:v>
                </c:pt>
                <c:pt idx="3">
                  <c:v>15000</c:v>
                </c:pt>
                <c:pt idx="4">
                  <c:v>15000</c:v>
                </c:pt>
                <c:pt idx="5">
                  <c:v>15000</c:v>
                </c:pt>
                <c:pt idx="6">
                  <c:v>15000</c:v>
                </c:pt>
                <c:pt idx="7">
                  <c:v>15000</c:v>
                </c:pt>
                <c:pt idx="8">
                  <c:v>15000</c:v>
                </c:pt>
                <c:pt idx="9">
                  <c:v>15000</c:v>
                </c:pt>
                <c:pt idx="10">
                  <c:v>15000</c:v>
                </c:pt>
                <c:pt idx="11">
                  <c:v>15000</c:v>
                </c:pt>
                <c:pt idx="12">
                  <c:v>15000</c:v>
                </c:pt>
                <c:pt idx="13">
                  <c:v>15000</c:v>
                </c:pt>
                <c:pt idx="14">
                  <c:v>15000</c:v>
                </c:pt>
                <c:pt idx="15">
                  <c:v>15000</c:v>
                </c:pt>
                <c:pt idx="16">
                  <c:v>15000</c:v>
                </c:pt>
                <c:pt idx="17">
                  <c:v>15000</c:v>
                </c:pt>
                <c:pt idx="18">
                  <c:v>15000</c:v>
                </c:pt>
                <c:pt idx="19">
                  <c:v>15000</c:v>
                </c:pt>
                <c:pt idx="20">
                  <c:v>15000</c:v>
                </c:pt>
                <c:pt idx="21">
                  <c:v>15000</c:v>
                </c:pt>
                <c:pt idx="22">
                  <c:v>15000</c:v>
                </c:pt>
                <c:pt idx="23">
                  <c:v>15000</c:v>
                </c:pt>
                <c:pt idx="24">
                  <c:v>15000</c:v>
                </c:pt>
                <c:pt idx="25">
                  <c:v>15000</c:v>
                </c:pt>
                <c:pt idx="26">
                  <c:v>15000</c:v>
                </c:pt>
                <c:pt idx="27">
                  <c:v>15000</c:v>
                </c:pt>
                <c:pt idx="28">
                  <c:v>15000</c:v>
                </c:pt>
                <c:pt idx="29">
                  <c:v>15000</c:v>
                </c:pt>
                <c:pt idx="30">
                  <c:v>15000</c:v>
                </c:pt>
                <c:pt idx="31">
                  <c:v>15000</c:v>
                </c:pt>
                <c:pt idx="32">
                  <c:v>15000</c:v>
                </c:pt>
                <c:pt idx="33">
                  <c:v>15000</c:v>
                </c:pt>
                <c:pt idx="34">
                  <c:v>15000</c:v>
                </c:pt>
                <c:pt idx="35">
                  <c:v>15000</c:v>
                </c:pt>
                <c:pt idx="36">
                  <c:v>15000</c:v>
                </c:pt>
                <c:pt idx="37">
                  <c:v>15000</c:v>
                </c:pt>
                <c:pt idx="38">
                  <c:v>15000</c:v>
                </c:pt>
                <c:pt idx="39">
                  <c:v>15000</c:v>
                </c:pt>
                <c:pt idx="40">
                  <c:v>14984.627498988055</c:v>
                </c:pt>
                <c:pt idx="41">
                  <c:v>15000</c:v>
                </c:pt>
                <c:pt idx="42">
                  <c:v>15000</c:v>
                </c:pt>
                <c:pt idx="43">
                  <c:v>14665.04927462343</c:v>
                </c:pt>
                <c:pt idx="44">
                  <c:v>15000</c:v>
                </c:pt>
                <c:pt idx="45">
                  <c:v>15000</c:v>
                </c:pt>
                <c:pt idx="46">
                  <c:v>14481.090201289706</c:v>
                </c:pt>
                <c:pt idx="47">
                  <c:v>14551.79702233446</c:v>
                </c:pt>
                <c:pt idx="48">
                  <c:v>12969.054830562578</c:v>
                </c:pt>
                <c:pt idx="49">
                  <c:v>12107.397721427587</c:v>
                </c:pt>
                <c:pt idx="50">
                  <c:v>14261.359518958747</c:v>
                </c:pt>
                <c:pt idx="51">
                  <c:v>12208.67377631041</c:v>
                </c:pt>
                <c:pt idx="52">
                  <c:v>14295.073776310343</c:v>
                </c:pt>
                <c:pt idx="53">
                  <c:v>13855.092532006856</c:v>
                </c:pt>
                <c:pt idx="54">
                  <c:v>13263.26278721491</c:v>
                </c:pt>
                <c:pt idx="55">
                  <c:v>13310.117017061042</c:v>
                </c:pt>
                <c:pt idx="56">
                  <c:v>12606.987428527231</c:v>
                </c:pt>
                <c:pt idx="57">
                  <c:v>12616.405960993652</c:v>
                </c:pt>
                <c:pt idx="58">
                  <c:v>13604.104286780333</c:v>
                </c:pt>
                <c:pt idx="59">
                  <c:v>12536.613811687734</c:v>
                </c:pt>
                <c:pt idx="60">
                  <c:v>12102.065675536174</c:v>
                </c:pt>
                <c:pt idx="61">
                  <c:v>12166.190752704246</c:v>
                </c:pt>
                <c:pt idx="62">
                  <c:v>10655.519652666044</c:v>
                </c:pt>
                <c:pt idx="63">
                  <c:v>7701.3827205274429</c:v>
                </c:pt>
                <c:pt idx="64">
                  <c:v>6875.1100375611277</c:v>
                </c:pt>
                <c:pt idx="65">
                  <c:v>7066.4314217406682</c:v>
                </c:pt>
                <c:pt idx="66">
                  <c:v>5590.6764282734512</c:v>
                </c:pt>
                <c:pt idx="67">
                  <c:v>4662.3743501325444</c:v>
                </c:pt>
                <c:pt idx="68">
                  <c:v>2236.8542185875194</c:v>
                </c:pt>
                <c:pt idx="69">
                  <c:v>1693.4448037341244</c:v>
                </c:pt>
                <c:pt idx="70">
                  <c:v>2635.4746150229548</c:v>
                </c:pt>
                <c:pt idx="71">
                  <c:v>1421.4719017870157</c:v>
                </c:pt>
                <c:pt idx="72">
                  <c:v>2173.1646537682536</c:v>
                </c:pt>
                <c:pt idx="73">
                  <c:v>0</c:v>
                </c:pt>
                <c:pt idx="74">
                  <c:v>0</c:v>
                </c:pt>
                <c:pt idx="75">
                  <c:v>0</c:v>
                </c:pt>
                <c:pt idx="76">
                  <c:v>0</c:v>
                </c:pt>
                <c:pt idx="77">
                  <c:v>0</c:v>
                </c:pt>
                <c:pt idx="78">
                  <c:v>0</c:v>
                </c:pt>
                <c:pt idx="79">
                  <c:v>326.32302570053798</c:v>
                </c:pt>
              </c:numCache>
            </c:numRef>
          </c:val>
          <c:smooth val="1"/>
          <c:extLst>
            <c:ext xmlns:c16="http://schemas.microsoft.com/office/drawing/2014/chart" uri="{C3380CC4-5D6E-409C-BE32-E72D297353CC}">
              <c16:uniqueId val="{00000001-50B1-4AB5-81CD-3CB7CE361329}"/>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rPr lang="en-IN"/>
                  <a:t>Week</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IN"/>
                  <a:t>Storage Level (barrels / BOE)</a:t>
                </a:r>
              </a:p>
            </c:rich>
          </c:tx>
          <c:overlay val="1"/>
        </c:title>
        <c:numFmt formatCode="#,##0" sourceLinked="0"/>
        <c:majorTickMark val="none"/>
        <c:minorTickMark val="none"/>
        <c:tickLblPos val="nextTo"/>
        <c:crossAx val="10"/>
        <c:crosses val="autoZero"/>
        <c:crossBetween val="between"/>
      </c:valAx>
    </c:plotArea>
    <c:legend>
      <c:legendPos val="r"/>
      <c:layout>
        <c:manualLayout>
          <c:xMode val="edge"/>
          <c:yMode val="edge"/>
          <c:x val="0.83902853535353528"/>
          <c:y val="0.34860059523809517"/>
          <c:w val="0.14653964646464646"/>
          <c:h val="9.1132142857142856E-2"/>
        </c:manualLayout>
      </c:layout>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4</xdr:col>
      <xdr:colOff>287734</xdr:colOff>
      <xdr:row>3</xdr:row>
      <xdr:rowOff>158750</xdr:rowOff>
    </xdr:from>
    <xdr:ext cx="7494016" cy="454025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2</xdr:row>
      <xdr:rowOff>0</xdr:rowOff>
    </xdr:from>
    <xdr:ext cx="7920000" cy="504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0</xdr:colOff>
      <xdr:row>86</xdr:row>
      <xdr:rowOff>0</xdr:rowOff>
    </xdr:from>
    <xdr:ext cx="7920000" cy="5040000"/>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4</xdr:col>
      <xdr:colOff>0</xdr:colOff>
      <xdr:row>173</xdr:row>
      <xdr:rowOff>0</xdr:rowOff>
    </xdr:from>
    <xdr:ext cx="7920000" cy="5040000"/>
    <xdr:graphicFrame macro="">
      <xdr:nvGraphicFramePr>
        <xdr:cNvPr id="5" name="Chart 4">
          <a:extLst>
            <a:ext uri="{FF2B5EF4-FFF2-40B4-BE49-F238E27FC236}">
              <a16:creationId xmlns:a16="http://schemas.microsoft.com/office/drawing/2014/main" id="{E260D254-9A2C-451C-BE06-29D765637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5B5B-EF8C-4B22-BCDF-2AC8D006EE7E}">
  <dimension ref="A2:A54"/>
  <sheetViews>
    <sheetView tabSelected="1" zoomScale="70" zoomScaleNormal="70" workbookViewId="0"/>
  </sheetViews>
  <sheetFormatPr defaultRowHeight="14.5" x14ac:dyDescent="0.35"/>
  <cols>
    <col min="1" max="1" width="120" customWidth="1"/>
  </cols>
  <sheetData>
    <row r="2" spans="1:1" ht="18" x14ac:dyDescent="0.35">
      <c r="A2" s="41" t="s">
        <v>128</v>
      </c>
    </row>
    <row r="4" spans="1:1" ht="15.5" x14ac:dyDescent="0.35">
      <c r="A4" s="42" t="s">
        <v>129</v>
      </c>
    </row>
    <row r="5" spans="1:1" ht="178" customHeight="1" x14ac:dyDescent="0.35">
      <c r="A5" s="49" t="s">
        <v>158</v>
      </c>
    </row>
    <row r="7" spans="1:1" ht="15.5" x14ac:dyDescent="0.35">
      <c r="A7" s="42" t="s">
        <v>130</v>
      </c>
    </row>
    <row r="8" spans="1:1" ht="213.5" customHeight="1" x14ac:dyDescent="0.35">
      <c r="A8" s="49" t="s">
        <v>159</v>
      </c>
    </row>
    <row r="10" spans="1:1" ht="15.5" x14ac:dyDescent="0.35">
      <c r="A10" s="55" t="s">
        <v>167</v>
      </c>
    </row>
    <row r="11" spans="1:1" ht="303.5" customHeight="1" x14ac:dyDescent="0.35">
      <c r="A11" s="49" t="s">
        <v>166</v>
      </c>
    </row>
    <row r="13" spans="1:1" ht="15.5" x14ac:dyDescent="0.35">
      <c r="A13" s="42" t="s">
        <v>131</v>
      </c>
    </row>
    <row r="14" spans="1:1" ht="375" x14ac:dyDescent="0.35">
      <c r="A14" s="43" t="s">
        <v>168</v>
      </c>
    </row>
    <row r="16" spans="1:1" ht="15.5" x14ac:dyDescent="0.35">
      <c r="A16" s="42" t="s">
        <v>132</v>
      </c>
    </row>
    <row r="17" spans="1:1" x14ac:dyDescent="0.35">
      <c r="A17" s="43" t="s">
        <v>133</v>
      </c>
    </row>
    <row r="18" spans="1:1" x14ac:dyDescent="0.35">
      <c r="A18" s="43" t="s">
        <v>160</v>
      </c>
    </row>
    <row r="19" spans="1:1" ht="37.5" x14ac:dyDescent="0.35">
      <c r="A19" s="43" t="s">
        <v>161</v>
      </c>
    </row>
    <row r="20" spans="1:1" x14ac:dyDescent="0.35">
      <c r="A20" s="43" t="s">
        <v>176</v>
      </c>
    </row>
    <row r="21" spans="1:1" ht="25" x14ac:dyDescent="0.35">
      <c r="A21" s="43" t="s">
        <v>169</v>
      </c>
    </row>
    <row r="22" spans="1:1" ht="25" x14ac:dyDescent="0.35">
      <c r="A22" s="43" t="s">
        <v>170</v>
      </c>
    </row>
    <row r="23" spans="1:1" ht="25" x14ac:dyDescent="0.35">
      <c r="A23" s="43" t="s">
        <v>171</v>
      </c>
    </row>
    <row r="24" spans="1:1" ht="25" x14ac:dyDescent="0.35">
      <c r="A24" s="43" t="s">
        <v>172</v>
      </c>
    </row>
    <row r="25" spans="1:1" ht="25" x14ac:dyDescent="0.35">
      <c r="A25" s="43" t="s">
        <v>173</v>
      </c>
    </row>
    <row r="26" spans="1:1" ht="25" x14ac:dyDescent="0.35">
      <c r="A26" s="43" t="s">
        <v>174</v>
      </c>
    </row>
    <row r="27" spans="1:1" ht="37.5" x14ac:dyDescent="0.35">
      <c r="A27" s="43" t="s">
        <v>175</v>
      </c>
    </row>
    <row r="28" spans="1:1" ht="112.5" x14ac:dyDescent="0.35">
      <c r="A28" s="43" t="s">
        <v>177</v>
      </c>
    </row>
    <row r="29" spans="1:1" x14ac:dyDescent="0.35">
      <c r="A29" s="43" t="s">
        <v>178</v>
      </c>
    </row>
    <row r="30" spans="1:1" ht="25" x14ac:dyDescent="0.35">
      <c r="A30" s="43" t="s">
        <v>179</v>
      </c>
    </row>
    <row r="31" spans="1:1" ht="25" x14ac:dyDescent="0.35">
      <c r="A31" s="43" t="s">
        <v>180</v>
      </c>
    </row>
    <row r="32" spans="1:1" ht="25" x14ac:dyDescent="0.35">
      <c r="A32" s="43" t="s">
        <v>186</v>
      </c>
    </row>
    <row r="33" spans="1:1" x14ac:dyDescent="0.35">
      <c r="A33" s="43" t="s">
        <v>181</v>
      </c>
    </row>
    <row r="34" spans="1:1" x14ac:dyDescent="0.35">
      <c r="A34" s="43" t="s">
        <v>182</v>
      </c>
    </row>
    <row r="35" spans="1:1" x14ac:dyDescent="0.35">
      <c r="A35" s="43" t="s">
        <v>183</v>
      </c>
    </row>
    <row r="36" spans="1:1" ht="25" x14ac:dyDescent="0.35">
      <c r="A36" s="43" t="s">
        <v>184</v>
      </c>
    </row>
    <row r="37" spans="1:1" x14ac:dyDescent="0.35">
      <c r="A37" s="43" t="s">
        <v>185</v>
      </c>
    </row>
    <row r="38" spans="1:1" x14ac:dyDescent="0.35">
      <c r="A38" s="43"/>
    </row>
    <row r="39" spans="1:1" x14ac:dyDescent="0.35">
      <c r="A39" s="44" t="s">
        <v>134</v>
      </c>
    </row>
    <row r="40" spans="1:1" ht="75" x14ac:dyDescent="0.35">
      <c r="A40" s="43" t="s">
        <v>187</v>
      </c>
    </row>
    <row r="43" spans="1:1" ht="15.5" x14ac:dyDescent="0.35">
      <c r="A43" s="42" t="s">
        <v>135</v>
      </c>
    </row>
    <row r="44" spans="1:1" x14ac:dyDescent="0.35">
      <c r="A44" s="45" t="s">
        <v>136</v>
      </c>
    </row>
    <row r="45" spans="1:1" ht="137.5" x14ac:dyDescent="0.35">
      <c r="A45" s="43" t="s">
        <v>188</v>
      </c>
    </row>
    <row r="47" spans="1:1" ht="15.5" x14ac:dyDescent="0.35">
      <c r="A47" s="42" t="s">
        <v>137</v>
      </c>
    </row>
    <row r="48" spans="1:1" ht="339" customHeight="1" x14ac:dyDescent="0.35">
      <c r="A48" s="43" t="s">
        <v>189</v>
      </c>
    </row>
    <row r="50" spans="1:1" ht="15.5" x14ac:dyDescent="0.35">
      <c r="A50" s="42" t="s">
        <v>82</v>
      </c>
    </row>
    <row r="51" spans="1:1" ht="212" customHeight="1" x14ac:dyDescent="0.35">
      <c r="A51" s="43" t="s">
        <v>190</v>
      </c>
    </row>
    <row r="53" spans="1:1" ht="15.5" x14ac:dyDescent="0.35">
      <c r="A53" s="42"/>
    </row>
    <row r="54" spans="1:1" x14ac:dyDescent="0.35">
      <c r="A54" s="4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showGridLines="0" topLeftCell="A24" zoomScale="80" zoomScaleNormal="80" workbookViewId="0">
      <selection activeCell="C13" sqref="C13"/>
    </sheetView>
  </sheetViews>
  <sheetFormatPr defaultRowHeight="14.5" x14ac:dyDescent="0.35"/>
  <cols>
    <col min="1" max="1" width="35" customWidth="1"/>
    <col min="2" max="2" width="25" customWidth="1"/>
    <col min="3" max="3" width="15" customWidth="1"/>
    <col min="4" max="4" width="17" customWidth="1"/>
  </cols>
  <sheetData>
    <row r="1" spans="1:4" ht="15.5" x14ac:dyDescent="0.35">
      <c r="A1" s="60" t="s">
        <v>0</v>
      </c>
      <c r="B1" s="61"/>
      <c r="C1" s="61"/>
    </row>
    <row r="3" spans="1:4" ht="15.5" x14ac:dyDescent="0.35">
      <c r="A3" s="2" t="s">
        <v>1</v>
      </c>
    </row>
    <row r="4" spans="1:4" x14ac:dyDescent="0.35">
      <c r="A4" s="15" t="s">
        <v>2</v>
      </c>
      <c r="B4" s="15" t="s">
        <v>3</v>
      </c>
      <c r="C4" s="15" t="s">
        <v>4</v>
      </c>
    </row>
    <row r="5" spans="1:4" x14ac:dyDescent="0.35">
      <c r="A5" s="4" t="s">
        <v>5</v>
      </c>
      <c r="B5" s="16">
        <v>120000</v>
      </c>
      <c r="C5" s="4" t="s">
        <v>6</v>
      </c>
    </row>
    <row r="6" spans="1:4" x14ac:dyDescent="0.35">
      <c r="A6" s="4" t="s">
        <v>7</v>
      </c>
      <c r="B6" s="17">
        <v>0.7</v>
      </c>
      <c r="C6" s="4" t="s">
        <v>8</v>
      </c>
    </row>
    <row r="7" spans="1:4" x14ac:dyDescent="0.35">
      <c r="A7" s="4" t="s">
        <v>9</v>
      </c>
      <c r="B7" s="17">
        <v>0.3</v>
      </c>
      <c r="C7" s="4" t="s">
        <v>8</v>
      </c>
    </row>
    <row r="8" spans="1:4" x14ac:dyDescent="0.35">
      <c r="A8" s="4" t="s">
        <v>10</v>
      </c>
      <c r="B8" s="17">
        <v>0.1</v>
      </c>
      <c r="C8" s="4" t="s">
        <v>11</v>
      </c>
      <c r="D8" s="22"/>
    </row>
    <row r="9" spans="1:4" x14ac:dyDescent="0.35">
      <c r="A9" s="28" t="s">
        <v>10</v>
      </c>
      <c r="B9" s="31">
        <f>(1-(1-B8)^(1/52))</f>
        <v>2.0241124785004283E-3</v>
      </c>
      <c r="C9" s="30" t="s">
        <v>86</v>
      </c>
      <c r="D9" s="22"/>
    </row>
    <row r="11" spans="1:4" ht="15.5" x14ac:dyDescent="0.35">
      <c r="A11" s="2" t="s">
        <v>12</v>
      </c>
    </row>
    <row r="12" spans="1:4" x14ac:dyDescent="0.35">
      <c r="A12" s="15" t="s">
        <v>2</v>
      </c>
      <c r="B12" s="15" t="s">
        <v>13</v>
      </c>
      <c r="C12" s="15" t="s">
        <v>14</v>
      </c>
      <c r="D12" s="15" t="s">
        <v>4</v>
      </c>
    </row>
    <row r="13" spans="1:4" x14ac:dyDescent="0.35">
      <c r="A13" s="4" t="s">
        <v>15</v>
      </c>
      <c r="B13" s="12">
        <v>50000</v>
      </c>
      <c r="C13" s="12">
        <v>15000</v>
      </c>
      <c r="D13" s="23" t="s">
        <v>87</v>
      </c>
    </row>
    <row r="14" spans="1:4" x14ac:dyDescent="0.35">
      <c r="A14" s="4" t="s">
        <v>16</v>
      </c>
      <c r="B14" s="12">
        <v>30000</v>
      </c>
      <c r="C14" s="12">
        <v>10000</v>
      </c>
      <c r="D14" s="23" t="s">
        <v>87</v>
      </c>
    </row>
    <row r="15" spans="1:4" x14ac:dyDescent="0.35">
      <c r="A15" s="4" t="s">
        <v>17</v>
      </c>
      <c r="B15" s="12">
        <v>4000000</v>
      </c>
      <c r="C15" s="12">
        <v>1500000</v>
      </c>
      <c r="D15" s="23" t="s">
        <v>88</v>
      </c>
    </row>
    <row r="16" spans="1:4" x14ac:dyDescent="0.35">
      <c r="A16" s="4" t="s">
        <v>18</v>
      </c>
      <c r="B16" s="5">
        <v>40</v>
      </c>
      <c r="C16" s="5">
        <v>25</v>
      </c>
      <c r="D16" s="23" t="s">
        <v>89</v>
      </c>
    </row>
    <row r="18" spans="1:3" ht="15.5" x14ac:dyDescent="0.35">
      <c r="A18" s="2" t="s">
        <v>19</v>
      </c>
    </row>
    <row r="19" spans="1:3" x14ac:dyDescent="0.35">
      <c r="A19" s="15" t="s">
        <v>2</v>
      </c>
      <c r="B19" s="15" t="s">
        <v>3</v>
      </c>
      <c r="C19" s="15" t="s">
        <v>4</v>
      </c>
    </row>
    <row r="20" spans="1:3" x14ac:dyDescent="0.35">
      <c r="A20" s="4" t="s">
        <v>20</v>
      </c>
      <c r="B20" s="16">
        <v>72</v>
      </c>
      <c r="C20" s="4" t="s">
        <v>21</v>
      </c>
    </row>
    <row r="21" spans="1:3" x14ac:dyDescent="0.35">
      <c r="A21" s="4" t="s">
        <v>22</v>
      </c>
      <c r="B21" s="16">
        <v>3200</v>
      </c>
      <c r="C21" s="4" t="s">
        <v>23</v>
      </c>
    </row>
    <row r="22" spans="1:3" x14ac:dyDescent="0.35">
      <c r="A22" s="4" t="s">
        <v>142</v>
      </c>
      <c r="B22" s="48">
        <v>0.7</v>
      </c>
      <c r="C22" s="4" t="s">
        <v>8</v>
      </c>
    </row>
    <row r="23" spans="1:3" x14ac:dyDescent="0.35">
      <c r="A23" s="4" t="s">
        <v>143</v>
      </c>
      <c r="B23" s="48">
        <v>0.5</v>
      </c>
      <c r="C23" s="4" t="s">
        <v>8</v>
      </c>
    </row>
    <row r="24" spans="1:3" x14ac:dyDescent="0.35">
      <c r="A24" s="4" t="s">
        <v>24</v>
      </c>
      <c r="B24" s="16">
        <v>83</v>
      </c>
      <c r="C24" s="4" t="s">
        <v>25</v>
      </c>
    </row>
    <row r="25" spans="1:3" x14ac:dyDescent="0.35">
      <c r="A25" s="4" t="s">
        <v>26</v>
      </c>
      <c r="B25" s="16">
        <v>78000</v>
      </c>
      <c r="C25" s="4" t="s">
        <v>27</v>
      </c>
    </row>
    <row r="26" spans="1:3" x14ac:dyDescent="0.35">
      <c r="A26" s="4" t="s">
        <v>28</v>
      </c>
      <c r="B26" s="16">
        <v>32000</v>
      </c>
      <c r="C26" s="4" t="s">
        <v>29</v>
      </c>
    </row>
    <row r="28" spans="1:3" ht="15.5" x14ac:dyDescent="0.35">
      <c r="A28" s="2" t="s">
        <v>30</v>
      </c>
    </row>
    <row r="29" spans="1:3" x14ac:dyDescent="0.35">
      <c r="A29" s="15" t="s">
        <v>2</v>
      </c>
      <c r="B29" s="15" t="s">
        <v>3</v>
      </c>
      <c r="C29" s="15" t="s">
        <v>4</v>
      </c>
    </row>
    <row r="30" spans="1:3" x14ac:dyDescent="0.35">
      <c r="A30" s="4" t="s">
        <v>31</v>
      </c>
      <c r="B30" s="16">
        <v>245000000</v>
      </c>
      <c r="C30" s="4" t="s">
        <v>32</v>
      </c>
    </row>
    <row r="31" spans="1:3" x14ac:dyDescent="0.35">
      <c r="A31" s="4" t="s">
        <v>33</v>
      </c>
      <c r="B31" s="17">
        <v>0.05</v>
      </c>
      <c r="C31" s="4" t="s">
        <v>11</v>
      </c>
    </row>
    <row r="32" spans="1:3" x14ac:dyDescent="0.35">
      <c r="A32" s="4" t="s">
        <v>34</v>
      </c>
      <c r="B32" s="17">
        <v>0.09</v>
      </c>
      <c r="C32" s="4" t="s">
        <v>11</v>
      </c>
    </row>
    <row r="33" spans="1:3" x14ac:dyDescent="0.35">
      <c r="A33" s="4" t="s">
        <v>35</v>
      </c>
      <c r="B33" s="17">
        <v>0.06</v>
      </c>
      <c r="C33" s="4" t="s">
        <v>11</v>
      </c>
    </row>
    <row r="34" spans="1:3" x14ac:dyDescent="0.35">
      <c r="A34" s="4" t="s">
        <v>163</v>
      </c>
      <c r="B34" s="17">
        <v>0.1</v>
      </c>
      <c r="C34" s="4" t="s">
        <v>11</v>
      </c>
    </row>
    <row r="36" spans="1:3" x14ac:dyDescent="0.35">
      <c r="A36" s="28" t="s">
        <v>91</v>
      </c>
      <c r="B36" s="29">
        <f>(1+B31)^(1/52)-1</f>
        <v>9.3871270311174371E-4</v>
      </c>
      <c r="C36" s="30" t="s">
        <v>86</v>
      </c>
    </row>
    <row r="37" spans="1:3" x14ac:dyDescent="0.35">
      <c r="A37" s="28" t="s">
        <v>92</v>
      </c>
      <c r="B37" s="29">
        <f>(1+B32)^(1/52)-1</f>
        <v>1.6586374091545064E-3</v>
      </c>
      <c r="C37" s="30" t="s">
        <v>86</v>
      </c>
    </row>
    <row r="38" spans="1:3" x14ac:dyDescent="0.35">
      <c r="A38" s="28" t="s">
        <v>93</v>
      </c>
      <c r="B38" s="29">
        <f>(1+B33)^(1/52)-1</f>
        <v>1.1211839828213499E-3</v>
      </c>
      <c r="C38" s="30" t="s">
        <v>86</v>
      </c>
    </row>
    <row r="39" spans="1:3" x14ac:dyDescent="0.35">
      <c r="A39" s="28" t="s">
        <v>94</v>
      </c>
      <c r="B39" s="29">
        <f>(1+B34)^(1/52)-1</f>
        <v>1.8345688392329418E-3</v>
      </c>
      <c r="C39" s="30" t="s">
        <v>86</v>
      </c>
    </row>
  </sheetData>
  <mergeCells count="1">
    <mergeCell ref="A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3"/>
  <sheetViews>
    <sheetView showGridLines="0" zoomScale="70" zoomScaleNormal="70" workbookViewId="0">
      <selection sqref="A1:F1"/>
    </sheetView>
  </sheetViews>
  <sheetFormatPr defaultRowHeight="14.5" x14ac:dyDescent="0.35"/>
  <cols>
    <col min="1" max="1" width="10" customWidth="1"/>
    <col min="2" max="4" width="18" customWidth="1"/>
    <col min="5" max="6" width="22" customWidth="1"/>
  </cols>
  <sheetData>
    <row r="1" spans="1:6" ht="18" x14ac:dyDescent="0.4">
      <c r="A1" s="62" t="s">
        <v>41</v>
      </c>
      <c r="B1" s="61"/>
      <c r="C1" s="61"/>
      <c r="D1" s="61"/>
      <c r="E1" s="61"/>
      <c r="F1" s="61"/>
    </row>
    <row r="3" spans="1:6" ht="28" x14ac:dyDescent="0.35">
      <c r="A3" s="18" t="s">
        <v>38</v>
      </c>
      <c r="B3" s="18" t="s">
        <v>42</v>
      </c>
      <c r="C3" s="18" t="s">
        <v>43</v>
      </c>
      <c r="D3" s="18" t="s">
        <v>44</v>
      </c>
      <c r="E3" s="18" t="s">
        <v>45</v>
      </c>
      <c r="F3" s="18" t="s">
        <v>46</v>
      </c>
    </row>
    <row r="4" spans="1:6" x14ac:dyDescent="0.35">
      <c r="A4" s="5">
        <v>1</v>
      </c>
      <c r="B4" s="12">
        <v>72</v>
      </c>
      <c r="C4" s="12">
        <v>3200</v>
      </c>
      <c r="D4" s="12">
        <v>83</v>
      </c>
      <c r="E4" s="13">
        <v>0</v>
      </c>
      <c r="F4" s="14">
        <v>1</v>
      </c>
    </row>
    <row r="5" spans="1:6" x14ac:dyDescent="0.35">
      <c r="A5" s="5">
        <v>2</v>
      </c>
      <c r="B5" s="12">
        <v>72</v>
      </c>
      <c r="C5" s="12">
        <v>3200</v>
      </c>
      <c r="D5" s="12">
        <v>83</v>
      </c>
      <c r="E5" s="13">
        <v>0</v>
      </c>
      <c r="F5" s="14">
        <v>1</v>
      </c>
    </row>
    <row r="6" spans="1:6" x14ac:dyDescent="0.35">
      <c r="A6" s="5">
        <v>3</v>
      </c>
      <c r="B6" s="12">
        <v>72</v>
      </c>
      <c r="C6" s="12">
        <v>3200</v>
      </c>
      <c r="D6" s="12">
        <v>83</v>
      </c>
      <c r="E6" s="13">
        <v>0</v>
      </c>
      <c r="F6" s="14">
        <v>1</v>
      </c>
    </row>
    <row r="7" spans="1:6" x14ac:dyDescent="0.35">
      <c r="A7" s="5">
        <v>4</v>
      </c>
      <c r="B7" s="12">
        <v>72</v>
      </c>
      <c r="C7" s="12">
        <v>3200</v>
      </c>
      <c r="D7" s="12">
        <v>83</v>
      </c>
      <c r="E7" s="13">
        <v>0</v>
      </c>
      <c r="F7" s="14">
        <v>1</v>
      </c>
    </row>
    <row r="8" spans="1:6" x14ac:dyDescent="0.35">
      <c r="A8" s="5">
        <v>5</v>
      </c>
      <c r="B8" s="12">
        <v>72</v>
      </c>
      <c r="C8" s="12">
        <v>3200</v>
      </c>
      <c r="D8" s="12">
        <v>83</v>
      </c>
      <c r="E8" s="13">
        <v>0</v>
      </c>
      <c r="F8" s="14">
        <v>1</v>
      </c>
    </row>
    <row r="9" spans="1:6" x14ac:dyDescent="0.35">
      <c r="A9" s="5">
        <v>6</v>
      </c>
      <c r="B9" s="12">
        <v>72</v>
      </c>
      <c r="C9" s="12">
        <v>3200</v>
      </c>
      <c r="D9" s="12">
        <v>83</v>
      </c>
      <c r="E9" s="13">
        <v>0</v>
      </c>
      <c r="F9" s="14">
        <v>1</v>
      </c>
    </row>
    <row r="10" spans="1:6" x14ac:dyDescent="0.35">
      <c r="A10" s="5">
        <v>7</v>
      </c>
      <c r="B10" s="12">
        <v>72</v>
      </c>
      <c r="C10" s="12">
        <v>3200</v>
      </c>
      <c r="D10" s="12">
        <v>83</v>
      </c>
      <c r="E10" s="13">
        <v>0</v>
      </c>
      <c r="F10" s="14">
        <v>1</v>
      </c>
    </row>
    <row r="11" spans="1:6" x14ac:dyDescent="0.35">
      <c r="A11" s="5">
        <v>8</v>
      </c>
      <c r="B11" s="12">
        <v>72</v>
      </c>
      <c r="C11" s="12">
        <v>3200</v>
      </c>
      <c r="D11" s="12">
        <v>83</v>
      </c>
      <c r="E11" s="13">
        <v>0</v>
      </c>
      <c r="F11" s="14">
        <v>1</v>
      </c>
    </row>
    <row r="12" spans="1:6" x14ac:dyDescent="0.35">
      <c r="A12" s="5">
        <v>9</v>
      </c>
      <c r="B12" s="12">
        <v>72</v>
      </c>
      <c r="C12" s="12">
        <v>3200</v>
      </c>
      <c r="D12" s="12">
        <v>83</v>
      </c>
      <c r="E12" s="13">
        <v>0</v>
      </c>
      <c r="F12" s="14">
        <v>1</v>
      </c>
    </row>
    <row r="13" spans="1:6" x14ac:dyDescent="0.35">
      <c r="A13" s="5">
        <v>10</v>
      </c>
      <c r="B13" s="12">
        <v>108</v>
      </c>
      <c r="C13" s="12">
        <v>3800</v>
      </c>
      <c r="D13" s="12">
        <v>93</v>
      </c>
      <c r="E13" s="13">
        <v>0.25</v>
      </c>
      <c r="F13" s="14">
        <v>0</v>
      </c>
    </row>
    <row r="14" spans="1:6" x14ac:dyDescent="0.35">
      <c r="A14" s="5">
        <v>11</v>
      </c>
      <c r="B14" s="12">
        <v>108</v>
      </c>
      <c r="C14" s="12">
        <v>3800</v>
      </c>
      <c r="D14" s="12">
        <v>93</v>
      </c>
      <c r="E14" s="13">
        <v>0.25</v>
      </c>
      <c r="F14" s="14">
        <v>0</v>
      </c>
    </row>
    <row r="15" spans="1:6" x14ac:dyDescent="0.35">
      <c r="A15" s="5">
        <v>12</v>
      </c>
      <c r="B15" s="12">
        <v>108</v>
      </c>
      <c r="C15" s="12">
        <v>3800</v>
      </c>
      <c r="D15" s="12">
        <v>93</v>
      </c>
      <c r="E15" s="13">
        <v>0.25</v>
      </c>
      <c r="F15" s="14">
        <v>0</v>
      </c>
    </row>
    <row r="16" spans="1:6" x14ac:dyDescent="0.35">
      <c r="A16" s="5">
        <v>13</v>
      </c>
      <c r="B16" s="12">
        <v>108</v>
      </c>
      <c r="C16" s="12">
        <v>3800</v>
      </c>
      <c r="D16" s="12">
        <v>93</v>
      </c>
      <c r="E16" s="13">
        <v>0.25</v>
      </c>
      <c r="F16" s="14">
        <v>0</v>
      </c>
    </row>
    <row r="17" spans="1:6" x14ac:dyDescent="0.35">
      <c r="A17" s="5">
        <v>14</v>
      </c>
      <c r="B17" s="12">
        <v>108</v>
      </c>
      <c r="C17" s="12">
        <v>3800</v>
      </c>
      <c r="D17" s="12">
        <v>93</v>
      </c>
      <c r="E17" s="13">
        <v>0.25</v>
      </c>
      <c r="F17" s="14">
        <v>0</v>
      </c>
    </row>
    <row r="18" spans="1:6" x14ac:dyDescent="0.35">
      <c r="A18" s="5">
        <v>15</v>
      </c>
      <c r="B18" s="12">
        <v>108</v>
      </c>
      <c r="C18" s="12">
        <v>3800</v>
      </c>
      <c r="D18" s="12">
        <v>93</v>
      </c>
      <c r="E18" s="13">
        <v>0.25</v>
      </c>
      <c r="F18" s="14">
        <v>0</v>
      </c>
    </row>
    <row r="19" spans="1:6" x14ac:dyDescent="0.35">
      <c r="A19" s="5">
        <v>16</v>
      </c>
      <c r="B19" s="12">
        <v>108</v>
      </c>
      <c r="C19" s="12">
        <v>3800</v>
      </c>
      <c r="D19" s="12">
        <v>93</v>
      </c>
      <c r="E19" s="13">
        <v>0.25</v>
      </c>
      <c r="F19" s="14">
        <v>0</v>
      </c>
    </row>
    <row r="20" spans="1:6" x14ac:dyDescent="0.35">
      <c r="A20" s="5">
        <v>17</v>
      </c>
      <c r="B20" s="12">
        <v>108</v>
      </c>
      <c r="C20" s="12">
        <v>3800</v>
      </c>
      <c r="D20" s="12">
        <v>93</v>
      </c>
      <c r="E20" s="13">
        <v>0.25</v>
      </c>
      <c r="F20" s="14">
        <v>0</v>
      </c>
    </row>
    <row r="21" spans="1:6" x14ac:dyDescent="0.35">
      <c r="A21" s="5">
        <v>18</v>
      </c>
      <c r="B21" s="12">
        <v>108</v>
      </c>
      <c r="C21" s="12">
        <v>3800</v>
      </c>
      <c r="D21" s="12">
        <v>93</v>
      </c>
      <c r="E21" s="13">
        <v>0.25</v>
      </c>
      <c r="F21" s="14">
        <v>0</v>
      </c>
    </row>
    <row r="22" spans="1:6" x14ac:dyDescent="0.35">
      <c r="A22" s="5">
        <v>19</v>
      </c>
      <c r="B22" s="12">
        <v>108</v>
      </c>
      <c r="C22" s="12">
        <v>3800</v>
      </c>
      <c r="D22" s="12">
        <v>93</v>
      </c>
      <c r="E22" s="13">
        <v>0.25</v>
      </c>
      <c r="F22" s="14">
        <v>0</v>
      </c>
    </row>
    <row r="23" spans="1:6" x14ac:dyDescent="0.35">
      <c r="A23" s="5">
        <v>20</v>
      </c>
      <c r="B23" s="12">
        <v>108</v>
      </c>
      <c r="C23" s="12">
        <v>3800</v>
      </c>
      <c r="D23" s="12">
        <v>93</v>
      </c>
      <c r="E23" s="13">
        <v>0.25</v>
      </c>
      <c r="F23" s="14">
        <v>0</v>
      </c>
    </row>
    <row r="24" spans="1:6" x14ac:dyDescent="0.35">
      <c r="A24" s="5">
        <v>21</v>
      </c>
      <c r="B24" s="12">
        <v>108</v>
      </c>
      <c r="C24" s="12">
        <v>3800</v>
      </c>
      <c r="D24" s="12">
        <v>93</v>
      </c>
      <c r="E24" s="13">
        <v>0.25</v>
      </c>
      <c r="F24" s="14">
        <v>0</v>
      </c>
    </row>
    <row r="25" spans="1:6" x14ac:dyDescent="0.35">
      <c r="A25" s="5">
        <v>22</v>
      </c>
      <c r="B25" s="12">
        <v>108</v>
      </c>
      <c r="C25" s="12">
        <v>3800</v>
      </c>
      <c r="D25" s="12">
        <v>93</v>
      </c>
      <c r="E25" s="13">
        <v>0.25</v>
      </c>
      <c r="F25" s="14">
        <v>0</v>
      </c>
    </row>
    <row r="26" spans="1:6" x14ac:dyDescent="0.35">
      <c r="A26" s="5">
        <v>23</v>
      </c>
      <c r="B26" s="12">
        <v>108</v>
      </c>
      <c r="C26" s="12">
        <v>3800</v>
      </c>
      <c r="D26" s="12">
        <v>93</v>
      </c>
      <c r="E26" s="13">
        <v>0.25</v>
      </c>
      <c r="F26" s="14">
        <v>0</v>
      </c>
    </row>
    <row r="27" spans="1:6" x14ac:dyDescent="0.35">
      <c r="A27" s="5">
        <v>24</v>
      </c>
      <c r="B27" s="12">
        <v>108</v>
      </c>
      <c r="C27" s="12">
        <v>3800</v>
      </c>
      <c r="D27" s="12">
        <v>93</v>
      </c>
      <c r="E27" s="13">
        <v>0.25</v>
      </c>
      <c r="F27" s="14">
        <v>0</v>
      </c>
    </row>
    <row r="28" spans="1:6" x14ac:dyDescent="0.35">
      <c r="A28" s="5">
        <v>25</v>
      </c>
      <c r="B28" s="12">
        <v>108</v>
      </c>
      <c r="C28" s="12">
        <v>3800</v>
      </c>
      <c r="D28" s="12">
        <v>93</v>
      </c>
      <c r="E28" s="13">
        <v>0.25</v>
      </c>
      <c r="F28" s="14">
        <v>0</v>
      </c>
    </row>
    <row r="29" spans="1:6" x14ac:dyDescent="0.35">
      <c r="A29" s="5">
        <v>26</v>
      </c>
      <c r="B29" s="12">
        <v>79</v>
      </c>
      <c r="C29" s="12">
        <v>3500</v>
      </c>
      <c r="D29" s="12">
        <v>88</v>
      </c>
      <c r="E29" s="13">
        <v>0.1</v>
      </c>
      <c r="F29" s="14">
        <v>0.85</v>
      </c>
    </row>
    <row r="30" spans="1:6" x14ac:dyDescent="0.35">
      <c r="A30" s="5">
        <v>27</v>
      </c>
      <c r="B30" s="12">
        <v>79</v>
      </c>
      <c r="C30" s="12">
        <v>3500</v>
      </c>
      <c r="D30" s="12">
        <v>88</v>
      </c>
      <c r="E30" s="13">
        <v>0.1</v>
      </c>
      <c r="F30" s="14">
        <v>0.85</v>
      </c>
    </row>
    <row r="31" spans="1:6" x14ac:dyDescent="0.35">
      <c r="A31" s="5">
        <v>28</v>
      </c>
      <c r="B31" s="12">
        <v>79</v>
      </c>
      <c r="C31" s="12">
        <v>3500</v>
      </c>
      <c r="D31" s="12">
        <v>88</v>
      </c>
      <c r="E31" s="13">
        <v>0.1</v>
      </c>
      <c r="F31" s="14">
        <v>0.85</v>
      </c>
    </row>
    <row r="32" spans="1:6" x14ac:dyDescent="0.35">
      <c r="A32" s="5">
        <v>29</v>
      </c>
      <c r="B32" s="12">
        <v>79</v>
      </c>
      <c r="C32" s="12">
        <v>3500</v>
      </c>
      <c r="D32" s="12">
        <v>88</v>
      </c>
      <c r="E32" s="13">
        <v>0.1</v>
      </c>
      <c r="F32" s="14">
        <v>0.85</v>
      </c>
    </row>
    <row r="33" spans="1:6" x14ac:dyDescent="0.35">
      <c r="A33" s="5">
        <v>30</v>
      </c>
      <c r="B33" s="12">
        <v>79</v>
      </c>
      <c r="C33" s="12">
        <v>3500</v>
      </c>
      <c r="D33" s="12">
        <v>88</v>
      </c>
      <c r="E33" s="13">
        <v>0.1</v>
      </c>
      <c r="F33" s="14">
        <v>0.85</v>
      </c>
    </row>
    <row r="34" spans="1:6" x14ac:dyDescent="0.35">
      <c r="A34" s="5">
        <v>31</v>
      </c>
      <c r="B34" s="12">
        <v>79</v>
      </c>
      <c r="C34" s="12">
        <v>3500</v>
      </c>
      <c r="D34" s="12">
        <v>88</v>
      </c>
      <c r="E34" s="13">
        <v>0.1</v>
      </c>
      <c r="F34" s="14">
        <v>0.85</v>
      </c>
    </row>
    <row r="35" spans="1:6" x14ac:dyDescent="0.35">
      <c r="A35" s="5">
        <v>32</v>
      </c>
      <c r="B35" s="12">
        <v>79</v>
      </c>
      <c r="C35" s="12">
        <v>3500</v>
      </c>
      <c r="D35" s="12">
        <v>88</v>
      </c>
      <c r="E35" s="13">
        <v>0.1</v>
      </c>
      <c r="F35" s="14">
        <v>0.85</v>
      </c>
    </row>
    <row r="36" spans="1:6" x14ac:dyDescent="0.35">
      <c r="A36" s="5">
        <v>33</v>
      </c>
      <c r="B36" s="12">
        <v>79</v>
      </c>
      <c r="C36" s="12">
        <v>3500</v>
      </c>
      <c r="D36" s="12">
        <v>88</v>
      </c>
      <c r="E36" s="13">
        <v>0.1</v>
      </c>
      <c r="F36" s="14">
        <v>0.85</v>
      </c>
    </row>
    <row r="37" spans="1:6" x14ac:dyDescent="0.35">
      <c r="A37" s="5">
        <v>34</v>
      </c>
      <c r="B37" s="12">
        <v>79</v>
      </c>
      <c r="C37" s="12">
        <v>3500</v>
      </c>
      <c r="D37" s="12">
        <v>88</v>
      </c>
      <c r="E37" s="13">
        <v>0.1</v>
      </c>
      <c r="F37" s="14">
        <v>0.85</v>
      </c>
    </row>
    <row r="38" spans="1:6" x14ac:dyDescent="0.35">
      <c r="A38" s="5">
        <v>35</v>
      </c>
      <c r="B38" s="12">
        <v>79</v>
      </c>
      <c r="C38" s="12">
        <v>3500</v>
      </c>
      <c r="D38" s="12">
        <v>88</v>
      </c>
      <c r="E38" s="13">
        <v>0.1</v>
      </c>
      <c r="F38" s="14">
        <v>0.85</v>
      </c>
    </row>
    <row r="39" spans="1:6" x14ac:dyDescent="0.35">
      <c r="A39" s="5">
        <v>36</v>
      </c>
      <c r="B39" s="12">
        <v>79</v>
      </c>
      <c r="C39" s="12">
        <v>3500</v>
      </c>
      <c r="D39" s="12">
        <v>88</v>
      </c>
      <c r="E39" s="13">
        <v>0.1</v>
      </c>
      <c r="F39" s="14">
        <v>0.85</v>
      </c>
    </row>
    <row r="40" spans="1:6" x14ac:dyDescent="0.35">
      <c r="A40" s="5">
        <v>37</v>
      </c>
      <c r="B40" s="12">
        <v>79</v>
      </c>
      <c r="C40" s="12">
        <v>3500</v>
      </c>
      <c r="D40" s="12">
        <v>88</v>
      </c>
      <c r="E40" s="13">
        <v>0.1</v>
      </c>
      <c r="F40" s="14">
        <v>0.85</v>
      </c>
    </row>
    <row r="41" spans="1:6" x14ac:dyDescent="0.35">
      <c r="A41" s="5">
        <v>38</v>
      </c>
      <c r="B41" s="12">
        <v>79</v>
      </c>
      <c r="C41" s="12">
        <v>3500</v>
      </c>
      <c r="D41" s="12">
        <v>88</v>
      </c>
      <c r="E41" s="13">
        <v>0.1</v>
      </c>
      <c r="F41" s="14">
        <v>0.85</v>
      </c>
    </row>
    <row r="42" spans="1:6" x14ac:dyDescent="0.35">
      <c r="A42" s="5">
        <v>39</v>
      </c>
      <c r="B42" s="12">
        <v>79</v>
      </c>
      <c r="C42" s="12">
        <v>3500</v>
      </c>
      <c r="D42" s="12">
        <v>88</v>
      </c>
      <c r="E42" s="13">
        <v>0.1</v>
      </c>
      <c r="F42" s="14">
        <v>0.85</v>
      </c>
    </row>
    <row r="43" spans="1:6" x14ac:dyDescent="0.35">
      <c r="A43" s="5">
        <v>40</v>
      </c>
      <c r="B43" s="12">
        <v>79</v>
      </c>
      <c r="C43" s="12">
        <v>3500</v>
      </c>
      <c r="D43" s="12">
        <v>88</v>
      </c>
      <c r="E43" s="13">
        <v>0.1</v>
      </c>
      <c r="F43" s="14">
        <v>0.85</v>
      </c>
    </row>
    <row r="44" spans="1:6" x14ac:dyDescent="0.35">
      <c r="A44" s="5">
        <v>41</v>
      </c>
      <c r="B44" s="12">
        <v>79</v>
      </c>
      <c r="C44" s="12">
        <v>3500</v>
      </c>
      <c r="D44" s="12">
        <v>88</v>
      </c>
      <c r="E44" s="13">
        <v>0.1</v>
      </c>
      <c r="F44" s="14">
        <v>0.85</v>
      </c>
    </row>
    <row r="45" spans="1:6" x14ac:dyDescent="0.35">
      <c r="A45" s="5">
        <v>42</v>
      </c>
      <c r="B45" s="12">
        <v>79</v>
      </c>
      <c r="C45" s="12">
        <v>3500</v>
      </c>
      <c r="D45" s="12">
        <v>88</v>
      </c>
      <c r="E45" s="13">
        <v>0.1</v>
      </c>
      <c r="F45" s="14">
        <v>0.85</v>
      </c>
    </row>
    <row r="46" spans="1:6" x14ac:dyDescent="0.35">
      <c r="A46" s="5">
        <v>43</v>
      </c>
      <c r="B46" s="12">
        <v>79</v>
      </c>
      <c r="C46" s="12">
        <v>3500</v>
      </c>
      <c r="D46" s="12">
        <v>88</v>
      </c>
      <c r="E46" s="13">
        <v>0.1</v>
      </c>
      <c r="F46" s="14">
        <v>0.85</v>
      </c>
    </row>
    <row r="47" spans="1:6" x14ac:dyDescent="0.35">
      <c r="A47" s="5">
        <v>44</v>
      </c>
      <c r="B47" s="12">
        <v>79</v>
      </c>
      <c r="C47" s="12">
        <v>3500</v>
      </c>
      <c r="D47" s="12">
        <v>88</v>
      </c>
      <c r="E47" s="13">
        <v>0.1</v>
      </c>
      <c r="F47" s="14">
        <v>0.85</v>
      </c>
    </row>
    <row r="48" spans="1:6" x14ac:dyDescent="0.35">
      <c r="A48" s="5">
        <v>45</v>
      </c>
      <c r="B48" s="12">
        <v>79</v>
      </c>
      <c r="C48" s="12">
        <v>3500</v>
      </c>
      <c r="D48" s="12">
        <v>88</v>
      </c>
      <c r="E48" s="13">
        <v>0.1</v>
      </c>
      <c r="F48" s="14">
        <v>0.85</v>
      </c>
    </row>
    <row r="49" spans="1:6" x14ac:dyDescent="0.35">
      <c r="A49" s="5">
        <v>46</v>
      </c>
      <c r="B49" s="12">
        <v>79</v>
      </c>
      <c r="C49" s="12">
        <v>3500</v>
      </c>
      <c r="D49" s="12">
        <v>88</v>
      </c>
      <c r="E49" s="13">
        <v>0.1</v>
      </c>
      <c r="F49" s="14">
        <v>0.85</v>
      </c>
    </row>
    <row r="50" spans="1:6" x14ac:dyDescent="0.35">
      <c r="A50" s="5">
        <v>47</v>
      </c>
      <c r="B50" s="12">
        <v>79</v>
      </c>
      <c r="C50" s="12">
        <v>3500</v>
      </c>
      <c r="D50" s="12">
        <v>88</v>
      </c>
      <c r="E50" s="13">
        <v>0.1</v>
      </c>
      <c r="F50" s="14">
        <v>0.85</v>
      </c>
    </row>
    <row r="51" spans="1:6" x14ac:dyDescent="0.35">
      <c r="A51" s="5">
        <v>48</v>
      </c>
      <c r="B51" s="12">
        <v>79</v>
      </c>
      <c r="C51" s="12">
        <v>3500</v>
      </c>
      <c r="D51" s="12">
        <v>88</v>
      </c>
      <c r="E51" s="13">
        <v>0.1</v>
      </c>
      <c r="F51" s="14">
        <v>0.85</v>
      </c>
    </row>
    <row r="52" spans="1:6" x14ac:dyDescent="0.35">
      <c r="A52" s="5">
        <v>49</v>
      </c>
      <c r="B52" s="12">
        <v>79</v>
      </c>
      <c r="C52" s="12">
        <v>3500</v>
      </c>
      <c r="D52" s="12">
        <v>88</v>
      </c>
      <c r="E52" s="13">
        <v>0.1</v>
      </c>
      <c r="F52" s="14">
        <v>0.85</v>
      </c>
    </row>
    <row r="53" spans="1:6" x14ac:dyDescent="0.35">
      <c r="A53" s="5">
        <v>50</v>
      </c>
      <c r="B53" s="12">
        <v>79</v>
      </c>
      <c r="C53" s="12">
        <v>3500</v>
      </c>
      <c r="D53" s="12">
        <v>88</v>
      </c>
      <c r="E53" s="13">
        <v>0.1</v>
      </c>
      <c r="F53" s="14">
        <v>0.85</v>
      </c>
    </row>
    <row r="54" spans="1:6" x14ac:dyDescent="0.35">
      <c r="A54" s="5">
        <v>51</v>
      </c>
      <c r="B54" s="12">
        <v>79</v>
      </c>
      <c r="C54" s="12">
        <v>3500</v>
      </c>
      <c r="D54" s="12">
        <v>88</v>
      </c>
      <c r="E54" s="13">
        <v>0.1</v>
      </c>
      <c r="F54" s="14">
        <v>0.85</v>
      </c>
    </row>
    <row r="55" spans="1:6" x14ac:dyDescent="0.35">
      <c r="A55" s="5">
        <v>52</v>
      </c>
      <c r="B55" s="12">
        <v>79</v>
      </c>
      <c r="C55" s="12">
        <v>3500</v>
      </c>
      <c r="D55" s="12">
        <v>88</v>
      </c>
      <c r="E55" s="13">
        <v>0.1</v>
      </c>
      <c r="F55" s="14">
        <v>0.85</v>
      </c>
    </row>
    <row r="56" spans="1:6" x14ac:dyDescent="0.35">
      <c r="A56" s="5">
        <v>53</v>
      </c>
      <c r="B56" s="12">
        <v>79</v>
      </c>
      <c r="C56" s="12">
        <v>3500</v>
      </c>
      <c r="D56" s="12">
        <v>88</v>
      </c>
      <c r="E56" s="13">
        <v>0.1</v>
      </c>
      <c r="F56" s="14">
        <v>0.85</v>
      </c>
    </row>
    <row r="57" spans="1:6" x14ac:dyDescent="0.35">
      <c r="A57" s="5">
        <v>54</v>
      </c>
      <c r="B57" s="12">
        <v>79</v>
      </c>
      <c r="C57" s="12">
        <v>3500</v>
      </c>
      <c r="D57" s="12">
        <v>88</v>
      </c>
      <c r="E57" s="13">
        <v>0.1</v>
      </c>
      <c r="F57" s="14">
        <v>0.85</v>
      </c>
    </row>
    <row r="58" spans="1:6" x14ac:dyDescent="0.35">
      <c r="A58" s="5">
        <v>55</v>
      </c>
      <c r="B58" s="12">
        <v>79</v>
      </c>
      <c r="C58" s="12">
        <v>3500</v>
      </c>
      <c r="D58" s="12">
        <v>88</v>
      </c>
      <c r="E58" s="13">
        <v>0.1</v>
      </c>
      <c r="F58" s="14">
        <v>0.85</v>
      </c>
    </row>
    <row r="59" spans="1:6" x14ac:dyDescent="0.35">
      <c r="A59" s="5">
        <v>56</v>
      </c>
      <c r="B59" s="12">
        <v>79</v>
      </c>
      <c r="C59" s="12">
        <v>3500</v>
      </c>
      <c r="D59" s="12">
        <v>88</v>
      </c>
      <c r="E59" s="13">
        <v>0.1</v>
      </c>
      <c r="F59" s="14">
        <v>0.85</v>
      </c>
    </row>
    <row r="60" spans="1:6" x14ac:dyDescent="0.35">
      <c r="A60" s="5">
        <v>57</v>
      </c>
      <c r="B60" s="12">
        <v>79</v>
      </c>
      <c r="C60" s="12">
        <v>3500</v>
      </c>
      <c r="D60" s="12">
        <v>88</v>
      </c>
      <c r="E60" s="13">
        <v>0.1</v>
      </c>
      <c r="F60" s="14">
        <v>0.85</v>
      </c>
    </row>
    <row r="61" spans="1:6" x14ac:dyDescent="0.35">
      <c r="A61" s="5">
        <v>58</v>
      </c>
      <c r="B61" s="12">
        <v>79</v>
      </c>
      <c r="C61" s="12">
        <v>3500</v>
      </c>
      <c r="D61" s="12">
        <v>88</v>
      </c>
      <c r="E61" s="13">
        <v>0.1</v>
      </c>
      <c r="F61" s="14">
        <v>0.85</v>
      </c>
    </row>
    <row r="62" spans="1:6" x14ac:dyDescent="0.35">
      <c r="A62" s="5">
        <v>59</v>
      </c>
      <c r="B62" s="12">
        <v>79</v>
      </c>
      <c r="C62" s="12">
        <v>3500</v>
      </c>
      <c r="D62" s="12">
        <v>88</v>
      </c>
      <c r="E62" s="13">
        <v>0.1</v>
      </c>
      <c r="F62" s="14">
        <v>0.85</v>
      </c>
    </row>
    <row r="63" spans="1:6" x14ac:dyDescent="0.35">
      <c r="A63" s="5">
        <v>60</v>
      </c>
      <c r="B63" s="12">
        <v>79</v>
      </c>
      <c r="C63" s="12">
        <v>3500</v>
      </c>
      <c r="D63" s="12">
        <v>88</v>
      </c>
      <c r="E63" s="13">
        <v>0.1</v>
      </c>
      <c r="F63" s="14">
        <v>0.85</v>
      </c>
    </row>
    <row r="64" spans="1:6" x14ac:dyDescent="0.35">
      <c r="A64" s="5">
        <v>61</v>
      </c>
      <c r="B64" s="12">
        <v>79</v>
      </c>
      <c r="C64" s="12">
        <v>3500</v>
      </c>
      <c r="D64" s="12">
        <v>88</v>
      </c>
      <c r="E64" s="13">
        <v>0.1</v>
      </c>
      <c r="F64" s="14">
        <v>0.85</v>
      </c>
    </row>
    <row r="65" spans="1:6" x14ac:dyDescent="0.35">
      <c r="A65" s="5">
        <v>62</v>
      </c>
      <c r="B65" s="12">
        <v>79</v>
      </c>
      <c r="C65" s="12">
        <v>3500</v>
      </c>
      <c r="D65" s="12">
        <v>88</v>
      </c>
      <c r="E65" s="13">
        <v>0.1</v>
      </c>
      <c r="F65" s="14">
        <v>0.85</v>
      </c>
    </row>
    <row r="66" spans="1:6" x14ac:dyDescent="0.35">
      <c r="A66" s="5">
        <v>63</v>
      </c>
      <c r="B66" s="12">
        <v>79</v>
      </c>
      <c r="C66" s="12">
        <v>3500</v>
      </c>
      <c r="D66" s="12">
        <v>88</v>
      </c>
      <c r="E66" s="13">
        <v>0.1</v>
      </c>
      <c r="F66" s="14">
        <v>0.85</v>
      </c>
    </row>
    <row r="67" spans="1:6" x14ac:dyDescent="0.35">
      <c r="A67" s="5">
        <v>64</v>
      </c>
      <c r="B67" s="12">
        <v>79</v>
      </c>
      <c r="C67" s="12">
        <v>3500</v>
      </c>
      <c r="D67" s="12">
        <v>88</v>
      </c>
      <c r="E67" s="13">
        <v>0.1</v>
      </c>
      <c r="F67" s="14">
        <v>0.85</v>
      </c>
    </row>
    <row r="68" spans="1:6" x14ac:dyDescent="0.35">
      <c r="A68" s="5">
        <v>65</v>
      </c>
      <c r="B68" s="12">
        <v>79</v>
      </c>
      <c r="C68" s="12">
        <v>3500</v>
      </c>
      <c r="D68" s="12">
        <v>88</v>
      </c>
      <c r="E68" s="13">
        <v>0.1</v>
      </c>
      <c r="F68" s="14">
        <v>0.85</v>
      </c>
    </row>
    <row r="69" spans="1:6" x14ac:dyDescent="0.35">
      <c r="A69" s="5">
        <v>66</v>
      </c>
      <c r="B69" s="12">
        <v>79</v>
      </c>
      <c r="C69" s="12">
        <v>3500</v>
      </c>
      <c r="D69" s="12">
        <v>88</v>
      </c>
      <c r="E69" s="13">
        <v>0.1</v>
      </c>
      <c r="F69" s="14">
        <v>0.85</v>
      </c>
    </row>
    <row r="70" spans="1:6" x14ac:dyDescent="0.35">
      <c r="A70" s="5">
        <v>67</v>
      </c>
      <c r="B70" s="12">
        <v>79</v>
      </c>
      <c r="C70" s="12">
        <v>3500</v>
      </c>
      <c r="D70" s="12">
        <v>88</v>
      </c>
      <c r="E70" s="13">
        <v>0.1</v>
      </c>
      <c r="F70" s="14">
        <v>0.85</v>
      </c>
    </row>
    <row r="71" spans="1:6" x14ac:dyDescent="0.35">
      <c r="A71" s="5">
        <v>68</v>
      </c>
      <c r="B71" s="12">
        <v>79</v>
      </c>
      <c r="C71" s="12">
        <v>3500</v>
      </c>
      <c r="D71" s="12">
        <v>88</v>
      </c>
      <c r="E71" s="13">
        <v>0.1</v>
      </c>
      <c r="F71" s="14">
        <v>0.85</v>
      </c>
    </row>
    <row r="72" spans="1:6" x14ac:dyDescent="0.35">
      <c r="A72" s="5">
        <v>69</v>
      </c>
      <c r="B72" s="12">
        <v>79</v>
      </c>
      <c r="C72" s="12">
        <v>3500</v>
      </c>
      <c r="D72" s="12">
        <v>88</v>
      </c>
      <c r="E72" s="13">
        <v>0.1</v>
      </c>
      <c r="F72" s="14">
        <v>0.85</v>
      </c>
    </row>
    <row r="73" spans="1:6" x14ac:dyDescent="0.35">
      <c r="A73" s="5">
        <v>70</v>
      </c>
      <c r="B73" s="12">
        <v>79</v>
      </c>
      <c r="C73" s="12">
        <v>3500</v>
      </c>
      <c r="D73" s="12">
        <v>88</v>
      </c>
      <c r="E73" s="13">
        <v>0.1</v>
      </c>
      <c r="F73" s="14">
        <v>0.85</v>
      </c>
    </row>
    <row r="74" spans="1:6" x14ac:dyDescent="0.35">
      <c r="A74" s="5">
        <v>71</v>
      </c>
      <c r="B74" s="12">
        <v>79</v>
      </c>
      <c r="C74" s="12">
        <v>3500</v>
      </c>
      <c r="D74" s="12">
        <v>88</v>
      </c>
      <c r="E74" s="13">
        <v>0.1</v>
      </c>
      <c r="F74" s="14">
        <v>0.85</v>
      </c>
    </row>
    <row r="75" spans="1:6" x14ac:dyDescent="0.35">
      <c r="A75" s="5">
        <v>72</v>
      </c>
      <c r="B75" s="12">
        <v>79</v>
      </c>
      <c r="C75" s="12">
        <v>3500</v>
      </c>
      <c r="D75" s="12">
        <v>88</v>
      </c>
      <c r="E75" s="13">
        <v>0.1</v>
      </c>
      <c r="F75" s="14">
        <v>0.85</v>
      </c>
    </row>
    <row r="76" spans="1:6" x14ac:dyDescent="0.35">
      <c r="A76" s="5">
        <v>73</v>
      </c>
      <c r="B76" s="12">
        <v>79</v>
      </c>
      <c r="C76" s="12">
        <v>3500</v>
      </c>
      <c r="D76" s="12">
        <v>88</v>
      </c>
      <c r="E76" s="13">
        <v>0.1</v>
      </c>
      <c r="F76" s="14">
        <v>0.85</v>
      </c>
    </row>
    <row r="77" spans="1:6" x14ac:dyDescent="0.35">
      <c r="A77" s="5">
        <v>74</v>
      </c>
      <c r="B77" s="12">
        <v>79</v>
      </c>
      <c r="C77" s="12">
        <v>3500</v>
      </c>
      <c r="D77" s="12">
        <v>88</v>
      </c>
      <c r="E77" s="13">
        <v>0.1</v>
      </c>
      <c r="F77" s="14">
        <v>0.85</v>
      </c>
    </row>
    <row r="78" spans="1:6" x14ac:dyDescent="0.35">
      <c r="A78" s="5">
        <v>75</v>
      </c>
      <c r="B78" s="12">
        <v>79</v>
      </c>
      <c r="C78" s="12">
        <v>3500</v>
      </c>
      <c r="D78" s="12">
        <v>88</v>
      </c>
      <c r="E78" s="13">
        <v>0.1</v>
      </c>
      <c r="F78" s="14">
        <v>0.85</v>
      </c>
    </row>
    <row r="79" spans="1:6" x14ac:dyDescent="0.35">
      <c r="A79" s="5">
        <v>76</v>
      </c>
      <c r="B79" s="12">
        <v>79</v>
      </c>
      <c r="C79" s="12">
        <v>3500</v>
      </c>
      <c r="D79" s="12">
        <v>88</v>
      </c>
      <c r="E79" s="13">
        <v>0.1</v>
      </c>
      <c r="F79" s="14">
        <v>0.85</v>
      </c>
    </row>
    <row r="80" spans="1:6" x14ac:dyDescent="0.35">
      <c r="A80" s="5">
        <v>77</v>
      </c>
      <c r="B80" s="12">
        <v>79</v>
      </c>
      <c r="C80" s="12">
        <v>3500</v>
      </c>
      <c r="D80" s="12">
        <v>88</v>
      </c>
      <c r="E80" s="13">
        <v>0.1</v>
      </c>
      <c r="F80" s="14">
        <v>0.85</v>
      </c>
    </row>
    <row r="81" spans="1:6" x14ac:dyDescent="0.35">
      <c r="A81" s="5">
        <v>78</v>
      </c>
      <c r="B81" s="12">
        <v>79</v>
      </c>
      <c r="C81" s="12">
        <v>3500</v>
      </c>
      <c r="D81" s="12">
        <v>88</v>
      </c>
      <c r="E81" s="13">
        <v>0.1</v>
      </c>
      <c r="F81" s="14">
        <v>0.85</v>
      </c>
    </row>
    <row r="82" spans="1:6" x14ac:dyDescent="0.35">
      <c r="A82" s="5">
        <v>79</v>
      </c>
      <c r="B82" s="12">
        <v>79</v>
      </c>
      <c r="C82" s="12">
        <v>3500</v>
      </c>
      <c r="D82" s="12">
        <v>88</v>
      </c>
      <c r="E82" s="13">
        <v>0.1</v>
      </c>
      <c r="F82" s="14">
        <v>0.85</v>
      </c>
    </row>
    <row r="83" spans="1:6" x14ac:dyDescent="0.35">
      <c r="A83" s="5">
        <v>80</v>
      </c>
      <c r="B83" s="12">
        <v>79</v>
      </c>
      <c r="C83" s="12">
        <v>3500</v>
      </c>
      <c r="D83" s="12">
        <v>88</v>
      </c>
      <c r="E83" s="13">
        <v>0.1</v>
      </c>
      <c r="F83" s="14">
        <v>0.85</v>
      </c>
    </row>
  </sheetData>
  <mergeCells count="1">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4"/>
  <sheetViews>
    <sheetView showGridLines="0" zoomScale="80" zoomScaleNormal="80" workbookViewId="0">
      <selection activeCell="E5" sqref="E5"/>
    </sheetView>
  </sheetViews>
  <sheetFormatPr defaultRowHeight="14.5" x14ac:dyDescent="0.35"/>
  <cols>
    <col min="1" max="1" width="12" customWidth="1"/>
    <col min="2" max="3" width="22.453125" customWidth="1"/>
    <col min="4" max="4" width="10.36328125" customWidth="1"/>
    <col min="5" max="6" width="22.453125" customWidth="1"/>
    <col min="7" max="7" width="10.36328125" customWidth="1"/>
    <col min="8" max="9" width="22.453125" customWidth="1"/>
    <col min="13" max="14" width="8.7265625" style="51"/>
  </cols>
  <sheetData>
    <row r="1" spans="1:14" ht="18" x14ac:dyDescent="0.4">
      <c r="A1" s="62" t="s">
        <v>36</v>
      </c>
      <c r="B1" s="61"/>
      <c r="C1" s="61"/>
    </row>
    <row r="2" spans="1:14" x14ac:dyDescent="0.35">
      <c r="A2" s="63" t="s">
        <v>37</v>
      </c>
      <c r="B2" s="61"/>
      <c r="C2" s="61"/>
    </row>
    <row r="3" spans="1:14" x14ac:dyDescent="0.35">
      <c r="E3" s="64" t="s">
        <v>83</v>
      </c>
      <c r="F3" s="65"/>
      <c r="H3" s="66" t="s">
        <v>84</v>
      </c>
      <c r="I3" s="67"/>
      <c r="M3" s="52"/>
      <c r="N3" s="52"/>
    </row>
    <row r="4" spans="1:14" x14ac:dyDescent="0.35">
      <c r="A4" s="15" t="s">
        <v>38</v>
      </c>
      <c r="B4" s="15" t="s">
        <v>39</v>
      </c>
      <c r="C4" s="15" t="s">
        <v>40</v>
      </c>
      <c r="E4" s="15" t="s">
        <v>39</v>
      </c>
      <c r="F4" s="15" t="s">
        <v>40</v>
      </c>
      <c r="H4" s="15" t="s">
        <v>39</v>
      </c>
      <c r="I4" s="15" t="s">
        <v>40</v>
      </c>
    </row>
    <row r="5" spans="1:14" x14ac:dyDescent="0.35">
      <c r="A5" s="5">
        <v>1</v>
      </c>
      <c r="B5" s="7">
        <v>0.93810000000000004</v>
      </c>
      <c r="C5" s="7">
        <v>1.0652999999999999</v>
      </c>
      <c r="E5" s="7">
        <f>((B5-JB_Test!$B$6)/JB_Test!$B$7)^3</f>
        <v>-6.3683844882752041</v>
      </c>
      <c r="F5" s="7">
        <f>((C5-JB_Test!$B$18)/JB_Test!$B$19)^3</f>
        <v>3.5370707577916858</v>
      </c>
      <c r="H5" s="19">
        <f>((B5-JB_Test!$B$6)/JB_Test!$B$7)^4</f>
        <v>11.80426727852373</v>
      </c>
      <c r="I5" s="7">
        <f>((C5-JB_Test!$B$18)/JB_Test!$B$19)^4</f>
        <v>5.3892086362268063</v>
      </c>
    </row>
    <row r="6" spans="1:14" x14ac:dyDescent="0.35">
      <c r="A6" s="5">
        <v>2</v>
      </c>
      <c r="B6" s="7">
        <v>1.0221</v>
      </c>
      <c r="C6" s="7">
        <v>0.99550000000000005</v>
      </c>
      <c r="E6" s="7">
        <f>((B6-JB_Test!$B$6)/JB_Test!$B$7)^3</f>
        <v>0.55291886976082227</v>
      </c>
      <c r="F6" s="7">
        <f>((C6-JB_Test!$B$18)/JB_Test!$B$19)^3</f>
        <v>-5.8475012442373089E-2</v>
      </c>
      <c r="H6" s="19">
        <f>((B6-JB_Test!$B$6)/JB_Test!$B$7)^4</f>
        <v>0.45381817200512053</v>
      </c>
      <c r="I6" s="7">
        <f>((C6-JB_Test!$B$18)/JB_Test!$B$19)^4</f>
        <v>2.2696580491692969E-2</v>
      </c>
    </row>
    <row r="7" spans="1:14" x14ac:dyDescent="0.35">
      <c r="A7" s="5">
        <v>3</v>
      </c>
      <c r="B7" s="7">
        <v>1.0106999999999999</v>
      </c>
      <c r="C7" s="7">
        <v>0.97470000000000001</v>
      </c>
      <c r="E7" s="7">
        <f>((B7-JB_Test!$B$6)/JB_Test!$B$7)^3</f>
        <v>9.5959799236565738E-2</v>
      </c>
      <c r="F7" s="7">
        <f>((C7-JB_Test!$B$18)/JB_Test!$B$19)^3</f>
        <v>-0.87877827437622946</v>
      </c>
      <c r="H7" s="19">
        <f>((B7-JB_Test!$B$6)/JB_Test!$B$7)^4</f>
        <v>4.3932485487698666E-2</v>
      </c>
      <c r="I7" s="7">
        <f>((C7-JB_Test!$B$18)/JB_Test!$B$19)^4</f>
        <v>0.8417292427098062</v>
      </c>
    </row>
    <row r="8" spans="1:14" x14ac:dyDescent="0.35">
      <c r="A8" s="5">
        <v>4</v>
      </c>
      <c r="B8" s="7">
        <v>0.97160000000000002</v>
      </c>
      <c r="C8" s="7">
        <v>1.0845</v>
      </c>
      <c r="E8" s="7">
        <f>((B8-JB_Test!$B$6)/JB_Test!$B$7)^3</f>
        <v>-0.48748142478238166</v>
      </c>
      <c r="F8" s="7">
        <f>((C8-JB_Test!$B$18)/JB_Test!$B$19)^3</f>
        <v>8.6089723979701507</v>
      </c>
      <c r="H8" s="19">
        <f>((B8-JB_Test!$B$6)/JB_Test!$B$7)^4</f>
        <v>0.38365785620332093</v>
      </c>
      <c r="I8" s="7">
        <f>((C8-JB_Test!$B$18)/JB_Test!$B$19)^4</f>
        <v>17.644191139795581</v>
      </c>
    </row>
    <row r="9" spans="1:14" x14ac:dyDescent="0.35">
      <c r="A9" s="5">
        <v>5</v>
      </c>
      <c r="B9" s="7">
        <v>0.98</v>
      </c>
      <c r="C9" s="7">
        <v>1.012</v>
      </c>
      <c r="E9" s="7">
        <f>((B9-JB_Test!$B$6)/JB_Test!$B$7)^3</f>
        <v>-0.14027269332337475</v>
      </c>
      <c r="F9" s="7">
        <f>((C9-JB_Test!$B$18)/JB_Test!$B$19)^3</f>
        <v>2.594863084612571E-4</v>
      </c>
      <c r="H9" s="19">
        <f>((B9-JB_Test!$B$6)/JB_Test!$B$7)^4</f>
        <v>7.2883773151779768E-2</v>
      </c>
      <c r="I9" s="7">
        <f>((C9-JB_Test!$B$18)/JB_Test!$B$19)^4</f>
        <v>1.6550810398917534E-5</v>
      </c>
    </row>
    <row r="10" spans="1:14" x14ac:dyDescent="0.35">
      <c r="A10" s="5">
        <v>6</v>
      </c>
      <c r="B10" s="7">
        <v>1.0026999999999999</v>
      </c>
      <c r="C10" s="7">
        <v>0.98009999999999997</v>
      </c>
      <c r="E10" s="7">
        <f>((B10-JB_Test!$B$6)/JB_Test!$B$7)^3</f>
        <v>8.3805922062720247E-3</v>
      </c>
      <c r="F10" s="7">
        <f>((C10-JB_Test!$B$18)/JB_Test!$B$19)^3</f>
        <v>-0.53131844460093935</v>
      </c>
      <c r="H10" s="19">
        <f>((B10-JB_Test!$B$6)/JB_Test!$B$7)^4</f>
        <v>1.7022876365326526E-3</v>
      </c>
      <c r="I10" s="7">
        <f>((C10-JB_Test!$B$18)/JB_Test!$B$19)^4</f>
        <v>0.43033485525651655</v>
      </c>
    </row>
    <row r="11" spans="1:14" x14ac:dyDescent="0.35">
      <c r="A11" s="5">
        <v>7</v>
      </c>
      <c r="B11" s="7">
        <v>0.98060000000000003</v>
      </c>
      <c r="C11" s="7">
        <v>0.94350000000000001</v>
      </c>
      <c r="E11" s="7">
        <f>((B11-JB_Test!$B$6)/JB_Test!$B$7)^3</f>
        <v>-0.12536326590726904</v>
      </c>
      <c r="F11" s="7">
        <f>((C11-JB_Test!$B$18)/JB_Test!$B$19)^3</f>
        <v>-5.9532464283060991</v>
      </c>
      <c r="H11" s="19">
        <f>((B11-JB_Test!$B$6)/JB_Test!$B$7)^4</f>
        <v>6.2742294495513135E-2</v>
      </c>
      <c r="I11" s="7">
        <f>((C11-JB_Test!$B$18)/JB_Test!$B$19)^4</f>
        <v>10.789595087846838</v>
      </c>
    </row>
    <row r="12" spans="1:14" x14ac:dyDescent="0.35">
      <c r="A12" s="5">
        <v>8</v>
      </c>
      <c r="B12" s="7">
        <v>0.96179999999999999</v>
      </c>
      <c r="C12" s="7">
        <v>1.0508</v>
      </c>
      <c r="E12" s="7">
        <f>((B12-JB_Test!$B$6)/JB_Test!$B$7)^3</f>
        <v>-1.3274709738164352</v>
      </c>
      <c r="F12" s="7">
        <f>((C12-JB_Test!$B$18)/JB_Test!$B$19)^3</f>
        <v>1.4294941268486672</v>
      </c>
      <c r="H12" s="19">
        <f>((B12-JB_Test!$B$6)/JB_Test!$B$7)^4</f>
        <v>1.458926383520645</v>
      </c>
      <c r="I12" s="7">
        <f>((C12-JB_Test!$B$18)/JB_Test!$B$19)^4</f>
        <v>1.6103112752635518</v>
      </c>
    </row>
    <row r="13" spans="1:14" x14ac:dyDescent="0.35">
      <c r="A13" s="5">
        <v>9</v>
      </c>
      <c r="B13" s="7">
        <v>1.0256000000000001</v>
      </c>
      <c r="C13" s="7">
        <v>1.0064</v>
      </c>
      <c r="E13" s="7">
        <f>((B13-JB_Test!$B$6)/JB_Test!$B$7)^3</f>
        <v>0.81007623150916497</v>
      </c>
      <c r="F13" s="7">
        <f>((C13-JB_Test!$B$18)/JB_Test!$B$19)^3</f>
        <v>-7.1926189170260716E-4</v>
      </c>
      <c r="H13" s="19">
        <f>((B13-JB_Test!$B$6)/JB_Test!$B$7)^4</f>
        <v>0.75515224804222203</v>
      </c>
      <c r="I13" s="7">
        <f>((C13-JB_Test!$B$18)/JB_Test!$B$19)^4</f>
        <v>6.4444036437365313E-5</v>
      </c>
    </row>
    <row r="14" spans="1:14" x14ac:dyDescent="0.35">
      <c r="A14" s="5">
        <v>10</v>
      </c>
      <c r="B14" s="7">
        <v>1.0149999999999999</v>
      </c>
      <c r="C14" s="7">
        <v>1.0256000000000001</v>
      </c>
      <c r="E14" s="7">
        <f>((B14-JB_Test!$B$6)/JB_Test!$B$7)^3</f>
        <v>0.21035037385510094</v>
      </c>
      <c r="F14" s="7">
        <f>((C14-JB_Test!$B$18)/JB_Test!$B$19)^3</f>
        <v>8.3040686778338854E-2</v>
      </c>
      <c r="H14" s="19">
        <f>((B14-JB_Test!$B$6)/JB_Test!$B$7)^4</f>
        <v>0.12510011750815075</v>
      </c>
      <c r="I14" s="7">
        <f>((C14-JB_Test!$B$18)/JB_Test!$B$19)^4</f>
        <v>3.6228852319874355E-2</v>
      </c>
    </row>
    <row r="15" spans="1:14" x14ac:dyDescent="0.35">
      <c r="A15" s="5">
        <v>11</v>
      </c>
      <c r="B15" s="7">
        <v>0.98880000000000001</v>
      </c>
      <c r="C15" s="7">
        <v>1.0544</v>
      </c>
      <c r="E15" s="7">
        <f>((B15-JB_Test!$B$6)/JB_Test!$B$7)^3</f>
        <v>-1.3723541321693317E-2</v>
      </c>
      <c r="F15" s="7">
        <f>((C15-JB_Test!$B$18)/JB_Test!$B$19)^3</f>
        <v>1.8386798991728976</v>
      </c>
      <c r="H15" s="19">
        <f>((B15-JB_Test!$B$6)/JB_Test!$B$7)^4</f>
        <v>3.285652220985473E-3</v>
      </c>
      <c r="I15" s="7">
        <f>((C15-JB_Test!$B$18)/JB_Test!$B$19)^4</f>
        <v>2.2525520638545133</v>
      </c>
    </row>
    <row r="16" spans="1:14" x14ac:dyDescent="0.35">
      <c r="A16" s="5">
        <v>12</v>
      </c>
      <c r="B16" s="7">
        <v>0.99950000000000006</v>
      </c>
      <c r="C16" s="7">
        <v>1.0017</v>
      </c>
      <c r="E16" s="7">
        <f>((B16-JB_Test!$B$6)/JB_Test!$B$7)^3</f>
        <v>1.037753083532037E-3</v>
      </c>
      <c r="F16" s="7">
        <f>((C16-JB_Test!$B$18)/JB_Test!$B$19)^3</f>
        <v>-1.0406989920706235E-2</v>
      </c>
      <c r="H16" s="19">
        <f>((B16-JB_Test!$B$6)/JB_Test!$B$7)^4</f>
        <v>1.0506515607298551E-4</v>
      </c>
      <c r="I16" s="7">
        <f>((C16-JB_Test!$B$18)/JB_Test!$B$19)^4</f>
        <v>2.2721317578714545E-3</v>
      </c>
    </row>
    <row r="17" spans="1:9" x14ac:dyDescent="0.35">
      <c r="A17" s="5">
        <v>13</v>
      </c>
      <c r="B17" s="7">
        <v>1.0055000000000001</v>
      </c>
      <c r="C17" s="7">
        <v>0.99239999999999995</v>
      </c>
      <c r="E17" s="7">
        <f>((B17-JB_Test!$B$6)/JB_Test!$B$7)^3</f>
        <v>2.4965525740419946E-2</v>
      </c>
      <c r="F17" s="7">
        <f>((C17-JB_Test!$B$18)/JB_Test!$B$19)^3</f>
        <v>-0.10585640864807017</v>
      </c>
      <c r="H17" s="19">
        <f>((B17-JB_Test!$B$6)/JB_Test!$B$7)^4</f>
        <v>7.2966069892723253E-3</v>
      </c>
      <c r="I17" s="7">
        <f>((C17-JB_Test!$B$18)/JB_Test!$B$19)^4</f>
        <v>5.0075220962039063E-2</v>
      </c>
    </row>
    <row r="18" spans="1:9" x14ac:dyDescent="0.35">
      <c r="A18" s="5">
        <v>14</v>
      </c>
      <c r="B18" s="7">
        <v>1.0198</v>
      </c>
      <c r="C18" s="7">
        <v>1.0266999999999999</v>
      </c>
      <c r="E18" s="7">
        <f>((B18-JB_Test!$B$6)/JB_Test!$B$7)^3</f>
        <v>0.41774085402251554</v>
      </c>
      <c r="F18" s="7">
        <f>((C18-JB_Test!$B$18)/JB_Test!$B$19)^3</f>
        <v>0.10145983526543799</v>
      </c>
      <c r="H18" s="19">
        <f>((B18-JB_Test!$B$6)/JB_Test!$B$7)^4</f>
        <v>0.31227887085092965</v>
      </c>
      <c r="I18" s="7">
        <f>((C18-JB_Test!$B$18)/JB_Test!$B$19)^4</f>
        <v>4.7321540096644889E-2</v>
      </c>
    </row>
    <row r="19" spans="1:9" x14ac:dyDescent="0.35">
      <c r="A19" s="5">
        <v>15</v>
      </c>
      <c r="B19" s="7">
        <v>1.0306999999999999</v>
      </c>
      <c r="C19" s="7">
        <v>0.97740000000000005</v>
      </c>
      <c r="E19" s="7">
        <f>((B19-JB_Test!$B$6)/JB_Test!$B$7)^3</f>
        <v>1.3113852349881037</v>
      </c>
      <c r="F19" s="7">
        <f>((C19-JB_Test!$B$18)/JB_Test!$B$19)^3</f>
        <v>-0.69054694337196842</v>
      </c>
      <c r="H19" s="19">
        <f>((B19-JB_Test!$B$6)/JB_Test!$B$7)^4</f>
        <v>1.4354025699513826</v>
      </c>
      <c r="I19" s="7">
        <f>((C19-JB_Test!$B$18)/JB_Test!$B$19)^4</f>
        <v>0.61036685652450651</v>
      </c>
    </row>
    <row r="20" spans="1:9" x14ac:dyDescent="0.35">
      <c r="A20" s="5">
        <v>16</v>
      </c>
      <c r="B20" s="7">
        <v>0.95879999999999999</v>
      </c>
      <c r="C20" s="7">
        <v>1.0002</v>
      </c>
      <c r="E20" s="7">
        <f>((B20-JB_Test!$B$6)/JB_Test!$B$7)^3</f>
        <v>-1.7045163117495252</v>
      </c>
      <c r="F20" s="7">
        <f>((C20-JB_Test!$B$18)/JB_Test!$B$19)^3</f>
        <v>-1.7456924946407836E-2</v>
      </c>
      <c r="H20" s="19">
        <f>((B20-JB_Test!$B$6)/JB_Test!$B$7)^4</f>
        <v>2.0361114627816694</v>
      </c>
      <c r="I20" s="7">
        <f>((C20-JB_Test!$B$18)/JB_Test!$B$19)^4</f>
        <v>4.5285273288096766E-3</v>
      </c>
    </row>
    <row r="21" spans="1:9" x14ac:dyDescent="0.35">
      <c r="A21" s="5">
        <v>17</v>
      </c>
      <c r="B21" s="7">
        <v>0.9546</v>
      </c>
      <c r="C21" s="7">
        <v>1.0096000000000001</v>
      </c>
      <c r="E21" s="7">
        <f>((B21-JB_Test!$B$6)/JB_Test!$B$7)^3</f>
        <v>-2.3433953931066727</v>
      </c>
      <c r="F21" s="7">
        <f>((C21-JB_Test!$B$18)/JB_Test!$B$19)^3</f>
        <v>-7.4319101413029555E-9</v>
      </c>
      <c r="H21" s="19">
        <f>((B21-JB_Test!$B$6)/JB_Test!$B$7)^4</f>
        <v>3.1126294993166219</v>
      </c>
      <c r="I21" s="7">
        <f>((C21-JB_Test!$B$18)/JB_Test!$B$19)^4</f>
        <v>1.450331456810866E-11</v>
      </c>
    </row>
    <row r="22" spans="1:9" x14ac:dyDescent="0.35">
      <c r="A22" s="5">
        <v>18</v>
      </c>
      <c r="B22" s="7">
        <v>0.99560000000000004</v>
      </c>
      <c r="C22" s="7">
        <v>1.0031000000000001</v>
      </c>
      <c r="E22" s="7">
        <f>((B22-JB_Test!$B$6)/JB_Test!$B$7)^3</f>
        <v>-1.204509311941912E-5</v>
      </c>
      <c r="F22" s="7">
        <f>((C22-JB_Test!$B$18)/JB_Test!$B$19)^3</f>
        <v>-5.8302853930311937E-3</v>
      </c>
      <c r="H22" s="19">
        <f>((B22-JB_Test!$B$6)/JB_Test!$B$7)^4</f>
        <v>2.7610877921429591E-7</v>
      </c>
      <c r="I22" s="7">
        <f>((C22-JB_Test!$B$18)/JB_Test!$B$19)^4</f>
        <v>1.0493485144925697E-3</v>
      </c>
    </row>
    <row r="23" spans="1:9" x14ac:dyDescent="0.35">
      <c r="A23" s="5">
        <v>19</v>
      </c>
      <c r="B23" s="7">
        <v>1.0310999999999999</v>
      </c>
      <c r="C23" s="7">
        <v>1.0777000000000001</v>
      </c>
      <c r="E23" s="7">
        <f>((B23-JB_Test!$B$6)/JB_Test!$B$7)^3</f>
        <v>1.3576924581403265</v>
      </c>
      <c r="F23" s="7">
        <f>((C23-JB_Test!$B$18)/JB_Test!$B$19)^3</f>
        <v>6.4687939396451464</v>
      </c>
      <c r="H23" s="19">
        <f>((B23-JB_Test!$B$6)/JB_Test!$B$7)^4</f>
        <v>1.5033792119471971</v>
      </c>
      <c r="I23" s="7">
        <f>((C23-JB_Test!$B$18)/JB_Test!$B$19)^4</f>
        <v>12.053072146903686</v>
      </c>
    </row>
    <row r="24" spans="1:9" x14ac:dyDescent="0.35">
      <c r="A24" s="5">
        <v>20</v>
      </c>
      <c r="B24" s="7">
        <v>0.98380000000000001</v>
      </c>
      <c r="C24" s="7">
        <v>0.98709999999999998</v>
      </c>
      <c r="E24" s="7">
        <f>((B24-JB_Test!$B$6)/JB_Test!$B$7)^3</f>
        <v>-6.3332358163081789E-2</v>
      </c>
      <c r="F24" s="7">
        <f>((C24-JB_Test!$B$18)/JB_Test!$B$19)^3</f>
        <v>-0.23627222826597383</v>
      </c>
      <c r="H24" s="19">
        <f>((B24-JB_Test!$B$6)/JB_Test!$B$7)^4</f>
        <v>2.5244544886236557E-2</v>
      </c>
      <c r="I24" s="7">
        <f>((C24-JB_Test!$B$18)/JB_Test!$B$19)^4</f>
        <v>0.14606636990442937</v>
      </c>
    </row>
    <row r="25" spans="1:9" x14ac:dyDescent="0.35">
      <c r="A25" s="5">
        <v>21</v>
      </c>
      <c r="B25" s="7">
        <v>0.96830000000000005</v>
      </c>
      <c r="C25" s="7">
        <v>1</v>
      </c>
      <c r="E25" s="7">
        <f>((B25-JB_Test!$B$6)/JB_Test!$B$7)^3</f>
        <v>-0.70993251176090666</v>
      </c>
      <c r="F25" s="7">
        <f>((C25-JB_Test!$B$18)/JB_Test!$B$19)^3</f>
        <v>-1.8586331274457944E-2</v>
      </c>
      <c r="H25" s="19">
        <f>((B25-JB_Test!$B$6)/JB_Test!$B$7)^4</f>
        <v>0.63331934488494313</v>
      </c>
      <c r="I25" s="7">
        <f>((C25-JB_Test!$B$18)/JB_Test!$B$19)^4</f>
        <v>4.9233218927995709E-3</v>
      </c>
    </row>
    <row r="26" spans="1:9" x14ac:dyDescent="0.35">
      <c r="A26" s="5">
        <v>22</v>
      </c>
      <c r="B26" s="7">
        <v>0.96899999999999997</v>
      </c>
      <c r="C26" s="7">
        <v>1.0471999999999999</v>
      </c>
      <c r="E26" s="7">
        <f>((B26-JB_Test!$B$6)/JB_Test!$B$7)^3</f>
        <v>-0.65804373326204657</v>
      </c>
      <c r="F26" s="7">
        <f>((C26-JB_Test!$B$18)/JB_Test!$B$19)^3</f>
        <v>1.0860207964706048</v>
      </c>
      <c r="H26" s="19">
        <f>((B26-JB_Test!$B$6)/JB_Test!$B$7)^4</f>
        <v>0.57236492252042137</v>
      </c>
      <c r="I26" s="7">
        <f>((C26-JB_Test!$B$18)/JB_Test!$B$19)^4</f>
        <v>1.1163083903716777</v>
      </c>
    </row>
    <row r="27" spans="1:9" x14ac:dyDescent="0.35">
      <c r="A27" s="5">
        <v>23</v>
      </c>
      <c r="B27" s="7">
        <v>0.93779999999999997</v>
      </c>
      <c r="C27" s="7">
        <v>0.99550000000000005</v>
      </c>
      <c r="E27" s="7">
        <f>((B27-JB_Test!$B$6)/JB_Test!$B$7)^3</f>
        <v>-6.4673389827821843</v>
      </c>
      <c r="F27" s="7">
        <f>((C27-JB_Test!$B$18)/JB_Test!$B$19)^3</f>
        <v>-5.8475012442373089E-2</v>
      </c>
      <c r="H27" s="19">
        <f>((B27-JB_Test!$B$6)/JB_Test!$B$7)^4</f>
        <v>12.049457657035317</v>
      </c>
      <c r="I27" s="7">
        <f>((C27-JB_Test!$B$18)/JB_Test!$B$19)^4</f>
        <v>2.2696580491692969E-2</v>
      </c>
    </row>
    <row r="28" spans="1:9" x14ac:dyDescent="0.35">
      <c r="A28" s="5">
        <v>24</v>
      </c>
      <c r="B28" s="7">
        <v>0.98160000000000003</v>
      </c>
      <c r="C28" s="7">
        <v>1.0259</v>
      </c>
      <c r="E28" s="7">
        <f>((B28-JB_Test!$B$6)/JB_Test!$B$7)^3</f>
        <v>-0.10292860873513041</v>
      </c>
      <c r="F28" s="7">
        <f>((C28-JB_Test!$B$18)/JB_Test!$B$19)^3</f>
        <v>8.7821541179505594E-2</v>
      </c>
      <c r="H28" s="19">
        <f>((B28-JB_Test!$B$6)/JB_Test!$B$7)^4</f>
        <v>4.8237131077268541E-2</v>
      </c>
      <c r="I28" s="7">
        <f>((C28-JB_Test!$B$18)/JB_Test!$B$19)^4</f>
        <v>3.9036248351694731E-2</v>
      </c>
    </row>
    <row r="29" spans="1:9" x14ac:dyDescent="0.35">
      <c r="A29" s="5">
        <v>25</v>
      </c>
      <c r="B29" s="7">
        <v>1.0309999999999999</v>
      </c>
      <c r="C29" s="7">
        <v>1.0329999999999999</v>
      </c>
      <c r="E29" s="7">
        <f>((B29-JB_Test!$B$6)/JB_Test!$B$7)^3</f>
        <v>1.3460151216753864</v>
      </c>
      <c r="F29" s="7">
        <f>((C29-JB_Test!$B$18)/JB_Test!$B$19)^3</f>
        <v>0.26086766517220022</v>
      </c>
      <c r="H29" s="19">
        <f>((B29-JB_Test!$B$6)/JB_Test!$B$7)^4</f>
        <v>1.4861634808131048</v>
      </c>
      <c r="I29" s="7">
        <f>((C29-JB_Test!$B$18)/JB_Test!$B$19)^4</f>
        <v>0.16668390571079378</v>
      </c>
    </row>
    <row r="30" spans="1:9" x14ac:dyDescent="0.35">
      <c r="A30" s="5">
        <v>26</v>
      </c>
      <c r="B30" s="7">
        <v>0.95679999999999998</v>
      </c>
      <c r="C30" s="7">
        <v>1.0381</v>
      </c>
      <c r="E30" s="7">
        <f>((B30-JB_Test!$B$6)/JB_Test!$B$7)^3</f>
        <v>-1.9918814186291662</v>
      </c>
      <c r="F30" s="7">
        <f>((C30-JB_Test!$B$18)/JB_Test!$B$19)^3</f>
        <v>0.47208384304090062</v>
      </c>
      <c r="H30" s="19">
        <f>((B30-JB_Test!$B$6)/JB_Test!$B$7)^4</f>
        <v>2.506212973054049</v>
      </c>
      <c r="I30" s="7">
        <f>((C30-JB_Test!$B$18)/JB_Test!$B$19)^4</f>
        <v>0.36758590441060268</v>
      </c>
    </row>
    <row r="31" spans="1:9" x14ac:dyDescent="0.35">
      <c r="A31" s="5">
        <v>27</v>
      </c>
      <c r="B31" s="7">
        <v>0.98839999999999995</v>
      </c>
      <c r="C31" s="7">
        <v>0.9677</v>
      </c>
      <c r="E31" s="7">
        <f>((B31-JB_Test!$B$6)/JB_Test!$B$7)^3</f>
        <v>-1.6032018941971121E-2</v>
      </c>
      <c r="F31" s="7">
        <f>((C31-JB_Test!$B$18)/JB_Test!$B$19)^3</f>
        <v>-1.5191531378777225</v>
      </c>
      <c r="H31" s="19">
        <f>((B31-JB_Test!$B$6)/JB_Test!$B$7)^4</f>
        <v>4.0425086364846673E-3</v>
      </c>
      <c r="I31" s="7">
        <f>((C31-JB_Test!$B$18)/JB_Test!$B$19)^4</f>
        <v>1.7463665597204996</v>
      </c>
    </row>
    <row r="32" spans="1:9" x14ac:dyDescent="0.35">
      <c r="A32" s="5">
        <v>28</v>
      </c>
      <c r="B32" s="7">
        <v>1.034</v>
      </c>
      <c r="C32" s="7">
        <v>1.0215000000000001</v>
      </c>
      <c r="E32" s="7">
        <f>((B32-JB_Test!$B$6)/JB_Test!$B$7)^3</f>
        <v>1.7264156128616817</v>
      </c>
      <c r="F32" s="7">
        <f>((C32-JB_Test!$B$18)/JB_Test!$B$19)^3</f>
        <v>3.4006536587900697E-2</v>
      </c>
      <c r="H32" s="19">
        <f>((B32-JB_Test!$B$6)/JB_Test!$B$7)^4</f>
        <v>2.0710653680469435</v>
      </c>
      <c r="I32" s="7">
        <f>((C32-JB_Test!$B$18)/JB_Test!$B$19)^4</f>
        <v>1.1017503682449829E-2</v>
      </c>
    </row>
    <row r="33" spans="1:9" x14ac:dyDescent="0.35">
      <c r="A33" s="5">
        <v>29</v>
      </c>
      <c r="B33" s="7">
        <v>1.0357000000000001</v>
      </c>
      <c r="C33" s="7">
        <v>1.0578000000000001</v>
      </c>
      <c r="E33" s="7">
        <f>((B33-JB_Test!$B$6)/JB_Test!$B$7)^3</f>
        <v>1.9707875404372177</v>
      </c>
      <c r="F33" s="7">
        <f>((C33-JB_Test!$B$18)/JB_Test!$B$19)^3</f>
        <v>2.2906545081991565</v>
      </c>
      <c r="H33" s="19">
        <f>((B33-JB_Test!$B$6)/JB_Test!$B$7)^4</f>
        <v>2.4708880969699281</v>
      </c>
      <c r="I33" s="7">
        <f>((C33-JB_Test!$B$18)/JB_Test!$B$19)^4</f>
        <v>3.0195770871931122</v>
      </c>
    </row>
    <row r="34" spans="1:9" x14ac:dyDescent="0.35">
      <c r="A34" s="5">
        <v>30</v>
      </c>
      <c r="B34" s="7">
        <v>0.97929999999999995</v>
      </c>
      <c r="C34" s="7">
        <v>1.0334000000000001</v>
      </c>
      <c r="E34" s="7">
        <f>((B34-JB_Test!$B$6)/JB_Test!$B$7)^3</f>
        <v>-0.15910775202211569</v>
      </c>
      <c r="F34" s="7">
        <f>((C34-JB_Test!$B$18)/JB_Test!$B$19)^3</f>
        <v>0.27451774716903837</v>
      </c>
      <c r="H34" s="19">
        <f>((B34-JB_Test!$B$6)/JB_Test!$B$7)^4</f>
        <v>8.621611577692756E-2</v>
      </c>
      <c r="I34" s="7">
        <f>((C34-JB_Test!$B$18)/JB_Test!$B$19)^4</f>
        <v>0.1784133035973445</v>
      </c>
    </row>
    <row r="35" spans="1:9" x14ac:dyDescent="0.35">
      <c r="A35" s="5">
        <v>31</v>
      </c>
      <c r="B35" s="7">
        <v>1.0118</v>
      </c>
      <c r="C35" s="7">
        <v>1.0283</v>
      </c>
      <c r="E35" s="7">
        <f>((B35-JB_Test!$B$6)/JB_Test!$B$7)^3</f>
        <v>0.11970865233091045</v>
      </c>
      <c r="F35" s="7">
        <f>((C35-JB_Test!$B$18)/JB_Test!$B$19)^3</f>
        <v>0.1328302491761032</v>
      </c>
      <c r="H35" s="19">
        <f>((B35-JB_Test!$B$6)/JB_Test!$B$7)^4</f>
        <v>5.8997560655547079E-2</v>
      </c>
      <c r="I35" s="7">
        <f>((C35-JB_Test!$B$18)/JB_Test!$B$19)^4</f>
        <v>6.7773926882720242E-2</v>
      </c>
    </row>
    <row r="36" spans="1:9" x14ac:dyDescent="0.35">
      <c r="A36" s="5">
        <v>32</v>
      </c>
      <c r="B36" s="7">
        <v>0.97130000000000005</v>
      </c>
      <c r="C36" s="7">
        <v>0.99809999999999999</v>
      </c>
      <c r="E36" s="7">
        <f>((B36-JB_Test!$B$6)/JB_Test!$B$7)^3</f>
        <v>-0.5054457959114419</v>
      </c>
      <c r="F36" s="7">
        <f>((C36-JB_Test!$B$18)/JB_Test!$B$19)^3</f>
        <v>-3.1833667380765589E-2</v>
      </c>
      <c r="H36" s="19">
        <f>((B36-JB_Test!$B$6)/JB_Test!$B$7)^4</f>
        <v>0.40262380746153359</v>
      </c>
      <c r="I36" s="7">
        <f>((C36-JB_Test!$B$18)/JB_Test!$B$19)^4</f>
        <v>1.0089018047016438E-2</v>
      </c>
    </row>
    <row r="37" spans="1:9" x14ac:dyDescent="0.35">
      <c r="A37" s="5">
        <v>33</v>
      </c>
      <c r="B37" s="7">
        <v>1.0047999999999999</v>
      </c>
      <c r="C37" s="7">
        <v>0.96399999999999997</v>
      </c>
      <c r="E37" s="7">
        <f>((B37-JB_Test!$B$6)/JB_Test!$B$7)^3</f>
        <v>1.9678873287712957E-2</v>
      </c>
      <c r="F37" s="7">
        <f>((C37-JB_Test!$B$18)/JB_Test!$B$19)^3</f>
        <v>-1.9573772599837203</v>
      </c>
      <c r="H37" s="19">
        <f>((B37-JB_Test!$B$6)/JB_Test!$B$7)^4</f>
        <v>5.3129244354911528E-3</v>
      </c>
      <c r="I37" s="7">
        <f>((C37-JB_Test!$B$18)/JB_Test!$B$19)^4</f>
        <v>2.4484959203514958</v>
      </c>
    </row>
    <row r="38" spans="1:9" x14ac:dyDescent="0.35">
      <c r="A38" s="5">
        <v>34</v>
      </c>
      <c r="B38" s="7">
        <v>0.98970000000000002</v>
      </c>
      <c r="C38" s="7">
        <v>0.99519999999999997</v>
      </c>
      <c r="E38" s="7">
        <f>((B38-JB_Test!$B$6)/JB_Test!$B$7)^3</f>
        <v>-9.3623881181969393E-3</v>
      </c>
      <c r="F38" s="7">
        <f>((C38-JB_Test!$B$18)/JB_Test!$B$19)^3</f>
        <v>-6.2267866101657854E-2</v>
      </c>
      <c r="H38" s="19">
        <f>((B38-JB_Test!$B$6)/JB_Test!$B$7)^4</f>
        <v>1.9732503468429309E-3</v>
      </c>
      <c r="I38" s="7">
        <f>((C38-JB_Test!$B$18)/JB_Test!$B$19)^4</f>
        <v>2.468038766964906E-2</v>
      </c>
    </row>
    <row r="39" spans="1:9" x14ac:dyDescent="0.35">
      <c r="A39" s="5">
        <v>35</v>
      </c>
      <c r="B39" s="7">
        <v>0.96309999999999996</v>
      </c>
      <c r="C39" s="7">
        <v>1.0175000000000001</v>
      </c>
      <c r="E39" s="7">
        <f>((B39-JB_Test!$B$6)/JB_Test!$B$7)^3</f>
        <v>-1.1830730377289747</v>
      </c>
      <c r="F39" s="7">
        <f>((C39-JB_Test!$B$18)/JB_Test!$B$19)^3</f>
        <v>9.858778699304965E-3</v>
      </c>
      <c r="H39" s="19">
        <f>((B39-JB_Test!$B$6)/JB_Test!$B$7)^4</f>
        <v>1.2512634030794876</v>
      </c>
      <c r="I39" s="7">
        <f>((C39-JB_Test!$B$18)/JB_Test!$B$19)^4</f>
        <v>2.113963530836151E-3</v>
      </c>
    </row>
    <row r="40" spans="1:9" x14ac:dyDescent="0.35">
      <c r="A40" s="5">
        <v>36</v>
      </c>
      <c r="B40" s="7">
        <v>1.0114000000000001</v>
      </c>
      <c r="C40" s="7">
        <v>0.89400000000000002</v>
      </c>
      <c r="E40" s="7">
        <f>((B40-JB_Test!$B$6)/JB_Test!$B$7)^3</f>
        <v>0.11066663307094714</v>
      </c>
      <c r="F40" s="7">
        <f>((C40-JB_Test!$B$18)/JB_Test!$B$19)^3</f>
        <v>-31.799634651765338</v>
      </c>
      <c r="H40" s="19">
        <f>((B40-JB_Test!$B$6)/JB_Test!$B$7)^4</f>
        <v>5.3131930536991993E-2</v>
      </c>
      <c r="I40" s="7">
        <f>((C40-JB_Test!$B$18)/JB_Test!$B$19)^4</f>
        <v>100.74639323630178</v>
      </c>
    </row>
    <row r="41" spans="1:9" x14ac:dyDescent="0.35">
      <c r="A41" s="5">
        <v>37</v>
      </c>
      <c r="B41" s="7">
        <v>1.0014000000000001</v>
      </c>
      <c r="C41" s="7">
        <v>0.98329999999999995</v>
      </c>
      <c r="E41" s="7">
        <f>((B41-JB_Test!$B$6)/JB_Test!$B$7)^3</f>
        <v>4.2306179662690811E-3</v>
      </c>
      <c r="F41" s="7">
        <f>((C41-JB_Test!$B$18)/JB_Test!$B$19)^3</f>
        <v>-0.37682351089771399</v>
      </c>
      <c r="H41" s="19">
        <f>((B41-JB_Test!$B$6)/JB_Test!$B$7)^4</f>
        <v>6.8423467502886899E-4</v>
      </c>
      <c r="I41" s="7">
        <f>((C41-JB_Test!$B$18)/JB_Test!$B$19)^4</f>
        <v>0.27217651907099011</v>
      </c>
    </row>
    <row r="42" spans="1:9" x14ac:dyDescent="0.35">
      <c r="A42" s="5">
        <v>38</v>
      </c>
      <c r="B42" s="7">
        <v>0.99050000000000005</v>
      </c>
      <c r="C42" s="7">
        <v>0.9778</v>
      </c>
      <c r="E42" s="7">
        <f>((B42-JB_Test!$B$6)/JB_Test!$B$7)^3</f>
        <v>-6.3618236531222377E-3</v>
      </c>
      <c r="F42" s="7">
        <f>((C42-JB_Test!$B$18)/JB_Test!$B$19)^3</f>
        <v>-0.66518605315056145</v>
      </c>
      <c r="H42" s="19">
        <f>((B42-JB_Test!$B$6)/JB_Test!$B$7)^4</f>
        <v>1.1788055411687728E-3</v>
      </c>
      <c r="I42" s="7">
        <f>((C42-JB_Test!$B$18)/JB_Test!$B$19)^4</f>
        <v>0.58066303510735606</v>
      </c>
    </row>
    <row r="43" spans="1:9" x14ac:dyDescent="0.35">
      <c r="A43" s="5">
        <v>39</v>
      </c>
      <c r="B43" s="7">
        <v>0.97989999999999999</v>
      </c>
      <c r="C43" s="7">
        <v>1.0224</v>
      </c>
      <c r="E43" s="7">
        <f>((B43-JB_Test!$B$6)/JB_Test!$B$7)^3</f>
        <v>-0.14286706764173865</v>
      </c>
      <c r="F43" s="7">
        <f>((C43-JB_Test!$B$18)/JB_Test!$B$19)^3</f>
        <v>4.2374356329188366E-2</v>
      </c>
      <c r="H43" s="19">
        <f>((B43-JB_Test!$B$6)/JB_Test!$B$7)^4</f>
        <v>7.4686626128093195E-2</v>
      </c>
      <c r="I43" s="7">
        <f>((C43-JB_Test!$B$18)/JB_Test!$B$19)^4</f>
        <v>1.4773072155712582E-2</v>
      </c>
    </row>
    <row r="44" spans="1:9" x14ac:dyDescent="0.35">
      <c r="A44" s="5">
        <v>40</v>
      </c>
      <c r="B44" s="7">
        <v>1.0271999999999999</v>
      </c>
      <c r="C44" s="7">
        <v>1.008</v>
      </c>
      <c r="E44" s="7">
        <f>((B44-JB_Test!$B$6)/JB_Test!$B$7)^3</f>
        <v>0.95026459265793828</v>
      </c>
      <c r="F44" s="7">
        <f>((C44-JB_Test!$B$18)/JB_Test!$B$19)^3</f>
        <v>-9.591137226576266E-5</v>
      </c>
      <c r="H44" s="19">
        <f>((B44-JB_Test!$B$6)/JB_Test!$B$7)^4</f>
        <v>0.93424201952491615</v>
      </c>
      <c r="I44" s="7">
        <f>((C44-JB_Test!$B$18)/JB_Test!$B$19)^4</f>
        <v>4.3902926745478461E-6</v>
      </c>
    </row>
    <row r="45" spans="1:9" x14ac:dyDescent="0.35">
      <c r="A45" s="5">
        <v>41</v>
      </c>
      <c r="B45" s="7">
        <v>0.98929999999999996</v>
      </c>
      <c r="C45" s="7">
        <v>1.0379</v>
      </c>
      <c r="E45" s="7">
        <f>((B45-JB_Test!$B$6)/JB_Test!$B$7)^3</f>
        <v>-1.1164107480498285E-2</v>
      </c>
      <c r="F45" s="7">
        <f>((C45-JB_Test!$B$18)/JB_Test!$B$19)^3</f>
        <v>0.46219025730116181</v>
      </c>
      <c r="H45" s="19">
        <f>((B45-JB_Test!$B$6)/JB_Test!$B$7)^4</f>
        <v>2.4951616027170795E-3</v>
      </c>
      <c r="I45" s="7">
        <f>((C45-JB_Test!$B$18)/JB_Test!$B$19)^4</f>
        <v>0.35735049012037501</v>
      </c>
    </row>
    <row r="46" spans="1:9" x14ac:dyDescent="0.35">
      <c r="A46" s="5">
        <v>42</v>
      </c>
      <c r="B46" s="7">
        <v>1.0476000000000001</v>
      </c>
      <c r="C46" s="7">
        <v>0.9919</v>
      </c>
      <c r="E46" s="7">
        <f>((B46-JB_Test!$B$6)/JB_Test!$B$7)^3</f>
        <v>4.3516776951320555</v>
      </c>
      <c r="F46" s="7">
        <f>((C46-JB_Test!$B$18)/JB_Test!$B$19)^3</f>
        <v>-0.11531870938446107</v>
      </c>
      <c r="H46" s="19">
        <f>((B46-JB_Test!$B$6)/JB_Test!$B$7)^4</f>
        <v>7.1046435901801459</v>
      </c>
      <c r="I46" s="7">
        <f>((C46-JB_Test!$B$18)/JB_Test!$B$19)^4</f>
        <v>5.613060169021869E-2</v>
      </c>
    </row>
    <row r="47" spans="1:9" x14ac:dyDescent="0.35">
      <c r="A47" s="5">
        <v>43</v>
      </c>
      <c r="B47" s="7">
        <v>0.97740000000000005</v>
      </c>
      <c r="C47" s="7">
        <v>0.97309999999999997</v>
      </c>
      <c r="E47" s="7">
        <f>((B47-JB_Test!$B$6)/JB_Test!$B$7)^3</f>
        <v>-0.21856271090866944</v>
      </c>
      <c r="F47" s="7">
        <f>((C47-JB_Test!$B$18)/JB_Test!$B$19)^3</f>
        <v>-1.0049981402578883</v>
      </c>
      <c r="H47" s="19">
        <f>((B47-JB_Test!$B$6)/JB_Test!$B$7)^4</f>
        <v>0.13165421209536765</v>
      </c>
      <c r="I47" s="7">
        <f>((C47-JB_Test!$B$18)/JB_Test!$B$19)^4</f>
        <v>1.0066697322809341</v>
      </c>
    </row>
    <row r="48" spans="1:9" x14ac:dyDescent="0.35">
      <c r="A48" s="5">
        <v>44</v>
      </c>
      <c r="B48" s="7">
        <v>0.96289999999999998</v>
      </c>
      <c r="C48" s="7">
        <v>1.0416000000000001</v>
      </c>
      <c r="E48" s="7">
        <f>((B48-JB_Test!$B$6)/JB_Test!$B$7)^3</f>
        <v>-1.2045699068480518</v>
      </c>
      <c r="F48" s="7">
        <f>((C48-JB_Test!$B$18)/JB_Test!$B$19)^3</f>
        <v>0.66879280636125871</v>
      </c>
      <c r="H48" s="19">
        <f>((B48-JB_Test!$B$6)/JB_Test!$B$7)^4</f>
        <v>1.2816693901864351</v>
      </c>
      <c r="I48" s="7">
        <f>((C48-JB_Test!$B$18)/JB_Test!$B$19)^4</f>
        <v>0.58486476402729137</v>
      </c>
    </row>
    <row r="49" spans="1:9" x14ac:dyDescent="0.35">
      <c r="A49" s="5">
        <v>45</v>
      </c>
      <c r="B49" s="7">
        <v>1.0316000000000001</v>
      </c>
      <c r="C49" s="7">
        <v>0.99490000000000001</v>
      </c>
      <c r="E49" s="7">
        <f>((B49-JB_Test!$B$6)/JB_Test!$B$7)^3</f>
        <v>1.4170931604088939</v>
      </c>
      <c r="F49" s="7">
        <f>((C49-JB_Test!$B$18)/JB_Test!$B$19)^3</f>
        <v>-6.6221282826030473E-2</v>
      </c>
      <c r="H49" s="19">
        <f>((B49-JB_Test!$B$6)/JB_Test!$B$7)^4</f>
        <v>1.5917121665268774</v>
      </c>
      <c r="I49" s="7">
        <f>((C49-JB_Test!$B$18)/JB_Test!$B$19)^4</f>
        <v>2.6791484982373062E-2</v>
      </c>
    </row>
    <row r="50" spans="1:9" x14ac:dyDescent="0.35">
      <c r="A50" s="5">
        <v>46</v>
      </c>
      <c r="B50" s="7">
        <v>0.95099999999999996</v>
      </c>
      <c r="C50" s="7">
        <v>1.0210999999999999</v>
      </c>
      <c r="E50" s="7">
        <f>((B50-JB_Test!$B$6)/JB_Test!$B$7)^3</f>
        <v>-3.003878594376693</v>
      </c>
      <c r="F50" s="7">
        <f>((C50-JB_Test!$B$18)/JB_Test!$B$19)^3</f>
        <v>3.067199623926228E-2</v>
      </c>
      <c r="H50" s="19">
        <f>((B50-JB_Test!$B$6)/JB_Test!$B$7)^4</f>
        <v>4.3342088523711446</v>
      </c>
      <c r="I50" s="7">
        <f>((C50-JB_Test!$B$18)/JB_Test!$B$19)^4</f>
        <v>9.6011382446383707E-3</v>
      </c>
    </row>
    <row r="51" spans="1:9" x14ac:dyDescent="0.35">
      <c r="A51" s="5">
        <v>47</v>
      </c>
      <c r="B51" s="7">
        <v>1.016</v>
      </c>
      <c r="C51" s="7">
        <v>1.0410999999999999</v>
      </c>
      <c r="E51" s="7">
        <f>((B51-JB_Test!$B$6)/JB_Test!$B$7)^3</f>
        <v>0.24597329270663124</v>
      </c>
      <c r="F51" s="7">
        <f>((C51-JB_Test!$B$18)/JB_Test!$B$19)^3</f>
        <v>0.6378626445545682</v>
      </c>
      <c r="H51" s="19">
        <f>((B51-JB_Test!$B$6)/JB_Test!$B$7)^4</f>
        <v>0.15411702124703533</v>
      </c>
      <c r="I51" s="7">
        <f>((C51-JB_Test!$B$18)/JB_Test!$B$19)^4</f>
        <v>0.54908075917059662</v>
      </c>
    </row>
    <row r="52" spans="1:9" x14ac:dyDescent="0.35">
      <c r="A52" s="5">
        <v>48</v>
      </c>
      <c r="B52" s="7">
        <v>0.98170000000000002</v>
      </c>
      <c r="C52" s="7">
        <v>1.0206</v>
      </c>
      <c r="E52" s="7">
        <f>((B52-JB_Test!$B$6)/JB_Test!$B$7)^3</f>
        <v>-0.10084509754829821</v>
      </c>
      <c r="F52" s="7">
        <f>((C52-JB_Test!$B$18)/JB_Test!$B$19)^3</f>
        <v>2.6819910123319524E-2</v>
      </c>
      <c r="H52" s="19">
        <f>((B52-JB_Test!$B$6)/JB_Test!$B$7)^4</f>
        <v>4.6939636331265869E-2</v>
      </c>
      <c r="I52" s="7">
        <f>((C52-JB_Test!$B$18)/JB_Test!$B$19)^4</f>
        <v>8.0280442482653334E-3</v>
      </c>
    </row>
    <row r="53" spans="1:9" x14ac:dyDescent="0.35">
      <c r="A53" s="5">
        <v>49</v>
      </c>
      <c r="B53" s="7">
        <v>1.0065</v>
      </c>
      <c r="C53" s="7">
        <v>1.0702</v>
      </c>
      <c r="E53" s="7">
        <f>((B53-JB_Test!$B$6)/JB_Test!$B$7)^3</f>
        <v>3.4045209151515023E-2</v>
      </c>
      <c r="F53" s="7">
        <f>((C53-JB_Test!$B$18)/JB_Test!$B$19)^3</f>
        <v>4.5564956466606787</v>
      </c>
      <c r="H53" s="19">
        <f>((B53-JB_Test!$B$6)/JB_Test!$B$7)^4</f>
        <v>1.1034212464173068E-2</v>
      </c>
      <c r="I53" s="7">
        <f>((C53-JB_Test!$B$18)/JB_Test!$B$19)^4</f>
        <v>7.5539588189564197</v>
      </c>
    </row>
    <row r="54" spans="1:9" x14ac:dyDescent="0.35">
      <c r="A54" s="5">
        <v>50</v>
      </c>
      <c r="B54" s="7">
        <v>1.0394000000000001</v>
      </c>
      <c r="C54" s="7">
        <v>1.0456000000000001</v>
      </c>
      <c r="E54" s="7">
        <f>((B54-JB_Test!$B$6)/JB_Test!$B$7)^3</f>
        <v>2.5801191158851267</v>
      </c>
      <c r="F54" s="7">
        <f>((C54-JB_Test!$B$18)/JB_Test!$B$19)^3</f>
        <v>0.95295450534371162</v>
      </c>
      <c r="H54" s="19">
        <f>((B54-JB_Test!$B$6)/JB_Test!$B$7)^4</f>
        <v>3.5387754731112757</v>
      </c>
      <c r="I54" s="7">
        <f>((C54-JB_Test!$B$18)/JB_Test!$B$19)^4</f>
        <v>0.9377697588363354</v>
      </c>
    </row>
    <row r="55" spans="1:9" x14ac:dyDescent="0.35">
      <c r="A55" s="5">
        <v>51</v>
      </c>
      <c r="B55" s="7">
        <v>0.97599999999999998</v>
      </c>
      <c r="C55" s="7">
        <v>0.94930000000000003</v>
      </c>
      <c r="E55" s="7">
        <f>((B55-JB_Test!$B$6)/JB_Test!$B$7)^3</f>
        <v>-0.27075954984114131</v>
      </c>
      <c r="F55" s="7">
        <f>((C55-JB_Test!$B$18)/JB_Test!$B$19)^3</f>
        <v>-4.5210191674311124</v>
      </c>
      <c r="H55" s="19">
        <f>((B55-JB_Test!$B$6)/JB_Test!$B$7)^4</f>
        <v>0.17516407680732154</v>
      </c>
      <c r="I55" s="7">
        <f>((C55-JB_Test!$B$18)/JB_Test!$B$19)^4</f>
        <v>7.4756414671396598</v>
      </c>
    </row>
    <row r="56" spans="1:9" x14ac:dyDescent="0.35">
      <c r="A56" s="5">
        <v>52</v>
      </c>
      <c r="B56" s="7">
        <v>0.97919999999999996</v>
      </c>
      <c r="C56" s="7">
        <v>1.0787</v>
      </c>
      <c r="E56" s="7">
        <f>((B56-JB_Test!$B$6)/JB_Test!$B$7)^3</f>
        <v>-0.16192874634091353</v>
      </c>
      <c r="F56" s="7">
        <f>((C56-JB_Test!$B$18)/JB_Test!$B$19)^3</f>
        <v>6.758275180384242</v>
      </c>
      <c r="H56" s="19">
        <f>((B56-JB_Test!$B$6)/JB_Test!$B$7)^4</f>
        <v>8.8260274012090426E-2</v>
      </c>
      <c r="I56" s="7">
        <f>((C56-JB_Test!$B$18)/JB_Test!$B$19)^4</f>
        <v>12.777557037565343</v>
      </c>
    </row>
    <row r="57" spans="1:9" x14ac:dyDescent="0.35">
      <c r="A57" s="5">
        <v>53</v>
      </c>
      <c r="B57" s="7">
        <v>1.0368999999999999</v>
      </c>
      <c r="C57" s="7">
        <v>0.94730000000000003</v>
      </c>
      <c r="E57" s="7">
        <f>((B57-JB_Test!$B$6)/JB_Test!$B$7)^3</f>
        <v>2.1564967135788136</v>
      </c>
      <c r="F57" s="7">
        <f>((C57-JB_Test!$B$18)/JB_Test!$B$19)^3</f>
        <v>-4.9853905695018987</v>
      </c>
      <c r="H57" s="19">
        <f>((B57-JB_Test!$B$6)/JB_Test!$B$7)^4</f>
        <v>2.7861109096199113</v>
      </c>
      <c r="I57" s="7">
        <f>((C57-JB_Test!$B$18)/JB_Test!$B$19)^4</f>
        <v>8.5165869318002194</v>
      </c>
    </row>
    <row r="58" spans="1:9" x14ac:dyDescent="0.35">
      <c r="A58" s="5">
        <v>54</v>
      </c>
      <c r="B58" s="7">
        <v>1.0042</v>
      </c>
      <c r="C58" s="7">
        <v>1.0242</v>
      </c>
      <c r="E58" s="7">
        <f>((B58-JB_Test!$B$6)/JB_Test!$B$7)^3</f>
        <v>1.5790334313760979E-2</v>
      </c>
      <c r="F58" s="7">
        <f>((C58-JB_Test!$B$18)/JB_Test!$B$19)^3</f>
        <v>6.3013063820789722E-2</v>
      </c>
      <c r="H58" s="19">
        <f>((B58-JB_Test!$B$6)/JB_Test!$B$7)^4</f>
        <v>3.9614584030402689E-3</v>
      </c>
      <c r="I58" s="7">
        <f>((C58-JB_Test!$B$18)/JB_Test!$B$19)^4</f>
        <v>2.5074991541307243E-2</v>
      </c>
    </row>
    <row r="59" spans="1:9" x14ac:dyDescent="0.35">
      <c r="A59" s="5">
        <v>55</v>
      </c>
      <c r="B59" s="7">
        <v>1.0335000000000001</v>
      </c>
      <c r="C59" s="7">
        <v>1.0268999999999999</v>
      </c>
      <c r="E59" s="7">
        <f>((B59-JB_Test!$B$6)/JB_Test!$B$7)^3</f>
        <v>1.6585968217868658</v>
      </c>
      <c r="F59" s="7">
        <f>((C59-JB_Test!$B$18)/JB_Test!$B$19)^3</f>
        <v>0.10507687575162077</v>
      </c>
      <c r="H59" s="19">
        <f>((B59-JB_Test!$B$6)/JB_Test!$B$7)^4</f>
        <v>1.963304996314043</v>
      </c>
      <c r="I59" s="7">
        <f>((C59-JB_Test!$B$18)/JB_Test!$B$19)^4</f>
        <v>4.9584149529194037E-2</v>
      </c>
    </row>
    <row r="60" spans="1:9" x14ac:dyDescent="0.35">
      <c r="A60" s="5">
        <v>56</v>
      </c>
      <c r="B60" s="7">
        <v>0.95120000000000005</v>
      </c>
      <c r="C60" s="7">
        <v>1.0048999999999999</v>
      </c>
      <c r="E60" s="7">
        <f>((B60-JB_Test!$B$6)/JB_Test!$B$7)^3</f>
        <v>-2.9642849254861066</v>
      </c>
      <c r="F60" s="7">
        <f>((C60-JB_Test!$B$18)/JB_Test!$B$19)^3</f>
        <v>-2.2317336555192197E-3</v>
      </c>
      <c r="H60" s="19">
        <f>((B60-JB_Test!$B$6)/JB_Test!$B$7)^4</f>
        <v>4.2582052783978428</v>
      </c>
      <c r="I60" s="7">
        <f>((C60-JB_Test!$B$18)/JB_Test!$B$19)^4</f>
        <v>2.9164630852201312E-4</v>
      </c>
    </row>
    <row r="61" spans="1:9" x14ac:dyDescent="0.35">
      <c r="A61" s="5">
        <v>57</v>
      </c>
      <c r="B61" s="7">
        <v>0.999</v>
      </c>
      <c r="C61" s="7">
        <v>1.0263</v>
      </c>
      <c r="E61" s="7">
        <f>((B61-JB_Test!$B$6)/JB_Test!$B$7)^3</f>
        <v>6.2117941390314757E-4</v>
      </c>
      <c r="F61" s="7">
        <f>((C61-JB_Test!$B$18)/JB_Test!$B$19)^3</f>
        <v>9.4476687151007752E-2</v>
      </c>
      <c r="H61" s="19">
        <f>((B61-JB_Test!$B$6)/JB_Test!$B$7)^4</f>
        <v>5.3001651988307028E-5</v>
      </c>
      <c r="I61" s="7">
        <f>((C61-JB_Test!$B$18)/JB_Test!$B$19)^4</f>
        <v>4.302949095047378E-2</v>
      </c>
    </row>
    <row r="62" spans="1:9" x14ac:dyDescent="0.35">
      <c r="A62" s="5">
        <v>58</v>
      </c>
      <c r="B62" s="7">
        <v>0.96199999999999997</v>
      </c>
      <c r="C62" s="7">
        <v>1.002</v>
      </c>
      <c r="E62" s="7">
        <f>((B62-JB_Test!$B$6)/JB_Test!$B$7)^3</f>
        <v>-1.3045313190930925</v>
      </c>
      <c r="F62" s="7">
        <f>((C62-JB_Test!$B$18)/JB_Test!$B$19)^3</f>
        <v>-9.2756478616408296E-3</v>
      </c>
      <c r="H62" s="19">
        <f>((B62-JB_Test!$B$6)/JB_Test!$B$7)^4</f>
        <v>1.425408508230265</v>
      </c>
      <c r="I62" s="7">
        <f>((C62-JB_Test!$B$18)/JB_Test!$B$19)^4</f>
        <v>1.9489124820580529E-3</v>
      </c>
    </row>
    <row r="63" spans="1:9" x14ac:dyDescent="0.35">
      <c r="A63" s="5">
        <v>59</v>
      </c>
      <c r="B63" s="7">
        <v>1.0875999999999999</v>
      </c>
      <c r="C63" s="7">
        <v>0.96940000000000004</v>
      </c>
      <c r="E63" s="7">
        <f>((B63-JB_Test!$B$6)/JB_Test!$B$7)^3</f>
        <v>24.543673602007491</v>
      </c>
      <c r="F63" s="7">
        <f>((C63-JB_Test!$B$18)/JB_Test!$B$19)^3</f>
        <v>-1.3419340547282865</v>
      </c>
      <c r="H63" s="19">
        <f>((B63-JB_Test!$B$6)/JB_Test!$B$7)^4</f>
        <v>71.326802527986459</v>
      </c>
      <c r="I63" s="7">
        <f>((C63-JB_Test!$B$18)/JB_Test!$B$19)^4</f>
        <v>1.4801585302308966</v>
      </c>
    </row>
    <row r="64" spans="1:9" x14ac:dyDescent="0.35">
      <c r="A64" s="5">
        <v>60</v>
      </c>
      <c r="B64" s="7">
        <v>1.0285</v>
      </c>
      <c r="C64" s="7">
        <v>1.0316000000000001</v>
      </c>
      <c r="E64" s="7">
        <f>((B64-JB_Test!$B$6)/JB_Test!$B$7)^3</f>
        <v>1.0754018811453132</v>
      </c>
      <c r="F64" s="7">
        <f>((C64-JB_Test!$B$18)/JB_Test!$B$19)^3</f>
        <v>0.21666435739462919</v>
      </c>
      <c r="H64" s="19">
        <f>((B64-JB_Test!$B$6)/JB_Test!$B$7)^4</f>
        <v>1.1017787429591852</v>
      </c>
      <c r="I64" s="7">
        <f>((C64-JB_Test!$B$18)/JB_Test!$B$19)^4</f>
        <v>0.13013175818080147</v>
      </c>
    </row>
    <row r="65" spans="1:9" x14ac:dyDescent="0.35">
      <c r="A65" s="5">
        <v>61</v>
      </c>
      <c r="B65" s="7">
        <v>1.0182</v>
      </c>
      <c r="C65" s="7">
        <v>1.0098</v>
      </c>
      <c r="E65" s="7">
        <f>((B65-JB_Test!$B$6)/JB_Test!$B$7)^3</f>
        <v>0.33802951751446231</v>
      </c>
      <c r="F65" s="7">
        <f>((C65-JB_Test!$B$18)/JB_Test!$B$19)^3</f>
        <v>4.3851813368252402E-8</v>
      </c>
      <c r="H65" s="19">
        <f>((B65-JB_Test!$B$6)/JB_Test!$B$7)^4</f>
        <v>0.23547212371155068</v>
      </c>
      <c r="I65" s="7">
        <f>((C65-JB_Test!$B$18)/JB_Test!$B$19)^4</f>
        <v>1.5463818467769468E-10</v>
      </c>
    </row>
    <row r="66" spans="1:9" x14ac:dyDescent="0.35">
      <c r="A66" s="5">
        <v>62</v>
      </c>
      <c r="B66" s="7">
        <v>0.9637</v>
      </c>
      <c r="C66" s="7">
        <v>0.99219999999999997</v>
      </c>
      <c r="E66" s="7">
        <f>((B66-JB_Test!$B$6)/JB_Test!$B$7)^3</f>
        <v>-1.1201199765947709</v>
      </c>
      <c r="F66" s="7">
        <f>((C66-JB_Test!$B$18)/JB_Test!$B$19)^3</f>
        <v>-0.10957658932549812</v>
      </c>
      <c r="H66" s="19">
        <f>((B66-JB_Test!$B$6)/JB_Test!$B$7)^4</f>
        <v>1.1632848091834145</v>
      </c>
      <c r="I66" s="7">
        <f>((C66-JB_Test!$B$18)/JB_Test!$B$19)^4</f>
        <v>5.2435293667788867E-2</v>
      </c>
    </row>
    <row r="67" spans="1:9" x14ac:dyDescent="0.35">
      <c r="A67" s="5">
        <v>63</v>
      </c>
      <c r="B67" s="7">
        <v>1.0218</v>
      </c>
      <c r="C67" s="7">
        <v>1.0394000000000001</v>
      </c>
      <c r="E67" s="7">
        <f>((B67-JB_Test!$B$6)/JB_Test!$B$7)^3</f>
        <v>0.53383979311014607</v>
      </c>
      <c r="F67" s="7">
        <f>((C67-JB_Test!$B$18)/JB_Test!$B$19)^3</f>
        <v>0.53985333745507202</v>
      </c>
      <c r="H67" s="19">
        <f>((B67-JB_Test!$B$6)/JB_Test!$B$7)^4</f>
        <v>0.43305985356819426</v>
      </c>
      <c r="I67" s="7">
        <f>((C67-JB_Test!$B$18)/JB_Test!$B$19)^4</f>
        <v>0.43957641973880507</v>
      </c>
    </row>
    <row r="68" spans="1:9" x14ac:dyDescent="0.35">
      <c r="A68" s="5">
        <v>64</v>
      </c>
      <c r="B68" s="7">
        <v>0.98219999999999996</v>
      </c>
      <c r="C68" s="7">
        <v>1.0825</v>
      </c>
      <c r="E68" s="7">
        <f>((B68-JB_Test!$B$6)/JB_Test!$B$7)^3</f>
        <v>-9.0848291153561939E-2</v>
      </c>
      <c r="F68" s="7">
        <f>((C68-JB_Test!$B$18)/JB_Test!$B$19)^3</f>
        <v>7.9369640263303722</v>
      </c>
      <c r="H68" s="19">
        <f>((B68-JB_Test!$B$6)/JB_Test!$B$7)^4</f>
        <v>4.0840308773913703E-2</v>
      </c>
      <c r="I68" s="7">
        <f>((C68-JB_Test!$B$18)/JB_Test!$B$19)^4</f>
        <v>15.832125209912709</v>
      </c>
    </row>
    <row r="69" spans="1:9" x14ac:dyDescent="0.35">
      <c r="A69" s="5">
        <v>65</v>
      </c>
      <c r="B69" s="7">
        <v>0.97750000000000004</v>
      </c>
      <c r="C69" s="7">
        <v>1.014</v>
      </c>
      <c r="E69" s="7">
        <f>((B69-JB_Test!$B$6)/JB_Test!$B$7)^3</f>
        <v>-0.21511541357090086</v>
      </c>
      <c r="F69" s="7">
        <f>((C69-JB_Test!$B$18)/JB_Test!$B$19)^3</f>
        <v>1.6666075987800154E-3</v>
      </c>
      <c r="H69" s="19">
        <f>((B69-JB_Test!$B$6)/JB_Test!$B$7)^4</f>
        <v>0.12889281431751737</v>
      </c>
      <c r="I69" s="7">
        <f>((C69-JB_Test!$B$18)/JB_Test!$B$19)^4</f>
        <v>1.9759584594146906E-4</v>
      </c>
    </row>
    <row r="70" spans="1:9" x14ac:dyDescent="0.35">
      <c r="A70" s="5">
        <v>66</v>
      </c>
      <c r="B70" s="7">
        <v>1.0038</v>
      </c>
      <c r="C70" s="7">
        <v>0.98019999999999996</v>
      </c>
      <c r="E70" s="7">
        <f>((B70-JB_Test!$B$6)/JB_Test!$B$7)^3</f>
        <v>1.3505711430371183E-2</v>
      </c>
      <c r="F70" s="7">
        <f>((C70-JB_Test!$B$18)/JB_Test!$B$19)^3</f>
        <v>-0.52594643229133953</v>
      </c>
      <c r="H70" s="19">
        <f>((B70-JB_Test!$B$6)/JB_Test!$B$7)^4</f>
        <v>3.2163005241955655E-3</v>
      </c>
      <c r="I70" s="7">
        <f>((C70-JB_Test!$B$18)/JB_Test!$B$19)^4</f>
        <v>0.4245433259689918</v>
      </c>
    </row>
    <row r="71" spans="1:9" x14ac:dyDescent="0.35">
      <c r="A71" s="5">
        <v>67</v>
      </c>
      <c r="B71" s="7">
        <v>0.99039999999999995</v>
      </c>
      <c r="C71" s="7">
        <v>1.0303</v>
      </c>
      <c r="E71" s="7">
        <f>((B71-JB_Test!$B$6)/JB_Test!$B$7)^3</f>
        <v>-6.695419498258838E-3</v>
      </c>
      <c r="F71" s="7">
        <f>((C71-JB_Test!$B$18)/JB_Test!$B$19)^3</f>
        <v>0.18037011492227201</v>
      </c>
      <c r="H71" s="19">
        <f>((B71-JB_Test!$B$6)/JB_Test!$B$7)^4</f>
        <v>1.2619352068576417E-3</v>
      </c>
      <c r="I71" s="7">
        <f>((C71-JB_Test!$B$18)/JB_Test!$B$19)^4</f>
        <v>0.10191061974421797</v>
      </c>
    </row>
    <row r="72" spans="1:9" x14ac:dyDescent="0.35">
      <c r="A72" s="5">
        <v>68</v>
      </c>
      <c r="B72" s="7">
        <v>1.0161</v>
      </c>
      <c r="C72" s="7">
        <v>1.0112000000000001</v>
      </c>
      <c r="E72" s="7">
        <f>((B72-JB_Test!$B$6)/JB_Test!$B$7)^3</f>
        <v>0.2497419706636072</v>
      </c>
      <c r="F72" s="7">
        <f>((C72-JB_Test!$B$18)/JB_Test!$B$19)^3</f>
        <v>7.3410005074106855E-5</v>
      </c>
      <c r="H72" s="19">
        <f>((B72-JB_Test!$B$6)/JB_Test!$B$7)^4</f>
        <v>0.15727343746578734</v>
      </c>
      <c r="I72" s="7">
        <f>((C72-JB_Test!$B$18)/JB_Test!$B$19)^4</f>
        <v>3.0737863107942207E-6</v>
      </c>
    </row>
    <row r="73" spans="1:9" x14ac:dyDescent="0.35">
      <c r="A73" s="5">
        <v>69</v>
      </c>
      <c r="B73" s="7">
        <v>0.95579999999999998</v>
      </c>
      <c r="C73" s="7">
        <v>1.056</v>
      </c>
      <c r="E73" s="7">
        <f>((B73-JB_Test!$B$6)/JB_Test!$B$7)^3</f>
        <v>-2.1469453148795679</v>
      </c>
      <c r="F73" s="7">
        <f>((C73-JB_Test!$B$18)/JB_Test!$B$19)^3</f>
        <v>2.0431374852536699</v>
      </c>
      <c r="H73" s="19">
        <f>((B73-JB_Test!$B$6)/JB_Test!$B$7)^4</f>
        <v>2.7696696803657774</v>
      </c>
      <c r="I73" s="7">
        <f>((C73-JB_Test!$B$18)/JB_Test!$B$19)^4</f>
        <v>2.5925677982108901</v>
      </c>
    </row>
    <row r="74" spans="1:9" x14ac:dyDescent="0.35">
      <c r="A74" s="5">
        <v>70</v>
      </c>
      <c r="B74" s="7">
        <v>1.0062</v>
      </c>
      <c r="C74" s="7">
        <v>0.99519999999999997</v>
      </c>
      <c r="E74" s="7">
        <f>((B74-JB_Test!$B$6)/JB_Test!$B$7)^3</f>
        <v>3.1123147166084664E-2</v>
      </c>
      <c r="F74" s="7">
        <f>((C74-JB_Test!$B$18)/JB_Test!$B$19)^3</f>
        <v>-6.2267866101657854E-2</v>
      </c>
      <c r="H74" s="19">
        <f>((B74-JB_Test!$B$6)/JB_Test!$B$7)^4</f>
        <v>9.7898944259940321E-3</v>
      </c>
      <c r="I74" s="7">
        <f>((C74-JB_Test!$B$18)/JB_Test!$B$19)^4</f>
        <v>2.468038766964906E-2</v>
      </c>
    </row>
    <row r="75" spans="1:9" x14ac:dyDescent="0.35">
      <c r="A75" s="5">
        <v>71</v>
      </c>
      <c r="B75" s="7">
        <v>1.0303</v>
      </c>
      <c r="C75" s="7">
        <v>0.94679999999999997</v>
      </c>
      <c r="E75" s="7">
        <f>((B75-JB_Test!$B$6)/JB_Test!$B$7)^3</f>
        <v>1.2661431103478311</v>
      </c>
      <c r="F75" s="7">
        <f>((C75-JB_Test!$B$18)/JB_Test!$B$19)^3</f>
        <v>-5.1062506488837842</v>
      </c>
      <c r="H75" s="19">
        <f>((B75-JB_Test!$B$6)/JB_Test!$B$7)^4</f>
        <v>1.3697576297205132</v>
      </c>
      <c r="I75" s="7">
        <f>((C75-JB_Test!$B$18)/JB_Test!$B$19)^4</f>
        <v>8.792981756360005</v>
      </c>
    </row>
    <row r="76" spans="1:9" x14ac:dyDescent="0.35">
      <c r="A76" s="5">
        <v>72</v>
      </c>
      <c r="B76" s="7">
        <v>1.0246999999999999</v>
      </c>
      <c r="C76" s="7">
        <v>1.0122</v>
      </c>
      <c r="E76" s="7">
        <f>((B76-JB_Test!$B$6)/JB_Test!$B$7)^3</f>
        <v>0.73764914931682835</v>
      </c>
      <c r="F76" s="7">
        <f>((C76-JB_Test!$B$18)/JB_Test!$B$19)^3</f>
        <v>3.32248884336539E-4</v>
      </c>
      <c r="H76" s="19">
        <f>((B76-JB_Test!$B$6)/JB_Test!$B$7)^4</f>
        <v>0.66649944873288192</v>
      </c>
      <c r="I76" s="7">
        <f>((C76-JB_Test!$B$18)/JB_Test!$B$19)^4</f>
        <v>2.3011841553484227E-5</v>
      </c>
    </row>
    <row r="77" spans="1:9" x14ac:dyDescent="0.35">
      <c r="A77" s="5">
        <v>73</v>
      </c>
      <c r="B77" s="7">
        <v>1.018</v>
      </c>
      <c r="C77" s="7">
        <v>0.94879999999999998</v>
      </c>
      <c r="E77" s="7">
        <f>((B77-JB_Test!$B$6)/JB_Test!$B$7)^3</f>
        <v>0.32884444212025388</v>
      </c>
      <c r="F77" s="7">
        <f>((C77-JB_Test!$B$18)/JB_Test!$B$19)^3</f>
        <v>-4.634282500947438</v>
      </c>
      <c r="H77" s="19">
        <f>((B77-JB_Test!$B$6)/JB_Test!$B$7)^4</f>
        <v>0.22697986925869415</v>
      </c>
      <c r="I77" s="7">
        <f>((C77-JB_Test!$B$18)/JB_Test!$B$19)^4</f>
        <v>7.7263908283058989</v>
      </c>
    </row>
    <row r="78" spans="1:9" x14ac:dyDescent="0.35">
      <c r="A78" s="5">
        <v>74</v>
      </c>
      <c r="B78" s="7">
        <v>0.9607</v>
      </c>
      <c r="C78" s="7">
        <v>1.0654999999999999</v>
      </c>
      <c r="E78" s="7">
        <f>((B78-JB_Test!$B$6)/JB_Test!$B$7)^3</f>
        <v>-1.4584596485446646</v>
      </c>
      <c r="F78" s="7">
        <f>((C78-JB_Test!$B$18)/JB_Test!$B$19)^3</f>
        <v>3.5753581832495116</v>
      </c>
      <c r="H78" s="19">
        <f>((B78-JB_Test!$B$6)/JB_Test!$B$7)^4</f>
        <v>1.6539633832365535</v>
      </c>
      <c r="I78" s="7">
        <f>((C78-JB_Test!$B$18)/JB_Test!$B$19)^4</f>
        <v>5.4671300965488889</v>
      </c>
    </row>
    <row r="79" spans="1:9" x14ac:dyDescent="0.35">
      <c r="A79" s="5">
        <v>75</v>
      </c>
      <c r="B79" s="7">
        <v>0.98060000000000003</v>
      </c>
      <c r="C79" s="7">
        <v>1.0025999999999999</v>
      </c>
      <c r="E79" s="7">
        <f>((B79-JB_Test!$B$6)/JB_Test!$B$7)^3</f>
        <v>-0.12536326590726904</v>
      </c>
      <c r="F79" s="7">
        <f>((C79-JB_Test!$B$18)/JB_Test!$B$19)^3</f>
        <v>-7.2649799355921935E-3</v>
      </c>
      <c r="H79" s="19">
        <f>((B79-JB_Test!$B$6)/JB_Test!$B$7)^4</f>
        <v>6.2742294495513135E-2</v>
      </c>
      <c r="I79" s="7">
        <f>((C79-JB_Test!$B$18)/JB_Test!$B$19)^4</f>
        <v>1.4070598116842094E-3</v>
      </c>
    </row>
    <row r="80" spans="1:9" x14ac:dyDescent="0.35">
      <c r="A80" s="5">
        <v>76</v>
      </c>
      <c r="B80" s="7">
        <v>1.0539000000000001</v>
      </c>
      <c r="C80" s="7">
        <v>0.9778</v>
      </c>
      <c r="E80" s="7">
        <f>((B80-JB_Test!$B$6)/JB_Test!$B$7)^3</f>
        <v>6.1606658578036759</v>
      </c>
      <c r="F80" s="7">
        <f>((C80-JB_Test!$B$18)/JB_Test!$B$19)^3</f>
        <v>-0.66518605315056145</v>
      </c>
      <c r="H80" s="19">
        <f>((B80-JB_Test!$B$6)/JB_Test!$B$7)^4</f>
        <v>11.293716254087668</v>
      </c>
      <c r="I80" s="7">
        <f>((C80-JB_Test!$B$18)/JB_Test!$B$19)^4</f>
        <v>0.58066303510735606</v>
      </c>
    </row>
    <row r="81" spans="1:9" x14ac:dyDescent="0.35">
      <c r="A81" s="5">
        <v>77</v>
      </c>
      <c r="B81" s="7">
        <v>1.0484</v>
      </c>
      <c r="C81" s="7">
        <v>0.97070000000000001</v>
      </c>
      <c r="E81" s="7">
        <f>((B81-JB_Test!$B$6)/JB_Test!$B$7)^3</f>
        <v>4.5585382077249426</v>
      </c>
      <c r="F81" s="7">
        <f>((C81-JB_Test!$B$18)/JB_Test!$B$19)^3</f>
        <v>-1.216126779536217</v>
      </c>
      <c r="H81" s="19">
        <f>((B81-JB_Test!$B$6)/JB_Test!$B$7)^4</f>
        <v>7.5584741529662924</v>
      </c>
      <c r="I81" s="7">
        <f>((C81-JB_Test!$B$18)/JB_Test!$B$19)^4</f>
        <v>1.2980909910593166</v>
      </c>
    </row>
    <row r="82" spans="1:9" x14ac:dyDescent="0.35">
      <c r="A82" s="5">
        <v>78</v>
      </c>
      <c r="B82" s="7">
        <v>0.95809999999999995</v>
      </c>
      <c r="C82" s="7">
        <v>0.99339999999999995</v>
      </c>
      <c r="E82" s="7">
        <f>((B82-JB_Test!$B$6)/JB_Test!$B$7)^3</f>
        <v>-1.8017093017466173</v>
      </c>
      <c r="F82" s="7">
        <f>((C82-JB_Test!$B$18)/JB_Test!$B$19)^3</f>
        <v>-8.8513313222951806E-2</v>
      </c>
      <c r="H82" s="19">
        <f>((B82-JB_Test!$B$6)/JB_Test!$B$7)^4</f>
        <v>2.1923655086887801</v>
      </c>
      <c r="I82" s="7">
        <f>((C82-JB_Test!$B$18)/JB_Test!$B$19)^4</f>
        <v>3.9446771406491186E-2</v>
      </c>
    </row>
    <row r="83" spans="1:9" x14ac:dyDescent="0.35">
      <c r="A83" s="5">
        <v>79</v>
      </c>
      <c r="B83" s="7">
        <v>1.0053000000000001</v>
      </c>
      <c r="C83" s="7">
        <v>1.0206999999999999</v>
      </c>
      <c r="E83" s="7">
        <f>((B83-JB_Test!$B$6)/JB_Test!$B$7)^3</f>
        <v>2.3369083617746228E-2</v>
      </c>
      <c r="F83" s="7">
        <f>((C83-JB_Test!$B$18)/JB_Test!$B$19)^3</f>
        <v>2.7562888018175288E-2</v>
      </c>
      <c r="H83" s="19">
        <f>((B83-JB_Test!$B$6)/JB_Test!$B$7)^4</f>
        <v>6.6812169883509942E-3</v>
      </c>
      <c r="I83" s="7">
        <f>((C83-JB_Test!$B$18)/JB_Test!$B$19)^4</f>
        <v>8.325933942219645E-3</v>
      </c>
    </row>
    <row r="84" spans="1:9" x14ac:dyDescent="0.35">
      <c r="A84" s="5">
        <v>80</v>
      </c>
      <c r="B84" s="7">
        <v>0.91900000000000004</v>
      </c>
      <c r="C84" s="7">
        <v>0.94840000000000002</v>
      </c>
      <c r="E84" s="7">
        <f>((B84-JB_Test!$B$6)/JB_Test!$B$7)^3</f>
        <v>-14.917230779701073</v>
      </c>
      <c r="F84" s="7">
        <f>((C84-JB_Test!$B$18)/JB_Test!$B$19)^3</f>
        <v>-4.7262431993574214</v>
      </c>
      <c r="H84" s="19">
        <f>((B84-JB_Test!$B$6)/JB_Test!$B$7)^4</f>
        <v>36.721263123974147</v>
      </c>
      <c r="I84" s="7">
        <f>((C84-JB_Test!$B$18)/JB_Test!$B$19)^4</f>
        <v>7.9314895057168284</v>
      </c>
    </row>
  </sheetData>
  <mergeCells count="4">
    <mergeCell ref="A1:C1"/>
    <mergeCell ref="A2:C2"/>
    <mergeCell ref="E3:F3"/>
    <mergeCell ref="H3:I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5"/>
  <sheetViews>
    <sheetView showGridLines="0" zoomScale="80" zoomScaleNormal="80" workbookViewId="0">
      <selection activeCell="B19" sqref="B19"/>
    </sheetView>
  </sheetViews>
  <sheetFormatPr defaultRowHeight="14.5" x14ac:dyDescent="0.35"/>
  <cols>
    <col min="1" max="1" width="39.1796875" customWidth="1"/>
    <col min="2" max="3" width="18" customWidth="1"/>
    <col min="4" max="4" width="12.36328125" customWidth="1"/>
    <col min="5" max="5" width="25" customWidth="1"/>
    <col min="6" max="6" width="18" customWidth="1"/>
  </cols>
  <sheetData>
    <row r="1" spans="1:3" ht="18" x14ac:dyDescent="0.4">
      <c r="A1" s="62" t="s">
        <v>47</v>
      </c>
      <c r="B1" s="61"/>
      <c r="C1" s="61"/>
    </row>
    <row r="3" spans="1:3" ht="15.5" x14ac:dyDescent="0.35">
      <c r="A3" s="60" t="s">
        <v>164</v>
      </c>
      <c r="B3" s="61"/>
      <c r="C3" s="61"/>
    </row>
    <row r="5" spans="1:3" x14ac:dyDescent="0.35">
      <c r="A5" s="4" t="s">
        <v>48</v>
      </c>
      <c r="B5" s="5">
        <v>80</v>
      </c>
    </row>
    <row r="6" spans="1:3" x14ac:dyDescent="0.35">
      <c r="A6" s="4" t="s">
        <v>49</v>
      </c>
      <c r="B6" s="6">
        <f>AVERAGE(Demand_Volatility!B5:B84)</f>
        <v>0.99631999999999965</v>
      </c>
    </row>
    <row r="7" spans="1:3" x14ac:dyDescent="0.35">
      <c r="A7" s="4" t="s">
        <v>50</v>
      </c>
      <c r="B7" s="54">
        <f>_xlfn.STDEV.S(Demand_Volatility!B5:B84)</f>
        <v>3.1409602659704342E-2</v>
      </c>
    </row>
    <row r="8" spans="1:3" x14ac:dyDescent="0.35">
      <c r="A8" s="4" t="s">
        <v>51</v>
      </c>
      <c r="B8" s="6">
        <f>SUM(Demand_Volatility!E5:E84)/JB_Test!B5</f>
        <v>9.6373429111641346E-2</v>
      </c>
      <c r="C8" s="53"/>
    </row>
    <row r="9" spans="1:3" x14ac:dyDescent="0.35">
      <c r="A9" s="4" t="s">
        <v>52</v>
      </c>
      <c r="B9" s="6">
        <f>(SUM(Demand_Volatility!H5:H84)/JB_Test!B5)-3</f>
        <v>-0.29585647064780662</v>
      </c>
    </row>
    <row r="10" spans="1:3" x14ac:dyDescent="0.35">
      <c r="A10" s="4" t="s">
        <v>53</v>
      </c>
      <c r="B10" s="6">
        <f>(B5/6)*(B8^2+(B9^2)/4)</f>
        <v>0.4156080085970757</v>
      </c>
    </row>
    <row r="11" spans="1:3" x14ac:dyDescent="0.35">
      <c r="A11" s="4" t="s">
        <v>54</v>
      </c>
      <c r="B11" s="7">
        <f>_xlfn.CHISQ.INV.RT(0.05,2)</f>
        <v>5.9914645471079817</v>
      </c>
    </row>
    <row r="12" spans="1:3" x14ac:dyDescent="0.35">
      <c r="A12" s="4" t="s">
        <v>55</v>
      </c>
      <c r="B12" s="20" t="str">
        <f>IF(B10&lt;=B11,"PASS - Cannot reject normality","FAIL - Reject normality")</f>
        <v>PASS - Cannot reject normality</v>
      </c>
    </row>
    <row r="15" spans="1:3" ht="15.5" x14ac:dyDescent="0.35">
      <c r="A15" s="60" t="s">
        <v>56</v>
      </c>
      <c r="B15" s="61"/>
      <c r="C15" s="61"/>
    </row>
    <row r="17" spans="1:3" x14ac:dyDescent="0.35">
      <c r="A17" s="4" t="s">
        <v>48</v>
      </c>
      <c r="B17" s="8">
        <v>80</v>
      </c>
    </row>
    <row r="18" spans="1:3" x14ac:dyDescent="0.35">
      <c r="A18" s="4" t="s">
        <v>49</v>
      </c>
      <c r="B18" s="9">
        <f>AVERAGE(Demand_Volatility!C5:C84)</f>
        <v>1.0096712499999998</v>
      </c>
    </row>
    <row r="19" spans="1:3" x14ac:dyDescent="0.35">
      <c r="A19" s="4" t="s">
        <v>50</v>
      </c>
      <c r="B19" s="10">
        <f>_xlfn.STDEV.S(Demand_Volatility!C5:C84)</f>
        <v>3.6510522824231562E-2</v>
      </c>
    </row>
    <row r="20" spans="1:3" x14ac:dyDescent="0.35">
      <c r="A20" s="4" t="s">
        <v>51</v>
      </c>
      <c r="B20" s="10">
        <f>SUM(Demand_Volatility!F5:F84)/JB_Test!B17</f>
        <v>-0.23161211064726581</v>
      </c>
    </row>
    <row r="21" spans="1:3" x14ac:dyDescent="0.35">
      <c r="A21" s="4" t="s">
        <v>52</v>
      </c>
      <c r="B21" s="10">
        <f>(SUM(Demand_Volatility!I5:I84)/JB_Test!B17)-3</f>
        <v>0.19594615460672671</v>
      </c>
    </row>
    <row r="22" spans="1:3" x14ac:dyDescent="0.35">
      <c r="A22" s="4" t="s">
        <v>53</v>
      </c>
      <c r="B22" s="6">
        <f>(B17/6)*(B20^2+(B21^2)/4)</f>
        <v>0.84323858233029481</v>
      </c>
    </row>
    <row r="23" spans="1:3" x14ac:dyDescent="0.35">
      <c r="A23" s="4" t="s">
        <v>54</v>
      </c>
      <c r="B23" s="7">
        <f>_xlfn.CHISQ.INV.RT(0.05,2)</f>
        <v>5.9914645471079817</v>
      </c>
    </row>
    <row r="24" spans="1:3" x14ac:dyDescent="0.35">
      <c r="A24" s="4" t="s">
        <v>55</v>
      </c>
      <c r="B24" s="20" t="str">
        <f>IF(B22&lt;=B23,"PASS - Cannot reject normality","FAIL - Reject normality")</f>
        <v>PASS - Cannot reject normality</v>
      </c>
    </row>
    <row r="27" spans="1:3" ht="15.5" x14ac:dyDescent="0.35">
      <c r="A27" s="2" t="s">
        <v>57</v>
      </c>
    </row>
    <row r="28" spans="1:3" x14ac:dyDescent="0.35">
      <c r="A28" s="11" t="s">
        <v>58</v>
      </c>
      <c r="B28" s="11" t="s">
        <v>85</v>
      </c>
      <c r="C28" s="11" t="s">
        <v>59</v>
      </c>
    </row>
    <row r="29" spans="1:3" x14ac:dyDescent="0.35">
      <c r="A29" s="5" t="s">
        <v>60</v>
      </c>
      <c r="B29" s="5">
        <v>0.93</v>
      </c>
      <c r="C29" s="5">
        <f>COUNTIFS(Demand_Volatility!$B$5:$C$84,"&lt;"&amp;JB_Test!$B29)</f>
        <v>2</v>
      </c>
    </row>
    <row r="30" spans="1:3" x14ac:dyDescent="0.35">
      <c r="A30" s="5" t="s">
        <v>61</v>
      </c>
      <c r="B30" s="5">
        <f>B29+0.03</f>
        <v>0.96000000000000008</v>
      </c>
      <c r="C30" s="5">
        <f>COUNTIFS(Demand_Volatility!$B$5:$C$84,"&lt;"&amp;JB_Test!$B30)-COUNTIFS(Demand_Volatility!$B$5:$C$84,"&lt;"&amp;JB_Test!$B29)</f>
        <v>15</v>
      </c>
    </row>
    <row r="31" spans="1:3" x14ac:dyDescent="0.35">
      <c r="A31" s="5" t="s">
        <v>62</v>
      </c>
      <c r="B31" s="5">
        <f t="shared" ref="B31:B35" si="0">B30+0.03</f>
        <v>0.9900000000000001</v>
      </c>
      <c r="C31" s="5">
        <f>COUNTIFS(Demand_Volatility!$B$5:$C$84,"&lt;"&amp;JB_Test!$B31)-COUNTIFS(Demand_Volatility!$B$5:$C$84,"&lt;"&amp;JB_Test!$B30)</f>
        <v>40</v>
      </c>
    </row>
    <row r="32" spans="1:3" x14ac:dyDescent="0.35">
      <c r="A32" s="5" t="s">
        <v>63</v>
      </c>
      <c r="B32" s="5">
        <f t="shared" si="0"/>
        <v>1.02</v>
      </c>
      <c r="C32" s="5">
        <f>COUNTIFS(Demand_Volatility!$B$5:$C$84,"&lt;"&amp;JB_Test!$B32)-COUNTIFS(Demand_Volatility!$B$5:$C$84,"&lt;"&amp;JB_Test!$B31)</f>
        <v>49</v>
      </c>
    </row>
    <row r="33" spans="1:5" x14ac:dyDescent="0.35">
      <c r="A33" s="5" t="s">
        <v>64</v>
      </c>
      <c r="B33" s="5">
        <f t="shared" si="0"/>
        <v>1.05</v>
      </c>
      <c r="C33" s="5">
        <f>COUNTIFS(Demand_Volatility!$B$5:$C$84,"&lt;"&amp;JB_Test!$B33)-COUNTIFS(Demand_Volatility!$B$5:$C$84,"&lt;"&amp;JB_Test!$B32)</f>
        <v>41</v>
      </c>
      <c r="E33" s="46" t="s">
        <v>138</v>
      </c>
    </row>
    <row r="34" spans="1:5" x14ac:dyDescent="0.35">
      <c r="A34" s="5" t="s">
        <v>65</v>
      </c>
      <c r="B34" s="5">
        <f t="shared" si="0"/>
        <v>1.08</v>
      </c>
      <c r="C34" s="5">
        <f>COUNTIFS(Demand_Volatility!$B$5:$C$84,"&lt;"&amp;JB_Test!$B34)-COUNTIFS(Demand_Volatility!$B$5:$C$84,"&lt;"&amp;JB_Test!$B33)</f>
        <v>10</v>
      </c>
      <c r="E34" s="46" t="s">
        <v>139</v>
      </c>
    </row>
    <row r="35" spans="1:5" x14ac:dyDescent="0.35">
      <c r="A35" s="5" t="s">
        <v>66</v>
      </c>
      <c r="B35" s="5">
        <f t="shared" si="0"/>
        <v>1.1100000000000001</v>
      </c>
      <c r="C35" s="5">
        <f>COUNTIFS(Demand_Volatility!$B$5:$C$84,"&lt;"&amp;JB_Test!$B35)-COUNTIFS(Demand_Volatility!$B$5:$C$84,"&lt;"&amp;JB_Test!$B34)</f>
        <v>3</v>
      </c>
      <c r="E35" s="46" t="s">
        <v>140</v>
      </c>
    </row>
  </sheetData>
  <mergeCells count="3">
    <mergeCell ref="A1:C1"/>
    <mergeCell ref="A3:C3"/>
    <mergeCell ref="A15:C1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83"/>
  <sheetViews>
    <sheetView showGridLines="0" zoomScale="80" zoomScaleNormal="80" workbookViewId="0">
      <pane xSplit="1" ySplit="3" topLeftCell="B4" activePane="bottomRight" state="frozen"/>
      <selection pane="topRight" activeCell="B1" sqref="B1"/>
      <selection pane="bottomLeft" activeCell="A4" sqref="A4"/>
      <selection pane="bottomRight" activeCell="B4" sqref="B4"/>
    </sheetView>
  </sheetViews>
  <sheetFormatPr defaultRowHeight="14.5" x14ac:dyDescent="0.35"/>
  <cols>
    <col min="1" max="1" width="8" customWidth="1"/>
    <col min="2" max="27" width="14" customWidth="1"/>
    <col min="28" max="28" width="18.26953125" customWidth="1"/>
    <col min="29" max="30" width="14.81640625" customWidth="1"/>
    <col min="32" max="36" width="19" customWidth="1"/>
  </cols>
  <sheetData>
    <row r="1" spans="1:35" ht="18" x14ac:dyDescent="0.4">
      <c r="A1" s="1" t="s">
        <v>67</v>
      </c>
      <c r="AF1" s="34" t="s">
        <v>112</v>
      </c>
    </row>
    <row r="2" spans="1:35" s="34" customFormat="1" x14ac:dyDescent="0.35">
      <c r="B2" s="47">
        <f>SUM(B4:B83)</f>
        <v>8871323.3261725027</v>
      </c>
      <c r="D2" s="47">
        <f t="shared" ref="D2:AI2" si="0">SUM(D4:D83)</f>
        <v>6209926.3283207519</v>
      </c>
      <c r="E2" s="47">
        <f>SUM(E4:E83)</f>
        <v>2648504.6937670666</v>
      </c>
      <c r="F2" s="47">
        <f>SUM(F4:F83)</f>
        <v>8858431.022087818</v>
      </c>
      <c r="G2" s="47">
        <f t="shared" si="0"/>
        <v>6217036.7999999998</v>
      </c>
      <c r="H2" s="47">
        <f>SUM(H4:H83)</f>
        <v>6124038.0862336066</v>
      </c>
      <c r="I2" s="47">
        <f>SUM(I4:I83)</f>
        <v>2618504.6937670666</v>
      </c>
      <c r="J2" s="47">
        <f>SUM(J4:J83)</f>
        <v>115888.24208714608</v>
      </c>
      <c r="K2" s="47">
        <f t="shared" si="0"/>
        <v>36805016043.745857</v>
      </c>
      <c r="M2" s="47">
        <f t="shared" si="0"/>
        <v>2661396.9978517513</v>
      </c>
      <c r="N2" s="47">
        <f>SUM(N4:N83)</f>
        <v>960207.2686771187</v>
      </c>
      <c r="O2" s="47">
        <f t="shared" ref="O2:S2" si="1">SUM(O4:O83)</f>
        <v>3621604.26652887</v>
      </c>
      <c r="P2" s="47">
        <f t="shared" si="1"/>
        <v>2584758.3999999994</v>
      </c>
      <c r="Q2" s="47">
        <f t="shared" si="1"/>
        <v>2579310.8607844771</v>
      </c>
      <c r="R2" s="47">
        <f t="shared" si="1"/>
        <v>950533.59170281922</v>
      </c>
      <c r="S2" s="47">
        <f t="shared" si="1"/>
        <v>91759.814041572943</v>
      </c>
      <c r="T2" s="47">
        <f t="shared" si="0"/>
        <v>8400610456.9768448</v>
      </c>
      <c r="V2" s="47">
        <f t="shared" si="0"/>
        <v>45205626500.722717</v>
      </c>
      <c r="W2" s="47"/>
      <c r="X2" s="47">
        <f t="shared" si="0"/>
        <v>20344814001.851315</v>
      </c>
      <c r="Y2" s="47">
        <f t="shared" si="0"/>
        <v>439535176.16243172</v>
      </c>
      <c r="Z2" s="47">
        <f t="shared" si="0"/>
        <v>149046895.2216135</v>
      </c>
      <c r="AA2" s="47">
        <f t="shared" si="0"/>
        <v>20933396073.235344</v>
      </c>
      <c r="AB2" s="47">
        <f t="shared" si="0"/>
        <v>24272230427.487362</v>
      </c>
      <c r="AC2" s="47"/>
      <c r="AD2" s="47">
        <f t="shared" si="0"/>
        <v>22611395570.805477</v>
      </c>
      <c r="AF2" s="47">
        <f t="shared" si="0"/>
        <v>0</v>
      </c>
      <c r="AG2" s="47">
        <f t="shared" si="0"/>
        <v>0</v>
      </c>
      <c r="AH2" s="47">
        <f t="shared" si="0"/>
        <v>0</v>
      </c>
      <c r="AI2" s="47">
        <f t="shared" si="0"/>
        <v>0</v>
      </c>
    </row>
    <row r="3" spans="1:35" ht="35" customHeight="1" x14ac:dyDescent="0.35">
      <c r="A3" s="3" t="s">
        <v>38</v>
      </c>
      <c r="B3" s="3" t="s">
        <v>68</v>
      </c>
      <c r="D3" s="3" t="s">
        <v>69</v>
      </c>
      <c r="E3" s="3" t="s">
        <v>153</v>
      </c>
      <c r="F3" s="3" t="s">
        <v>148</v>
      </c>
      <c r="G3" s="3" t="s">
        <v>141</v>
      </c>
      <c r="H3" s="3" t="s">
        <v>151</v>
      </c>
      <c r="I3" s="3" t="s">
        <v>154</v>
      </c>
      <c r="J3" s="3" t="s">
        <v>156</v>
      </c>
      <c r="K3" s="3" t="s">
        <v>72</v>
      </c>
      <c r="M3" s="3" t="s">
        <v>70</v>
      </c>
      <c r="N3" s="3" t="s">
        <v>71</v>
      </c>
      <c r="O3" s="3" t="s">
        <v>149</v>
      </c>
      <c r="P3" s="3" t="s">
        <v>150</v>
      </c>
      <c r="Q3" s="3" t="s">
        <v>152</v>
      </c>
      <c r="R3" s="3" t="s">
        <v>155</v>
      </c>
      <c r="S3" s="3" t="s">
        <v>157</v>
      </c>
      <c r="T3" s="3" t="s">
        <v>73</v>
      </c>
      <c r="V3" s="3" t="s">
        <v>74</v>
      </c>
      <c r="W3" s="24" t="s">
        <v>90</v>
      </c>
      <c r="X3" s="3" t="s">
        <v>75</v>
      </c>
      <c r="Y3" s="3" t="s">
        <v>76</v>
      </c>
      <c r="Z3" s="3" t="s">
        <v>77</v>
      </c>
      <c r="AA3" s="3" t="s">
        <v>78</v>
      </c>
      <c r="AB3" s="3" t="s">
        <v>79</v>
      </c>
      <c r="AC3" s="3" t="s">
        <v>80</v>
      </c>
      <c r="AD3" s="3" t="s">
        <v>81</v>
      </c>
      <c r="AF3" s="3" t="s">
        <v>147</v>
      </c>
      <c r="AG3" s="3" t="s">
        <v>125</v>
      </c>
      <c r="AH3" s="3" t="s">
        <v>126</v>
      </c>
      <c r="AI3" s="24" t="s">
        <v>127</v>
      </c>
    </row>
    <row r="4" spans="1:35" x14ac:dyDescent="0.35">
      <c r="A4" s="5">
        <v>1</v>
      </c>
      <c r="B4" s="25">
        <f>Parameters!$B$5</f>
        <v>120000</v>
      </c>
      <c r="D4" s="12">
        <f>B4*Parameters!$B$6</f>
        <v>84000</v>
      </c>
      <c r="E4" s="25">
        <f>Parameters!$B$14</f>
        <v>30000</v>
      </c>
      <c r="F4" s="12">
        <f t="shared" ref="F4:F35" si="2">D4+E4</f>
        <v>114000</v>
      </c>
      <c r="G4" s="12">
        <f>Parameters!$B$25*Demand_Volatility!B5</f>
        <v>73171.8</v>
      </c>
      <c r="H4" s="12">
        <f t="shared" ref="H4:H35" si="3">MIN(F4,G4)</f>
        <v>73171.8</v>
      </c>
      <c r="I4" s="12">
        <f>MIN(Parameters!$B$13,MAX(0,E4+D4-H4))</f>
        <v>40828.199999999997</v>
      </c>
      <c r="J4" s="12">
        <f t="shared" ref="J4:J35" si="4">D4+E4-H4-I4</f>
        <v>0</v>
      </c>
      <c r="K4" s="12">
        <f>(H4*Parameters!$B$20*Parameters!$B$24)+(J4*Parameters!$B$20*Parameters!$B$24*(1-Parameters!$B$22))</f>
        <v>437274676.80000007</v>
      </c>
      <c r="M4" s="12">
        <f>B4*Parameters!$B$7</f>
        <v>36000</v>
      </c>
      <c r="N4" s="25">
        <f>Parameters!$C$14</f>
        <v>10000</v>
      </c>
      <c r="O4" s="12">
        <f>M4+N4</f>
        <v>46000</v>
      </c>
      <c r="P4" s="12">
        <f>Parameters!$B$26*Demand_Volatility!C5</f>
        <v>34089.599999999999</v>
      </c>
      <c r="Q4" s="12">
        <f t="shared" ref="Q4:Q35" si="5">MIN(O4,P4)</f>
        <v>34089.599999999999</v>
      </c>
      <c r="R4" s="12">
        <f>MIN(Parameters!$C$13,MAX(0,N4+M4-Q4))</f>
        <v>11910.400000000001</v>
      </c>
      <c r="S4" s="12">
        <f t="shared" ref="S4:S35" si="6">M4+N4-Q4-R4</f>
        <v>0</v>
      </c>
      <c r="T4" s="12">
        <f>(Q4*Parameters!$B$21)+(S4*Parameters!$B$21*(1-Parameters!$B$23))</f>
        <v>109086720</v>
      </c>
      <c r="V4" s="12">
        <f t="shared" ref="V4:V35" si="7">K4+T4</f>
        <v>546361396.80000007</v>
      </c>
      <c r="W4" s="32">
        <v>1</v>
      </c>
      <c r="X4" s="12">
        <f>Parameters!$B$30*W4</f>
        <v>245000000</v>
      </c>
      <c r="Y4" s="12">
        <f>(Parameters!$B$15+Parameters!$B$16*I4)*W4</f>
        <v>5633128</v>
      </c>
      <c r="Z4" s="12">
        <f>(Parameters!$C$15+Parameters!$C$16*R4)*Base_Scenario!W4</f>
        <v>1797760</v>
      </c>
      <c r="AA4" s="12">
        <f>X4+Y4+Z4</f>
        <v>252430888</v>
      </c>
      <c r="AB4" s="12">
        <f t="shared" ref="AB4:AB35" si="8">V4-AA4</f>
        <v>293930508.80000007</v>
      </c>
      <c r="AC4" s="6">
        <f>(1+Parameters!$B$39)^-Base_Scenario!A4</f>
        <v>0.99816879064039632</v>
      </c>
      <c r="AD4" s="12">
        <f t="shared" ref="AD4:AD35" si="9">AB4*AC4</f>
        <v>293392260.50121242</v>
      </c>
      <c r="AF4" s="12">
        <f t="shared" ref="AF4:AF35" si="10">IF(AND(ROUND((D4-H4-I4+E4-J4),0)=0,ROUND((M4-Q4-R4+N4-S4),0)=0),0,1)</f>
        <v>0</v>
      </c>
      <c r="AG4" s="12" t="s">
        <v>165</v>
      </c>
      <c r="AH4" s="12">
        <f t="shared" ref="AH4:AH35" si="11">IF(AND(Q4&lt;=P4,H4&lt;=G4),0,1)</f>
        <v>0</v>
      </c>
      <c r="AI4" s="12">
        <f t="shared" ref="AI4:AI35" si="12">IF(AND(Q4&lt;=O4,H4&lt;=F4),0,1)</f>
        <v>0</v>
      </c>
    </row>
    <row r="5" spans="1:35" x14ac:dyDescent="0.35">
      <c r="A5" s="5">
        <v>2</v>
      </c>
      <c r="B5" s="12">
        <f>B4*(1-Parameters!$B$9)</f>
        <v>119757.10650257995</v>
      </c>
      <c r="C5" s="21"/>
      <c r="D5" s="12">
        <f>B5*Parameters!$B$6</f>
        <v>83829.974551805964</v>
      </c>
      <c r="E5" s="12">
        <f>I4</f>
        <v>40828.199999999997</v>
      </c>
      <c r="F5" s="12">
        <f t="shared" si="2"/>
        <v>124658.17455180596</v>
      </c>
      <c r="G5" s="12">
        <f>Parameters!$B$25*Demand_Volatility!B6</f>
        <v>79723.8</v>
      </c>
      <c r="H5" s="12">
        <f t="shared" si="3"/>
        <v>79723.8</v>
      </c>
      <c r="I5" s="12">
        <f>MIN(Parameters!$B$13,MAX(0,E5+D5-H5))</f>
        <v>44934.374551805959</v>
      </c>
      <c r="J5" s="12">
        <f t="shared" si="4"/>
        <v>0</v>
      </c>
      <c r="K5" s="12">
        <f>(H5*Parameters!$B$20*Parameters!$B$24)+(J5*Parameters!$B$20*Parameters!$B$24*(1-Parameters!$B$22))</f>
        <v>476429428.80000007</v>
      </c>
      <c r="M5" s="12">
        <f>B5*Parameters!$B$7</f>
        <v>35927.131950773983</v>
      </c>
      <c r="N5" s="12">
        <f>R4</f>
        <v>11910.400000000001</v>
      </c>
      <c r="O5" s="12">
        <f t="shared" ref="O5:O68" si="13">M5+N5</f>
        <v>47837.531950773984</v>
      </c>
      <c r="P5" s="12">
        <f>Parameters!$B$26*Demand_Volatility!C6</f>
        <v>31856</v>
      </c>
      <c r="Q5" s="12">
        <f t="shared" si="5"/>
        <v>31856</v>
      </c>
      <c r="R5" s="12">
        <f>MIN(Parameters!$C$13,MAX(0,N5+M5-Q5))</f>
        <v>15000</v>
      </c>
      <c r="S5" s="12">
        <f t="shared" si="6"/>
        <v>981.53195077398414</v>
      </c>
      <c r="T5" s="12">
        <f>(Q5*Parameters!$B$21)+(S5*Parameters!$B$21*(1-Parameters!$B$23))</f>
        <v>103509651.12123838</v>
      </c>
      <c r="V5" s="12">
        <f t="shared" si="7"/>
        <v>579939079.92123842</v>
      </c>
      <c r="W5" s="26">
        <f>W4*(1+Parameters!$B$36)</f>
        <v>1.0009387127031117</v>
      </c>
      <c r="X5" s="12">
        <f>Parameters!$B$30*W5</f>
        <v>245229984.61226237</v>
      </c>
      <c r="Y5" s="12">
        <f>(Parameters!$B$15+Parameters!$B$16*I5)*W5</f>
        <v>5802817.0516126109</v>
      </c>
      <c r="Z5" s="12">
        <f>(Parameters!$C$15+Parameters!$C$16*R5)*Base_Scenario!W5</f>
        <v>1876760.0863183346</v>
      </c>
      <c r="AA5" s="12">
        <f t="shared" ref="AA5:AA68" si="14">X5+Y5+Z5</f>
        <v>252909561.75019333</v>
      </c>
      <c r="AB5" s="12">
        <f t="shared" si="8"/>
        <v>327029518.17104506</v>
      </c>
      <c r="AC5" s="6">
        <f>(1+Parameters!$B$39)^-Base_Scenario!A5</f>
        <v>0.99634093460851114</v>
      </c>
      <c r="AD5" s="12">
        <f t="shared" si="9"/>
        <v>325832895.77911013</v>
      </c>
      <c r="AF5" s="12">
        <f t="shared" si="10"/>
        <v>0</v>
      </c>
      <c r="AG5" s="12">
        <f t="shared" ref="AG5:AG36" si="15">IF(B5&lt;B4,0,1)</f>
        <v>0</v>
      </c>
      <c r="AH5" s="12">
        <f t="shared" si="11"/>
        <v>0</v>
      </c>
      <c r="AI5" s="12">
        <f t="shared" si="12"/>
        <v>0</v>
      </c>
    </row>
    <row r="6" spans="1:35" x14ac:dyDescent="0.35">
      <c r="A6" s="5">
        <v>3</v>
      </c>
      <c r="B6" s="12">
        <f>B5*(1-Parameters!$B$9)</f>
        <v>119514.70464891897</v>
      </c>
      <c r="C6" s="21"/>
      <c r="D6" s="12">
        <f>B6*Parameters!$B$6</f>
        <v>83660.293254243268</v>
      </c>
      <c r="E6" s="12">
        <f t="shared" ref="E6:E69" si="16">I5</f>
        <v>44934.374551805959</v>
      </c>
      <c r="F6" s="12">
        <f t="shared" si="2"/>
        <v>128594.66780604923</v>
      </c>
      <c r="G6" s="12">
        <f>Parameters!$B$25*Demand_Volatility!B7</f>
        <v>78834.599999999991</v>
      </c>
      <c r="H6" s="12">
        <f t="shared" si="3"/>
        <v>78834.599999999991</v>
      </c>
      <c r="I6" s="12">
        <f>MIN(Parameters!$B$13,MAX(0,E6+D6-H6))</f>
        <v>49760.067806049236</v>
      </c>
      <c r="J6" s="12">
        <f t="shared" si="4"/>
        <v>0</v>
      </c>
      <c r="K6" s="12">
        <f>(H6*Parameters!$B$20*Parameters!$B$24)+(J6*Parameters!$B$20*Parameters!$B$24*(1-Parameters!$B$22))</f>
        <v>471115569.59999996</v>
      </c>
      <c r="M6" s="12">
        <f>B6*Parameters!$B$7</f>
        <v>35854.411394675692</v>
      </c>
      <c r="N6" s="12">
        <f t="shared" ref="N6:N69" si="17">R5</f>
        <v>15000</v>
      </c>
      <c r="O6" s="12">
        <f t="shared" si="13"/>
        <v>50854.411394675692</v>
      </c>
      <c r="P6" s="12">
        <f>Parameters!$B$26*Demand_Volatility!C7</f>
        <v>31190.400000000001</v>
      </c>
      <c r="Q6" s="12">
        <f t="shared" si="5"/>
        <v>31190.400000000001</v>
      </c>
      <c r="R6" s="12">
        <f>MIN(Parameters!$C$13,MAX(0,N6+M6-Q6))</f>
        <v>15000</v>
      </c>
      <c r="S6" s="12">
        <f t="shared" si="6"/>
        <v>4664.0113946756901</v>
      </c>
      <c r="T6" s="12">
        <f>(Q6*Parameters!$B$21)+(S6*Parameters!$B$21*(1-Parameters!$B$23))</f>
        <v>107271698.23148111</v>
      </c>
      <c r="V6" s="12">
        <f t="shared" si="7"/>
        <v>578387267.8314811</v>
      </c>
      <c r="W6" s="26">
        <f>W5*(1+Parameters!$B$36)</f>
        <v>1.0018783065877626</v>
      </c>
      <c r="X6" s="12">
        <f>Parameters!$B$30*W6</f>
        <v>245460185.11400184</v>
      </c>
      <c r="Y6" s="12">
        <f>(Parameters!$B$15+Parameters!$B$16*I6)*W6</f>
        <v>6001654.5251197247</v>
      </c>
      <c r="Z6" s="12">
        <f>(Parameters!$C$15+Parameters!$C$16*R6)*Base_Scenario!W6</f>
        <v>1878521.8248520547</v>
      </c>
      <c r="AA6" s="12">
        <f t="shared" si="14"/>
        <v>253340361.46397361</v>
      </c>
      <c r="AB6" s="12">
        <f t="shared" si="8"/>
        <v>325046906.36750746</v>
      </c>
      <c r="AC6" s="6">
        <f>(1+Parameters!$B$39)^-Base_Scenario!A6</f>
        <v>0.99451642576369992</v>
      </c>
      <c r="AD6" s="12">
        <f t="shared" si="9"/>
        <v>323264487.52616155</v>
      </c>
      <c r="AF6" s="12">
        <f t="shared" si="10"/>
        <v>0</v>
      </c>
      <c r="AG6" s="12">
        <f t="shared" si="15"/>
        <v>0</v>
      </c>
      <c r="AH6" s="12">
        <f t="shared" si="11"/>
        <v>0</v>
      </c>
      <c r="AI6" s="12">
        <f t="shared" si="12"/>
        <v>0</v>
      </c>
    </row>
    <row r="7" spans="1:35" x14ac:dyDescent="0.35">
      <c r="A7" s="5">
        <v>4</v>
      </c>
      <c r="B7" s="12">
        <f>B6*(1-Parameters!$B$9)</f>
        <v>119272.79344387479</v>
      </c>
      <c r="C7" s="21"/>
      <c r="D7" s="12">
        <f>B7*Parameters!$B$6</f>
        <v>83490.955410712355</v>
      </c>
      <c r="E7" s="12">
        <f t="shared" si="16"/>
        <v>49760.067806049236</v>
      </c>
      <c r="F7" s="12">
        <f t="shared" si="2"/>
        <v>133251.02321676159</v>
      </c>
      <c r="G7" s="12">
        <f>Parameters!$B$25*Demand_Volatility!B8</f>
        <v>75784.800000000003</v>
      </c>
      <c r="H7" s="12">
        <f t="shared" si="3"/>
        <v>75784.800000000003</v>
      </c>
      <c r="I7" s="12">
        <f>MIN(Parameters!$B$13,MAX(0,E7+D7-H7))</f>
        <v>50000</v>
      </c>
      <c r="J7" s="12">
        <f t="shared" si="4"/>
        <v>7466.2232167615875</v>
      </c>
      <c r="K7" s="12">
        <f>(H7*Parameters!$B$20*Parameters!$B$24)+(J7*Parameters!$B$20*Parameters!$B$24*(1-Parameters!$B$22))</f>
        <v>466275409.78301024</v>
      </c>
      <c r="M7" s="12">
        <f>B7*Parameters!$B$7</f>
        <v>35781.838033162436</v>
      </c>
      <c r="N7" s="12">
        <f t="shared" si="17"/>
        <v>15000</v>
      </c>
      <c r="O7" s="12">
        <f t="shared" si="13"/>
        <v>50781.838033162436</v>
      </c>
      <c r="P7" s="12">
        <f>Parameters!$B$26*Demand_Volatility!C8</f>
        <v>34704</v>
      </c>
      <c r="Q7" s="12">
        <f t="shared" si="5"/>
        <v>34704</v>
      </c>
      <c r="R7" s="12">
        <f>MIN(Parameters!$C$13,MAX(0,N7+M7-Q7))</f>
        <v>15000</v>
      </c>
      <c r="S7" s="12">
        <f t="shared" si="6"/>
        <v>1077.8380331624357</v>
      </c>
      <c r="T7" s="12">
        <f>(Q7*Parameters!$B$21)+(S7*Parameters!$B$21*(1-Parameters!$B$23))</f>
        <v>112777340.8530599</v>
      </c>
      <c r="V7" s="12">
        <f t="shared" si="7"/>
        <v>579052750.63607013</v>
      </c>
      <c r="W7" s="26">
        <f>W6*(1+Parameters!$B$36)</f>
        <v>1.0028187824811285</v>
      </c>
      <c r="X7" s="12">
        <f>Parameters!$B$30*W7</f>
        <v>245690601.7078765</v>
      </c>
      <c r="Y7" s="12">
        <f>(Parameters!$B$15+Parameters!$B$16*I7)*W7</f>
        <v>6016912.694886771</v>
      </c>
      <c r="Z7" s="12">
        <f>(Parameters!$C$15+Parameters!$C$16*R7)*Base_Scenario!W7</f>
        <v>1880285.2171521161</v>
      </c>
      <c r="AA7" s="12">
        <f t="shared" si="14"/>
        <v>253587799.6199154</v>
      </c>
      <c r="AB7" s="12">
        <f t="shared" si="8"/>
        <v>325464951.01615477</v>
      </c>
      <c r="AC7" s="6">
        <f>(1+Parameters!$B$39)^-Base_Scenario!A7</f>
        <v>0.99269525797656144</v>
      </c>
      <c r="AD7" s="12">
        <f t="shared" si="9"/>
        <v>323087513.5113107</v>
      </c>
      <c r="AF7" s="12">
        <f t="shared" si="10"/>
        <v>0</v>
      </c>
      <c r="AG7" s="12">
        <f t="shared" si="15"/>
        <v>0</v>
      </c>
      <c r="AH7" s="12">
        <f t="shared" si="11"/>
        <v>0</v>
      </c>
      <c r="AI7" s="12">
        <f t="shared" si="12"/>
        <v>0</v>
      </c>
    </row>
    <row r="8" spans="1:35" x14ac:dyDescent="0.35">
      <c r="A8" s="5">
        <v>5</v>
      </c>
      <c r="B8" s="12">
        <f>B7*(1-Parameters!$B$9)</f>
        <v>119031.37189431944</v>
      </c>
      <c r="C8" s="21"/>
      <c r="D8" s="12">
        <f>B8*Parameters!$B$6</f>
        <v>83321.960326023604</v>
      </c>
      <c r="E8" s="12">
        <f t="shared" si="16"/>
        <v>50000</v>
      </c>
      <c r="F8" s="12">
        <f t="shared" si="2"/>
        <v>133321.9603260236</v>
      </c>
      <c r="G8" s="12">
        <f>Parameters!$B$25*Demand_Volatility!B9</f>
        <v>76440</v>
      </c>
      <c r="H8" s="12">
        <f t="shared" si="3"/>
        <v>76440</v>
      </c>
      <c r="I8" s="12">
        <f>MIN(Parameters!$B$13,MAX(0,E8+D8-H8))</f>
        <v>50000</v>
      </c>
      <c r="J8" s="12">
        <f t="shared" si="4"/>
        <v>6881.9603260236036</v>
      </c>
      <c r="K8" s="12">
        <f>(H8*Parameters!$B$20*Parameters!$B$24)+(J8*Parameters!$B$20*Parameters!$B$24*(1-Parameters!$B$22))</f>
        <v>469143418.47249514</v>
      </c>
      <c r="M8" s="12">
        <f>B8*Parameters!$B$7</f>
        <v>35709.411568295829</v>
      </c>
      <c r="N8" s="12">
        <f t="shared" si="17"/>
        <v>15000</v>
      </c>
      <c r="O8" s="12">
        <f t="shared" si="13"/>
        <v>50709.411568295829</v>
      </c>
      <c r="P8" s="12">
        <f>Parameters!$B$26*Demand_Volatility!C9</f>
        <v>32384</v>
      </c>
      <c r="Q8" s="12">
        <f t="shared" si="5"/>
        <v>32384</v>
      </c>
      <c r="R8" s="12">
        <f>MIN(Parameters!$C$13,MAX(0,N8+M8-Q8))</f>
        <v>15000</v>
      </c>
      <c r="S8" s="12">
        <f t="shared" si="6"/>
        <v>3325.4115682958291</v>
      </c>
      <c r="T8" s="12">
        <f>(Q8*Parameters!$B$21)+(S8*Parameters!$B$21*(1-Parameters!$B$23))</f>
        <v>108949458.50927332</v>
      </c>
      <c r="V8" s="12">
        <f t="shared" si="7"/>
        <v>578092876.98176849</v>
      </c>
      <c r="W8" s="26">
        <f>W7*(1+Parameters!$B$36)</f>
        <v>1.0037601412111625</v>
      </c>
      <c r="X8" s="12">
        <f>Parameters!$B$30*W8</f>
        <v>245921234.59673482</v>
      </c>
      <c r="Y8" s="12">
        <f>(Parameters!$B$15+Parameters!$B$16*I8)*W8</f>
        <v>6022560.8472669749</v>
      </c>
      <c r="Z8" s="12">
        <f>(Parameters!$C$15+Parameters!$C$16*R8)*Base_Scenario!W8</f>
        <v>1882050.2647709297</v>
      </c>
      <c r="AA8" s="12">
        <f t="shared" si="14"/>
        <v>253825845.70877272</v>
      </c>
      <c r="AB8" s="12">
        <f t="shared" si="8"/>
        <v>324267031.27299577</v>
      </c>
      <c r="AC8" s="6">
        <f>(1+Parameters!$B$39)^-Base_Scenario!A8</f>
        <v>0.99087742512892063</v>
      </c>
      <c r="AD8" s="12">
        <f t="shared" si="9"/>
        <v>321308881.00198525</v>
      </c>
      <c r="AF8" s="12">
        <f t="shared" si="10"/>
        <v>0</v>
      </c>
      <c r="AG8" s="12">
        <f t="shared" si="15"/>
        <v>0</v>
      </c>
      <c r="AH8" s="12">
        <f t="shared" si="11"/>
        <v>0</v>
      </c>
      <c r="AI8" s="12">
        <f t="shared" si="12"/>
        <v>0</v>
      </c>
    </row>
    <row r="9" spans="1:35" x14ac:dyDescent="0.35">
      <c r="A9" s="5">
        <v>6</v>
      </c>
      <c r="B9" s="12">
        <f>B8*(1-Parameters!$B$9)</f>
        <v>118790.43900913512</v>
      </c>
      <c r="C9" s="21"/>
      <c r="D9" s="12">
        <f>B9*Parameters!$B$6</f>
        <v>83153.307306394578</v>
      </c>
      <c r="E9" s="12">
        <f t="shared" si="16"/>
        <v>50000</v>
      </c>
      <c r="F9" s="12">
        <f t="shared" si="2"/>
        <v>133153.30730639456</v>
      </c>
      <c r="G9" s="12">
        <f>Parameters!$B$25*Demand_Volatility!B10</f>
        <v>78210.599999999991</v>
      </c>
      <c r="H9" s="12">
        <f t="shared" si="3"/>
        <v>78210.599999999991</v>
      </c>
      <c r="I9" s="12">
        <f>MIN(Parameters!$B$13,MAX(0,E9+D9-H9))</f>
        <v>50000</v>
      </c>
      <c r="J9" s="12">
        <f t="shared" si="4"/>
        <v>4942.7073063945718</v>
      </c>
      <c r="K9" s="12">
        <f>(H9*Parameters!$B$20*Parameters!$B$24)+(J9*Parameters!$B$20*Parameters!$B$24*(1-Parameters!$B$22))</f>
        <v>476247831.25890416</v>
      </c>
      <c r="M9" s="12">
        <f>B9*Parameters!$B$7</f>
        <v>35637.131702740538</v>
      </c>
      <c r="N9" s="12">
        <f t="shared" si="17"/>
        <v>15000</v>
      </c>
      <c r="O9" s="12">
        <f t="shared" si="13"/>
        <v>50637.131702740538</v>
      </c>
      <c r="P9" s="12">
        <f>Parameters!$B$26*Demand_Volatility!C10</f>
        <v>31363.200000000001</v>
      </c>
      <c r="Q9" s="12">
        <f t="shared" si="5"/>
        <v>31363.200000000001</v>
      </c>
      <c r="R9" s="12">
        <f>MIN(Parameters!$C$13,MAX(0,N9+M9-Q9))</f>
        <v>15000</v>
      </c>
      <c r="S9" s="12">
        <f t="shared" si="6"/>
        <v>4273.9317027405377</v>
      </c>
      <c r="T9" s="12">
        <f>(Q9*Parameters!$B$21)+(S9*Parameters!$B$21*(1-Parameters!$B$23))</f>
        <v>107200530.72438486</v>
      </c>
      <c r="V9" s="12">
        <f t="shared" si="7"/>
        <v>583448361.983289</v>
      </c>
      <c r="W9" s="26">
        <f>W8*(1+Parameters!$B$36)</f>
        <v>1.0047023836065947</v>
      </c>
      <c r="X9" s="12">
        <f>Parameters!$B$30*W9</f>
        <v>246152083.9836157</v>
      </c>
      <c r="Y9" s="12">
        <f>(Parameters!$B$15+Parameters!$B$16*I9)*W9</f>
        <v>6028214.3016395681</v>
      </c>
      <c r="Z9" s="12">
        <f>(Parameters!$C$15+Parameters!$C$16*R9)*Base_Scenario!W9</f>
        <v>1883816.969262365</v>
      </c>
      <c r="AA9" s="12">
        <f t="shared" si="14"/>
        <v>254064115.25451761</v>
      </c>
      <c r="AB9" s="12">
        <f t="shared" si="8"/>
        <v>329384246.72877139</v>
      </c>
      <c r="AC9" s="6">
        <f>(1+Parameters!$B$39)^-Base_Scenario!A9</f>
        <v>0.98906292111380434</v>
      </c>
      <c r="AD9" s="12">
        <f t="shared" si="9"/>
        <v>325781745.23842865</v>
      </c>
      <c r="AF9" s="12">
        <f t="shared" si="10"/>
        <v>0</v>
      </c>
      <c r="AG9" s="12">
        <f t="shared" si="15"/>
        <v>0</v>
      </c>
      <c r="AH9" s="12">
        <f t="shared" si="11"/>
        <v>0</v>
      </c>
      <c r="AI9" s="12">
        <f t="shared" si="12"/>
        <v>0</v>
      </c>
    </row>
    <row r="10" spans="1:35" x14ac:dyDescent="0.35">
      <c r="A10" s="5">
        <v>7</v>
      </c>
      <c r="B10" s="12">
        <f>B9*(1-Parameters!$B$9)</f>
        <v>118549.99379921019</v>
      </c>
      <c r="C10" s="21"/>
      <c r="D10" s="12">
        <f>B10*Parameters!$B$6</f>
        <v>82984.99565944713</v>
      </c>
      <c r="E10" s="12">
        <f t="shared" si="16"/>
        <v>50000</v>
      </c>
      <c r="F10" s="12">
        <f t="shared" si="2"/>
        <v>132984.99565944713</v>
      </c>
      <c r="G10" s="12">
        <f>Parameters!$B$25*Demand_Volatility!B11</f>
        <v>76486.8</v>
      </c>
      <c r="H10" s="12">
        <f t="shared" si="3"/>
        <v>76486.8</v>
      </c>
      <c r="I10" s="12">
        <f>MIN(Parameters!$B$13,MAX(0,E10+D10-H10))</f>
        <v>50000</v>
      </c>
      <c r="J10" s="12">
        <f t="shared" si="4"/>
        <v>6498.1956594471267</v>
      </c>
      <c r="K10" s="12">
        <f>(H10*Parameters!$B$20*Parameters!$B$24)+(J10*Parameters!$B$20*Parameters!$B$24*(1-Parameters!$B$22))</f>
        <v>468735081.97825688</v>
      </c>
      <c r="M10" s="12">
        <f>B10*Parameters!$B$7</f>
        <v>35564.998139763054</v>
      </c>
      <c r="N10" s="12">
        <f t="shared" si="17"/>
        <v>15000</v>
      </c>
      <c r="O10" s="12">
        <f t="shared" si="13"/>
        <v>50564.998139763054</v>
      </c>
      <c r="P10" s="12">
        <f>Parameters!$B$26*Demand_Volatility!C11</f>
        <v>30192</v>
      </c>
      <c r="Q10" s="12">
        <f t="shared" si="5"/>
        <v>30192</v>
      </c>
      <c r="R10" s="12">
        <f>MIN(Parameters!$C$13,MAX(0,N10+M10-Q10))</f>
        <v>15000</v>
      </c>
      <c r="S10" s="12">
        <f t="shared" si="6"/>
        <v>5372.9981397630545</v>
      </c>
      <c r="T10" s="12">
        <f>(Q10*Parameters!$B$21)+(S10*Parameters!$B$21*(1-Parameters!$B$23))</f>
        <v>105211197.02362089</v>
      </c>
      <c r="V10" s="12">
        <f t="shared" si="7"/>
        <v>573946279.00187778</v>
      </c>
      <c r="W10" s="26">
        <f>W9*(1+Parameters!$B$36)</f>
        <v>1.0056455104969328</v>
      </c>
      <c r="X10" s="12">
        <f>Parameters!$B$30*W10</f>
        <v>246383150.07174855</v>
      </c>
      <c r="Y10" s="12">
        <f>(Parameters!$B$15+Parameters!$B$16*I10)*W10</f>
        <v>6033873.0629815971</v>
      </c>
      <c r="Z10" s="12">
        <f>(Parameters!$C$15+Parameters!$C$16*R10)*Base_Scenario!W10</f>
        <v>1885585.3321817492</v>
      </c>
      <c r="AA10" s="12">
        <f t="shared" si="14"/>
        <v>254302608.46691191</v>
      </c>
      <c r="AB10" s="12">
        <f t="shared" si="8"/>
        <v>319643670.53496587</v>
      </c>
      <c r="AC10" s="6">
        <f>(1+Parameters!$B$39)^-Base_Scenario!A10</f>
        <v>0.98725173983542391</v>
      </c>
      <c r="AD10" s="12">
        <f t="shared" si="9"/>
        <v>315568769.86302608</v>
      </c>
      <c r="AF10" s="12">
        <f t="shared" si="10"/>
        <v>0</v>
      </c>
      <c r="AG10" s="12">
        <f t="shared" si="15"/>
        <v>0</v>
      </c>
      <c r="AH10" s="12">
        <f t="shared" si="11"/>
        <v>0</v>
      </c>
      <c r="AI10" s="12">
        <f t="shared" si="12"/>
        <v>0</v>
      </c>
    </row>
    <row r="11" spans="1:35" x14ac:dyDescent="0.35">
      <c r="A11" s="5">
        <v>8</v>
      </c>
      <c r="B11" s="12">
        <f>B10*(1-Parameters!$B$9)</f>
        <v>118310.03527743506</v>
      </c>
      <c r="C11" s="21"/>
      <c r="D11" s="12">
        <f>B11*Parameters!$B$6</f>
        <v>82817.024694204534</v>
      </c>
      <c r="E11" s="12">
        <f t="shared" si="16"/>
        <v>50000</v>
      </c>
      <c r="F11" s="12">
        <f t="shared" si="2"/>
        <v>132817.02469420453</v>
      </c>
      <c r="G11" s="12">
        <f>Parameters!$B$25*Demand_Volatility!B12</f>
        <v>75020.399999999994</v>
      </c>
      <c r="H11" s="12">
        <f t="shared" si="3"/>
        <v>75020.399999999994</v>
      </c>
      <c r="I11" s="12">
        <f>MIN(Parameters!$B$13,MAX(0,E11+D11-H11))</f>
        <v>50000</v>
      </c>
      <c r="J11" s="12">
        <f t="shared" si="4"/>
        <v>7796.62469420454</v>
      </c>
      <c r="K11" s="12">
        <f>(H11*Parameters!$B$20*Parameters!$B$24)+(J11*Parameters!$B$20*Parameters!$B$24*(1-Parameters!$B$22))</f>
        <v>462299699.15176988</v>
      </c>
      <c r="M11" s="12">
        <f>B11*Parameters!$B$7</f>
        <v>35493.01058323052</v>
      </c>
      <c r="N11" s="12">
        <f t="shared" si="17"/>
        <v>15000</v>
      </c>
      <c r="O11" s="12">
        <f t="shared" si="13"/>
        <v>50493.01058323052</v>
      </c>
      <c r="P11" s="12">
        <f>Parameters!$B$26*Demand_Volatility!C12</f>
        <v>33625.599999999999</v>
      </c>
      <c r="Q11" s="12">
        <f t="shared" si="5"/>
        <v>33625.599999999999</v>
      </c>
      <c r="R11" s="12">
        <f>MIN(Parameters!$C$13,MAX(0,N11+M11-Q11))</f>
        <v>15000</v>
      </c>
      <c r="S11" s="12">
        <f t="shared" si="6"/>
        <v>1867.4105832305213</v>
      </c>
      <c r="T11" s="12">
        <f>(Q11*Parameters!$B$21)+(S11*Parameters!$B$21*(1-Parameters!$B$23))</f>
        <v>110589776.93316883</v>
      </c>
      <c r="V11" s="12">
        <f t="shared" si="7"/>
        <v>572889476.08493876</v>
      </c>
      <c r="W11" s="26">
        <f>W10*(1+Parameters!$B$36)</f>
        <v>1.0065895227124637</v>
      </c>
      <c r="X11" s="12">
        <f>Parameters!$B$30*W11</f>
        <v>246614433.06455362</v>
      </c>
      <c r="Y11" s="12">
        <f>(Parameters!$B$15+Parameters!$B$16*I11)*W11</f>
        <v>6039537.136274782</v>
      </c>
      <c r="Z11" s="12">
        <f>(Parameters!$C$15+Parameters!$C$16*R11)*Base_Scenario!W11</f>
        <v>1887355.3550858696</v>
      </c>
      <c r="AA11" s="12">
        <f t="shared" si="14"/>
        <v>254541325.55591428</v>
      </c>
      <c r="AB11" s="12">
        <f t="shared" si="8"/>
        <v>318348150.52902448</v>
      </c>
      <c r="AC11" s="6">
        <f>(1+Parameters!$B$39)^-Base_Scenario!A11</f>
        <v>0.985443875209152</v>
      </c>
      <c r="AD11" s="12">
        <f t="shared" si="9"/>
        <v>313714235.12298834</v>
      </c>
      <c r="AF11" s="12">
        <f t="shared" si="10"/>
        <v>0</v>
      </c>
      <c r="AG11" s="12">
        <f t="shared" si="15"/>
        <v>0</v>
      </c>
      <c r="AH11" s="12">
        <f t="shared" si="11"/>
        <v>0</v>
      </c>
      <c r="AI11" s="12">
        <f t="shared" si="12"/>
        <v>0</v>
      </c>
    </row>
    <row r="12" spans="1:35" x14ac:dyDescent="0.35">
      <c r="A12" s="5">
        <v>9</v>
      </c>
      <c r="B12" s="12">
        <f>B11*(1-Parameters!$B$9)</f>
        <v>118070.56245869817</v>
      </c>
      <c r="C12" s="21"/>
      <c r="D12" s="12">
        <f>B12*Parameters!$B$6</f>
        <v>82649.393721088709</v>
      </c>
      <c r="E12" s="12">
        <f t="shared" si="16"/>
        <v>50000</v>
      </c>
      <c r="F12" s="12">
        <f t="shared" si="2"/>
        <v>132649.39372108871</v>
      </c>
      <c r="G12" s="12">
        <f>Parameters!$B$25*Demand_Volatility!B13</f>
        <v>79996.800000000003</v>
      </c>
      <c r="H12" s="12">
        <f t="shared" si="3"/>
        <v>79996.800000000003</v>
      </c>
      <c r="I12" s="12">
        <f>MIN(Parameters!$B$13,MAX(0,E12+D12-H12))</f>
        <v>50000</v>
      </c>
      <c r="J12" s="12">
        <f t="shared" si="4"/>
        <v>2652.5937210887059</v>
      </c>
      <c r="K12" s="12">
        <f>(H12*Parameters!$B$20*Parameters!$B$24)+(J12*Parameters!$B$20*Parameters!$B$24*(1-Parameters!$B$22))</f>
        <v>482816446.82316792</v>
      </c>
      <c r="M12" s="12">
        <f>B12*Parameters!$B$7</f>
        <v>35421.168737609449</v>
      </c>
      <c r="N12" s="12">
        <f t="shared" si="17"/>
        <v>15000</v>
      </c>
      <c r="O12" s="12">
        <f t="shared" si="13"/>
        <v>50421.168737609449</v>
      </c>
      <c r="P12" s="12">
        <f>Parameters!$B$26*Demand_Volatility!C13</f>
        <v>32204.799999999999</v>
      </c>
      <c r="Q12" s="12">
        <f t="shared" si="5"/>
        <v>32204.799999999999</v>
      </c>
      <c r="R12" s="12">
        <f>MIN(Parameters!$C$13,MAX(0,N12+M12-Q12))</f>
        <v>15000</v>
      </c>
      <c r="S12" s="12">
        <f t="shared" si="6"/>
        <v>3216.3687376094495</v>
      </c>
      <c r="T12" s="12">
        <f>(Q12*Parameters!$B$21)+(S12*Parameters!$B$21*(1-Parameters!$B$23))</f>
        <v>108201549.98017512</v>
      </c>
      <c r="V12" s="12">
        <f t="shared" si="7"/>
        <v>591017996.80334306</v>
      </c>
      <c r="W12" s="26">
        <f>W11*(1+Parameters!$B$36)</f>
        <v>1.0075344210842532</v>
      </c>
      <c r="X12" s="12">
        <f>Parameters!$B$30*W12</f>
        <v>246845933.16564202</v>
      </c>
      <c r="Y12" s="12">
        <f>(Parameters!$B$15+Parameters!$B$16*I12)*W12</f>
        <v>6045206.5265055187</v>
      </c>
      <c r="Z12" s="12">
        <f>(Parameters!$C$15+Parameters!$C$16*R12)*Base_Scenario!W12</f>
        <v>1889127.0395329746</v>
      </c>
      <c r="AA12" s="12">
        <f t="shared" si="14"/>
        <v>254780266.73168054</v>
      </c>
      <c r="AB12" s="12">
        <f t="shared" si="8"/>
        <v>336237730.07166255</v>
      </c>
      <c r="AC12" s="6">
        <f>(1+Parameters!$B$39)^-Base_Scenario!A12</f>
        <v>0.98363932116150488</v>
      </c>
      <c r="AD12" s="12">
        <f t="shared" si="9"/>
        <v>330736652.55657548</v>
      </c>
      <c r="AF12" s="12">
        <f t="shared" si="10"/>
        <v>0</v>
      </c>
      <c r="AG12" s="12">
        <f t="shared" si="15"/>
        <v>0</v>
      </c>
      <c r="AH12" s="12">
        <f t="shared" si="11"/>
        <v>0</v>
      </c>
      <c r="AI12" s="12">
        <f t="shared" si="12"/>
        <v>0</v>
      </c>
    </row>
    <row r="13" spans="1:35" x14ac:dyDescent="0.35">
      <c r="A13" s="5">
        <v>10</v>
      </c>
      <c r="B13" s="12">
        <f>B12*(1-Parameters!$B$9)</f>
        <v>117831.57435988195</v>
      </c>
      <c r="C13" s="21"/>
      <c r="D13" s="12">
        <f>B13*Parameters!$B$6</f>
        <v>82482.102051917362</v>
      </c>
      <c r="E13" s="12">
        <f t="shared" si="16"/>
        <v>50000</v>
      </c>
      <c r="F13" s="12">
        <f t="shared" si="2"/>
        <v>132482.10205191735</v>
      </c>
      <c r="G13" s="12">
        <f>Parameters!$B$25*Demand_Volatility!B14</f>
        <v>79169.999999999985</v>
      </c>
      <c r="H13" s="12">
        <f t="shared" si="3"/>
        <v>79169.999999999985</v>
      </c>
      <c r="I13" s="12">
        <f>MIN(Parameters!$B$13,MAX(0,E13+D13-H13))</f>
        <v>50000</v>
      </c>
      <c r="J13" s="12">
        <f t="shared" si="4"/>
        <v>3312.1020519173617</v>
      </c>
      <c r="K13" s="12">
        <f>(H13*Parameters!$B$20*Parameters!$B$24)+(J13*Parameters!$B$20*Parameters!$B$24*(1-Parameters!$B$22))</f>
        <v>479057856.55867738</v>
      </c>
      <c r="M13" s="12">
        <f>B13*Parameters!$B$7</f>
        <v>35349.472307964585</v>
      </c>
      <c r="N13" s="12">
        <f t="shared" si="17"/>
        <v>15000</v>
      </c>
      <c r="O13" s="12">
        <f t="shared" si="13"/>
        <v>50349.472307964585</v>
      </c>
      <c r="P13" s="12">
        <f>Parameters!$B$26*Demand_Volatility!C14</f>
        <v>32819.200000000004</v>
      </c>
      <c r="Q13" s="12">
        <f t="shared" si="5"/>
        <v>32819.200000000004</v>
      </c>
      <c r="R13" s="12">
        <f>MIN(Parameters!$C$13,MAX(0,N13+M13-Q13))</f>
        <v>15000</v>
      </c>
      <c r="S13" s="12">
        <f t="shared" si="6"/>
        <v>2530.2723079645802</v>
      </c>
      <c r="T13" s="12">
        <f>(Q13*Parameters!$B$21)+(S13*Parameters!$B$21*(1-Parameters!$B$23))</f>
        <v>109069875.69274335</v>
      </c>
      <c r="V13" s="12">
        <f t="shared" si="7"/>
        <v>588127732.25142074</v>
      </c>
      <c r="W13" s="26">
        <f>W12*(1+Parameters!$B$36)</f>
        <v>1.0084802064441474</v>
      </c>
      <c r="X13" s="12">
        <f>Parameters!$B$30*W13</f>
        <v>247077650.57881612</v>
      </c>
      <c r="Y13" s="12">
        <f>(Parameters!$B$15+Parameters!$B$16*I13)*W13</f>
        <v>6050881.2386648841</v>
      </c>
      <c r="Z13" s="12">
        <f>(Parameters!$C$15+Parameters!$C$16*R13)*Base_Scenario!W13</f>
        <v>1890900.3870827763</v>
      </c>
      <c r="AA13" s="12">
        <f t="shared" si="14"/>
        <v>255019432.2045638</v>
      </c>
      <c r="AB13" s="12">
        <f t="shared" si="8"/>
        <v>333108300.04685694</v>
      </c>
      <c r="AC13" s="6">
        <f>(1+Parameters!$B$39)^-Base_Scenario!A13</f>
        <v>0.98183807163011949</v>
      </c>
      <c r="AD13" s="12">
        <f t="shared" si="9"/>
        <v>327058410.96199328</v>
      </c>
      <c r="AF13" s="12">
        <f t="shared" si="10"/>
        <v>0</v>
      </c>
      <c r="AG13" s="12">
        <f t="shared" si="15"/>
        <v>0</v>
      </c>
      <c r="AH13" s="12">
        <f t="shared" si="11"/>
        <v>0</v>
      </c>
      <c r="AI13" s="12">
        <f t="shared" si="12"/>
        <v>0</v>
      </c>
    </row>
    <row r="14" spans="1:35" x14ac:dyDescent="0.35">
      <c r="A14" s="5">
        <v>11</v>
      </c>
      <c r="B14" s="12">
        <f>B13*(1-Parameters!$B$9)</f>
        <v>117593.06999985877</v>
      </c>
      <c r="C14" s="21"/>
      <c r="D14" s="12">
        <f>B14*Parameters!$B$6</f>
        <v>82315.148999901125</v>
      </c>
      <c r="E14" s="12">
        <f t="shared" si="16"/>
        <v>50000</v>
      </c>
      <c r="F14" s="12">
        <f t="shared" si="2"/>
        <v>132315.14899990114</v>
      </c>
      <c r="G14" s="12">
        <f>Parameters!$B$25*Demand_Volatility!B15</f>
        <v>77126.399999999994</v>
      </c>
      <c r="H14" s="12">
        <f t="shared" si="3"/>
        <v>77126.399999999994</v>
      </c>
      <c r="I14" s="12">
        <f>MIN(Parameters!$B$13,MAX(0,E14+D14-H14))</f>
        <v>50000</v>
      </c>
      <c r="J14" s="12">
        <f t="shared" si="4"/>
        <v>5188.748999901145</v>
      </c>
      <c r="K14" s="12">
        <f>(H14*Parameters!$B$20*Parameters!$B$24)+(J14*Parameters!$B$20*Parameters!$B$24*(1-Parameters!$B$22))</f>
        <v>470209755.60702276</v>
      </c>
      <c r="M14" s="12">
        <f>B14*Parameters!$B$7</f>
        <v>35277.920999957627</v>
      </c>
      <c r="N14" s="12">
        <f t="shared" si="17"/>
        <v>15000</v>
      </c>
      <c r="O14" s="12">
        <f t="shared" si="13"/>
        <v>50277.920999957627</v>
      </c>
      <c r="P14" s="12">
        <f>Parameters!$B$26*Demand_Volatility!C15</f>
        <v>33740.800000000003</v>
      </c>
      <c r="Q14" s="12">
        <f t="shared" si="5"/>
        <v>33740.800000000003</v>
      </c>
      <c r="R14" s="12">
        <f>MIN(Parameters!$C$13,MAX(0,N14+M14-Q14))</f>
        <v>15000</v>
      </c>
      <c r="S14" s="12">
        <f t="shared" si="6"/>
        <v>1537.120999957624</v>
      </c>
      <c r="T14" s="12">
        <f>(Q14*Parameters!$B$21)+(S14*Parameters!$B$21*(1-Parameters!$B$23))</f>
        <v>110429953.59993221</v>
      </c>
      <c r="V14" s="12">
        <f t="shared" si="7"/>
        <v>580639709.20695496</v>
      </c>
      <c r="W14" s="26">
        <f>W13*(1+Parameters!$B$36)</f>
        <v>1.0094268796247732</v>
      </c>
      <c r="X14" s="12">
        <f>Parameters!$B$30*W14</f>
        <v>247309585.50806943</v>
      </c>
      <c r="Y14" s="12">
        <f>(Parameters!$B$15+Parameters!$B$16*I14)*W14</f>
        <v>6056561.2777486388</v>
      </c>
      <c r="Z14" s="12">
        <f>(Parameters!$C$15+Parameters!$C$16*R14)*Base_Scenario!W14</f>
        <v>1892675.3992964497</v>
      </c>
      <c r="AA14" s="12">
        <f t="shared" si="14"/>
        <v>255258822.18511453</v>
      </c>
      <c r="AB14" s="12">
        <f t="shared" si="8"/>
        <v>325380887.02184045</v>
      </c>
      <c r="AC14" s="6">
        <f>(1+Parameters!$B$39)^-Base_Scenario!A14</f>
        <v>0.98004012056373524</v>
      </c>
      <c r="AD14" s="12">
        <f t="shared" si="9"/>
        <v>318886323.74601966</v>
      </c>
      <c r="AF14" s="12">
        <f t="shared" si="10"/>
        <v>0</v>
      </c>
      <c r="AG14" s="12">
        <f t="shared" si="15"/>
        <v>0</v>
      </c>
      <c r="AH14" s="12">
        <f t="shared" si="11"/>
        <v>0</v>
      </c>
      <c r="AI14" s="12">
        <f t="shared" si="12"/>
        <v>0</v>
      </c>
    </row>
    <row r="15" spans="1:35" x14ac:dyDescent="0.35">
      <c r="A15" s="5">
        <v>12</v>
      </c>
      <c r="B15" s="12">
        <f>B14*(1-Parameters!$B$9)</f>
        <v>117355.04839948688</v>
      </c>
      <c r="C15" s="21"/>
      <c r="D15" s="12">
        <f>B15*Parameters!$B$6</f>
        <v>82148.533879640818</v>
      </c>
      <c r="E15" s="12">
        <f t="shared" si="16"/>
        <v>50000</v>
      </c>
      <c r="F15" s="12">
        <f t="shared" si="2"/>
        <v>132148.5338796408</v>
      </c>
      <c r="G15" s="12">
        <f>Parameters!$B$25*Demand_Volatility!B16</f>
        <v>77961</v>
      </c>
      <c r="H15" s="12">
        <f t="shared" si="3"/>
        <v>77961</v>
      </c>
      <c r="I15" s="12">
        <f>MIN(Parameters!$B$13,MAX(0,E15+D15-H15))</f>
        <v>50000</v>
      </c>
      <c r="J15" s="12">
        <f t="shared" si="4"/>
        <v>4187.5338796408032</v>
      </c>
      <c r="K15" s="12">
        <f>(H15*Parameters!$B$20*Parameters!$B$24)+(J15*Parameters!$B$20*Parameters!$B$24*(1-Parameters!$B$22))</f>
        <v>473402346.73942006</v>
      </c>
      <c r="M15" s="12">
        <f>B15*Parameters!$B$7</f>
        <v>35206.514519846067</v>
      </c>
      <c r="N15" s="12">
        <f t="shared" si="17"/>
        <v>15000</v>
      </c>
      <c r="O15" s="12">
        <f t="shared" si="13"/>
        <v>50206.514519846067</v>
      </c>
      <c r="P15" s="12">
        <f>Parameters!$B$26*Demand_Volatility!C16</f>
        <v>32054.400000000001</v>
      </c>
      <c r="Q15" s="12">
        <f t="shared" si="5"/>
        <v>32054.400000000001</v>
      </c>
      <c r="R15" s="12">
        <f>MIN(Parameters!$C$13,MAX(0,N15+M15-Q15))</f>
        <v>15000</v>
      </c>
      <c r="S15" s="12">
        <f t="shared" si="6"/>
        <v>3152.1145198460654</v>
      </c>
      <c r="T15" s="12">
        <f>(Q15*Parameters!$B$21)+(S15*Parameters!$B$21*(1-Parameters!$B$23))</f>
        <v>107617463.23175371</v>
      </c>
      <c r="V15" s="12">
        <f t="shared" si="7"/>
        <v>581019809.97117376</v>
      </c>
      <c r="W15" s="26">
        <f>W14*(1+Parameters!$B$36)</f>
        <v>1.0103744414595395</v>
      </c>
      <c r="X15" s="12">
        <f>Parameters!$B$30*W15</f>
        <v>247541738.15758717</v>
      </c>
      <c r="Y15" s="12">
        <f>(Parameters!$B$15+Parameters!$B$16*I15)*W15</f>
        <v>6062246.648757237</v>
      </c>
      <c r="Z15" s="12">
        <f>(Parameters!$C$15+Parameters!$C$16*R15)*Base_Scenario!W15</f>
        <v>1894452.0777366366</v>
      </c>
      <c r="AA15" s="12">
        <f t="shared" si="14"/>
        <v>255498436.88408107</v>
      </c>
      <c r="AB15" s="12">
        <f t="shared" si="8"/>
        <v>325521373.0870927</v>
      </c>
      <c r="AC15" s="6">
        <f>(1+Parameters!$B$39)^-Base_Scenario!A15</f>
        <v>0.97824546192217154</v>
      </c>
      <c r="AD15" s="12">
        <f t="shared" si="9"/>
        <v>318439805.98112255</v>
      </c>
      <c r="AF15" s="12">
        <f t="shared" si="10"/>
        <v>0</v>
      </c>
      <c r="AG15" s="12">
        <f t="shared" si="15"/>
        <v>0</v>
      </c>
      <c r="AH15" s="12">
        <f t="shared" si="11"/>
        <v>0</v>
      </c>
      <c r="AI15" s="12">
        <f t="shared" si="12"/>
        <v>0</v>
      </c>
    </row>
    <row r="16" spans="1:35" x14ac:dyDescent="0.35">
      <c r="A16" s="5">
        <v>13</v>
      </c>
      <c r="B16" s="12">
        <f>B15*(1-Parameters!$B$9)</f>
        <v>117117.50858160647</v>
      </c>
      <c r="C16" s="21"/>
      <c r="D16" s="12">
        <f>B16*Parameters!$B$6</f>
        <v>81982.256007124524</v>
      </c>
      <c r="E16" s="12">
        <f t="shared" si="16"/>
        <v>50000</v>
      </c>
      <c r="F16" s="12">
        <f t="shared" si="2"/>
        <v>131982.25600712452</v>
      </c>
      <c r="G16" s="12">
        <f>Parameters!$B$25*Demand_Volatility!B17</f>
        <v>78429</v>
      </c>
      <c r="H16" s="12">
        <f t="shared" si="3"/>
        <v>78429</v>
      </c>
      <c r="I16" s="12">
        <f>MIN(Parameters!$B$13,MAX(0,E16+D16-H16))</f>
        <v>50000</v>
      </c>
      <c r="J16" s="12">
        <f t="shared" si="4"/>
        <v>3553.2560071245243</v>
      </c>
      <c r="K16" s="12">
        <f>(H16*Parameters!$B$20*Parameters!$B$24)+(J16*Parameters!$B$20*Parameters!$B$24*(1-Parameters!$B$22))</f>
        <v>475061981.36957288</v>
      </c>
      <c r="M16" s="12">
        <f>B16*Parameters!$B$7</f>
        <v>35135.252574481936</v>
      </c>
      <c r="N16" s="12">
        <f t="shared" si="17"/>
        <v>15000</v>
      </c>
      <c r="O16" s="12">
        <f t="shared" si="13"/>
        <v>50135.252574481936</v>
      </c>
      <c r="P16" s="12">
        <f>Parameters!$B$26*Demand_Volatility!C17</f>
        <v>31756.799999999999</v>
      </c>
      <c r="Q16" s="12">
        <f t="shared" si="5"/>
        <v>31756.799999999999</v>
      </c>
      <c r="R16" s="12">
        <f>MIN(Parameters!$C$13,MAX(0,N16+M16-Q16))</f>
        <v>15000</v>
      </c>
      <c r="S16" s="12">
        <f t="shared" si="6"/>
        <v>3378.4525744819366</v>
      </c>
      <c r="T16" s="12">
        <f>(Q16*Parameters!$B$21)+(S16*Parameters!$B$21*(1-Parameters!$B$23))</f>
        <v>107027284.1191711</v>
      </c>
      <c r="V16" s="12">
        <f t="shared" si="7"/>
        <v>582089265.48874402</v>
      </c>
      <c r="W16" s="26">
        <f>W15*(1+Parameters!$B$36)</f>
        <v>1.011322892782637</v>
      </c>
      <c r="X16" s="12">
        <f>Parameters!$B$30*W16</f>
        <v>247774108.73174605</v>
      </c>
      <c r="Y16" s="12">
        <f>(Parameters!$B$15+Parameters!$B$16*I16)*W16</f>
        <v>6067937.3566958215</v>
      </c>
      <c r="Z16" s="12">
        <f>(Parameters!$C$15+Parameters!$C$16*R16)*Base_Scenario!W16</f>
        <v>1896230.4239674443</v>
      </c>
      <c r="AA16" s="12">
        <f t="shared" si="14"/>
        <v>255738276.51240933</v>
      </c>
      <c r="AB16" s="12">
        <f t="shared" si="8"/>
        <v>326350988.97633469</v>
      </c>
      <c r="AC16" s="6">
        <f>(1+Parameters!$B$39)^-Base_Scenario!A16</f>
        <v>0.97645408967630998</v>
      </c>
      <c r="AD16" s="12">
        <f t="shared" si="9"/>
        <v>318666757.85585034</v>
      </c>
      <c r="AF16" s="12">
        <f t="shared" si="10"/>
        <v>0</v>
      </c>
      <c r="AG16" s="12">
        <f t="shared" si="15"/>
        <v>0</v>
      </c>
      <c r="AH16" s="12">
        <f t="shared" si="11"/>
        <v>0</v>
      </c>
      <c r="AI16" s="12">
        <f t="shared" si="12"/>
        <v>0</v>
      </c>
    </row>
    <row r="17" spans="1:35" x14ac:dyDescent="0.35">
      <c r="A17" s="5">
        <v>14</v>
      </c>
      <c r="B17" s="12">
        <f>B16*(1-Parameters!$B$9)</f>
        <v>116880.44957103555</v>
      </c>
      <c r="C17" s="21"/>
      <c r="D17" s="12">
        <f>B17*Parameters!$B$6</f>
        <v>81816.314699724884</v>
      </c>
      <c r="E17" s="12">
        <f t="shared" si="16"/>
        <v>50000</v>
      </c>
      <c r="F17" s="12">
        <f t="shared" si="2"/>
        <v>131816.3146997249</v>
      </c>
      <c r="G17" s="12">
        <f>Parameters!$B$25*Demand_Volatility!B18</f>
        <v>79544.400000000009</v>
      </c>
      <c r="H17" s="12">
        <f t="shared" si="3"/>
        <v>79544.400000000009</v>
      </c>
      <c r="I17" s="12">
        <f>MIN(Parameters!$B$13,MAX(0,E17+D17-H17))</f>
        <v>50000</v>
      </c>
      <c r="J17" s="12">
        <f t="shared" si="4"/>
        <v>2271.9146997248899</v>
      </c>
      <c r="K17" s="12">
        <f>(H17*Parameters!$B$20*Parameters!$B$24)+(J17*Parameters!$B$20*Parameters!$B$24*(1-Parameters!$B$22))</f>
        <v>479430423.07366681</v>
      </c>
      <c r="M17" s="12">
        <f>B17*Parameters!$B$7</f>
        <v>35064.134871310664</v>
      </c>
      <c r="N17" s="12">
        <f t="shared" si="17"/>
        <v>15000</v>
      </c>
      <c r="O17" s="12">
        <f t="shared" si="13"/>
        <v>50064.134871310664</v>
      </c>
      <c r="P17" s="12">
        <f>Parameters!$B$26*Demand_Volatility!C18</f>
        <v>32854.400000000001</v>
      </c>
      <c r="Q17" s="12">
        <f t="shared" si="5"/>
        <v>32854.400000000001</v>
      </c>
      <c r="R17" s="12">
        <f>MIN(Parameters!$C$13,MAX(0,N17+M17-Q17))</f>
        <v>15000</v>
      </c>
      <c r="S17" s="12">
        <f t="shared" si="6"/>
        <v>2209.7348713106621</v>
      </c>
      <c r="T17" s="12">
        <f>(Q17*Parameters!$B$21)+(S17*Parameters!$B$21*(1-Parameters!$B$23))</f>
        <v>108669655.79409707</v>
      </c>
      <c r="V17" s="12">
        <f t="shared" si="7"/>
        <v>588100078.86776388</v>
      </c>
      <c r="W17" s="26">
        <f>W16*(1+Parameters!$B$36)</f>
        <v>1.0122722344290398</v>
      </c>
      <c r="X17" s="12">
        <f>Parameters!$B$30*W17</f>
        <v>248006697.43511474</v>
      </c>
      <c r="Y17" s="12">
        <f>(Parameters!$B$15+Parameters!$B$16*I17)*W17</f>
        <v>6073633.406574239</v>
      </c>
      <c r="Z17" s="12">
        <f>(Parameters!$C$15+Parameters!$C$16*R17)*Base_Scenario!W17</f>
        <v>1898010.4395544496</v>
      </c>
      <c r="AA17" s="12">
        <f t="shared" si="14"/>
        <v>255978341.28124344</v>
      </c>
      <c r="AB17" s="12">
        <f t="shared" si="8"/>
        <v>332121737.58652043</v>
      </c>
      <c r="AC17" s="6">
        <f>(1+Parameters!$B$39)^-Base_Scenario!A17</f>
        <v>0.97466599780807106</v>
      </c>
      <c r="AD17" s="12">
        <f t="shared" si="9"/>
        <v>323707764.75851625</v>
      </c>
      <c r="AF17" s="12">
        <f t="shared" si="10"/>
        <v>0</v>
      </c>
      <c r="AG17" s="12">
        <f t="shared" si="15"/>
        <v>0</v>
      </c>
      <c r="AH17" s="12">
        <f t="shared" si="11"/>
        <v>0</v>
      </c>
      <c r="AI17" s="12">
        <f t="shared" si="12"/>
        <v>0</v>
      </c>
    </row>
    <row r="18" spans="1:35" x14ac:dyDescent="0.35">
      <c r="A18" s="5">
        <v>15</v>
      </c>
      <c r="B18" s="12">
        <f>B17*(1-Parameters!$B$9)</f>
        <v>116643.87039456608</v>
      </c>
      <c r="C18" s="21"/>
      <c r="D18" s="12">
        <f>B18*Parameters!$B$6</f>
        <v>81650.709276196256</v>
      </c>
      <c r="E18" s="12">
        <f t="shared" si="16"/>
        <v>50000</v>
      </c>
      <c r="F18" s="12">
        <f t="shared" si="2"/>
        <v>131650.70927619626</v>
      </c>
      <c r="G18" s="12">
        <f>Parameters!$B$25*Demand_Volatility!B19</f>
        <v>80394.599999999991</v>
      </c>
      <c r="H18" s="12">
        <f t="shared" si="3"/>
        <v>80394.599999999991</v>
      </c>
      <c r="I18" s="12">
        <f>MIN(Parameters!$B$13,MAX(0,E18+D18-H18))</f>
        <v>50000</v>
      </c>
      <c r="J18" s="12">
        <f t="shared" si="4"/>
        <v>1256.1092761962645</v>
      </c>
      <c r="K18" s="12">
        <f>(H18*Parameters!$B$20*Parameters!$B$24)+(J18*Parameters!$B$20*Parameters!$B$24*(1-Parameters!$B$22))</f>
        <v>482690082.3103646</v>
      </c>
      <c r="M18" s="12">
        <f>B18*Parameters!$B$7</f>
        <v>34993.161118369826</v>
      </c>
      <c r="N18" s="12">
        <f t="shared" si="17"/>
        <v>15000</v>
      </c>
      <c r="O18" s="12">
        <f t="shared" si="13"/>
        <v>49993.161118369826</v>
      </c>
      <c r="P18" s="12">
        <f>Parameters!$B$26*Demand_Volatility!C19</f>
        <v>31276.800000000003</v>
      </c>
      <c r="Q18" s="12">
        <f t="shared" si="5"/>
        <v>31276.800000000003</v>
      </c>
      <c r="R18" s="12">
        <f>MIN(Parameters!$C$13,MAX(0,N18+M18-Q18))</f>
        <v>15000</v>
      </c>
      <c r="S18" s="12">
        <f t="shared" si="6"/>
        <v>3716.3611183698231</v>
      </c>
      <c r="T18" s="12">
        <f>(Q18*Parameters!$B$21)+(S18*Parameters!$B$21*(1-Parameters!$B$23))</f>
        <v>106031937.78939173</v>
      </c>
      <c r="V18" s="12">
        <f t="shared" si="7"/>
        <v>588722020.09975636</v>
      </c>
      <c r="W18" s="26">
        <f>W17*(1+Parameters!$B$36)</f>
        <v>1.0132224672345056</v>
      </c>
      <c r="X18" s="12">
        <f>Parameters!$B$30*W18</f>
        <v>248239504.47245386</v>
      </c>
      <c r="Y18" s="12">
        <f>(Parameters!$B$15+Parameters!$B$16*I18)*W18</f>
        <v>6079334.8034070339</v>
      </c>
      <c r="Z18" s="12">
        <f>(Parameters!$C$15+Parameters!$C$16*R18)*Base_Scenario!W18</f>
        <v>1899792.126064698</v>
      </c>
      <c r="AA18" s="12">
        <f t="shared" si="14"/>
        <v>256218631.40192559</v>
      </c>
      <c r="AB18" s="12">
        <f t="shared" si="8"/>
        <v>332503388.6978308</v>
      </c>
      <c r="AC18" s="6">
        <f>(1+Parameters!$B$39)^-Base_Scenario!A18</f>
        <v>0.97288118031039761</v>
      </c>
      <c r="AD18" s="12">
        <f t="shared" si="9"/>
        <v>323486289.25355256</v>
      </c>
      <c r="AF18" s="12">
        <f t="shared" si="10"/>
        <v>0</v>
      </c>
      <c r="AG18" s="12">
        <f t="shared" si="15"/>
        <v>0</v>
      </c>
      <c r="AH18" s="12">
        <f t="shared" si="11"/>
        <v>0</v>
      </c>
      <c r="AI18" s="12">
        <f t="shared" si="12"/>
        <v>0</v>
      </c>
    </row>
    <row r="19" spans="1:35" x14ac:dyDescent="0.35">
      <c r="A19" s="5">
        <v>16</v>
      </c>
      <c r="B19" s="12">
        <f>B18*(1-Parameters!$B$9)</f>
        <v>116407.77008095986</v>
      </c>
      <c r="C19" s="21"/>
      <c r="D19" s="12">
        <f>B19*Parameters!$B$6</f>
        <v>81485.439056671894</v>
      </c>
      <c r="E19" s="12">
        <f t="shared" si="16"/>
        <v>50000</v>
      </c>
      <c r="F19" s="12">
        <f t="shared" si="2"/>
        <v>131485.43905667189</v>
      </c>
      <c r="G19" s="12">
        <f>Parameters!$B$25*Demand_Volatility!B20</f>
        <v>74786.399999999994</v>
      </c>
      <c r="H19" s="12">
        <f t="shared" si="3"/>
        <v>74786.399999999994</v>
      </c>
      <c r="I19" s="12">
        <f>MIN(Parameters!$B$13,MAX(0,E19+D19-H19))</f>
        <v>50000</v>
      </c>
      <c r="J19" s="12">
        <f t="shared" si="4"/>
        <v>6699.0390566718997</v>
      </c>
      <c r="K19" s="12">
        <f>(H19*Parameters!$B$20*Parameters!$B$24)+(J19*Parameters!$B$20*Parameters!$B$24*(1-Parameters!$B$22))</f>
        <v>458933563.62080133</v>
      </c>
      <c r="M19" s="12">
        <f>B19*Parameters!$B$7</f>
        <v>34922.33102428796</v>
      </c>
      <c r="N19" s="12">
        <f t="shared" si="17"/>
        <v>15000</v>
      </c>
      <c r="O19" s="12">
        <f t="shared" si="13"/>
        <v>49922.33102428796</v>
      </c>
      <c r="P19" s="12">
        <f>Parameters!$B$26*Demand_Volatility!C20</f>
        <v>32006.399999999998</v>
      </c>
      <c r="Q19" s="12">
        <f t="shared" si="5"/>
        <v>32006.399999999998</v>
      </c>
      <c r="R19" s="12">
        <f>MIN(Parameters!$C$13,MAX(0,N19+M19-Q19))</f>
        <v>15000</v>
      </c>
      <c r="S19" s="12">
        <f t="shared" si="6"/>
        <v>2915.9310242879619</v>
      </c>
      <c r="T19" s="12">
        <f>(Q19*Parameters!$B$21)+(S19*Parameters!$B$21*(1-Parameters!$B$23))</f>
        <v>107085969.63886073</v>
      </c>
      <c r="V19" s="12">
        <f t="shared" si="7"/>
        <v>566019533.25966203</v>
      </c>
      <c r="W19" s="26">
        <f>W18*(1+Parameters!$B$36)</f>
        <v>1.0141735920355768</v>
      </c>
      <c r="X19" s="12">
        <f>Parameters!$B$30*W19</f>
        <v>248472530.04871631</v>
      </c>
      <c r="Y19" s="12">
        <f>(Parameters!$B$15+Parameters!$B$16*I19)*W19</f>
        <v>6085041.5522134602</v>
      </c>
      <c r="Z19" s="12">
        <f>(Parameters!$C$15+Parameters!$C$16*R19)*Base_Scenario!W19</f>
        <v>1901575.4850667065</v>
      </c>
      <c r="AA19" s="12">
        <f t="shared" si="14"/>
        <v>256459147.08599648</v>
      </c>
      <c r="AB19" s="12">
        <f t="shared" si="8"/>
        <v>309560386.17366552</v>
      </c>
      <c r="AC19" s="6">
        <f>(1+Parameters!$B$39)^-Base_Scenario!A19</f>
        <v>0.97109963118723075</v>
      </c>
      <c r="AD19" s="12">
        <f t="shared" si="9"/>
        <v>300613976.84342331</v>
      </c>
      <c r="AF19" s="12">
        <f t="shared" si="10"/>
        <v>0</v>
      </c>
      <c r="AG19" s="12">
        <f t="shared" si="15"/>
        <v>0</v>
      </c>
      <c r="AH19" s="12">
        <f t="shared" si="11"/>
        <v>0</v>
      </c>
      <c r="AI19" s="12">
        <f t="shared" si="12"/>
        <v>0</v>
      </c>
    </row>
    <row r="20" spans="1:35" x14ac:dyDescent="0.35">
      <c r="A20" s="5">
        <v>17</v>
      </c>
      <c r="B20" s="12">
        <f>B19*(1-Parameters!$B$9)</f>
        <v>116172.14766094458</v>
      </c>
      <c r="C20" s="21"/>
      <c r="D20" s="12">
        <f>B20*Parameters!$B$6</f>
        <v>81320.503362661198</v>
      </c>
      <c r="E20" s="12">
        <f t="shared" si="16"/>
        <v>50000</v>
      </c>
      <c r="F20" s="12">
        <f t="shared" si="2"/>
        <v>131320.5033626612</v>
      </c>
      <c r="G20" s="12">
        <f>Parameters!$B$25*Demand_Volatility!B21</f>
        <v>74458.8</v>
      </c>
      <c r="H20" s="12">
        <f t="shared" si="3"/>
        <v>74458.8</v>
      </c>
      <c r="I20" s="12">
        <f>MIN(Parameters!$B$13,MAX(0,E20+D20-H20))</f>
        <v>50000</v>
      </c>
      <c r="J20" s="12">
        <f t="shared" si="4"/>
        <v>6861.7033626611956</v>
      </c>
      <c r="K20" s="12">
        <f>(H20*Parameters!$B$20*Parameters!$B$24)+(J20*Parameters!$B$20*Parameters!$B$24*(1-Parameters!$B$22))</f>
        <v>457267450.58857906</v>
      </c>
      <c r="M20" s="12">
        <f>B20*Parameters!$B$7</f>
        <v>34851.644298283376</v>
      </c>
      <c r="N20" s="12">
        <f t="shared" si="17"/>
        <v>15000</v>
      </c>
      <c r="O20" s="12">
        <f t="shared" si="13"/>
        <v>49851.644298283376</v>
      </c>
      <c r="P20" s="12">
        <f>Parameters!$B$26*Demand_Volatility!C21</f>
        <v>32307.200000000001</v>
      </c>
      <c r="Q20" s="12">
        <f t="shared" si="5"/>
        <v>32307.200000000001</v>
      </c>
      <c r="R20" s="12">
        <f>MIN(Parameters!$C$13,MAX(0,N20+M20-Q20))</f>
        <v>15000</v>
      </c>
      <c r="S20" s="12">
        <f t="shared" si="6"/>
        <v>2544.4442982833752</v>
      </c>
      <c r="T20" s="12">
        <f>(Q20*Parameters!$B$21)+(S20*Parameters!$B$21*(1-Parameters!$B$23))</f>
        <v>107454150.8772534</v>
      </c>
      <c r="V20" s="12">
        <f t="shared" si="7"/>
        <v>564721601.46583247</v>
      </c>
      <c r="W20" s="26">
        <f>W19*(1+Parameters!$B$36)</f>
        <v>1.0151256096695811</v>
      </c>
      <c r="X20" s="12">
        <f>Parameters!$B$30*W20</f>
        <v>248705774.36904737</v>
      </c>
      <c r="Y20" s="12">
        <f>(Parameters!$B$15+Parameters!$B$16*I20)*W20</f>
        <v>6090753.6580174863</v>
      </c>
      <c r="Z20" s="12">
        <f>(Parameters!$C$15+Parameters!$C$16*R20)*Base_Scenario!W20</f>
        <v>1903360.5181304645</v>
      </c>
      <c r="AA20" s="12">
        <f t="shared" si="14"/>
        <v>256699888.54519531</v>
      </c>
      <c r="AB20" s="12">
        <f t="shared" si="8"/>
        <v>308021712.92063713</v>
      </c>
      <c r="AC20" s="6">
        <f>(1+Parameters!$B$39)^-Base_Scenario!A20</f>
        <v>0.96932134445349305</v>
      </c>
      <c r="AD20" s="12">
        <f t="shared" si="9"/>
        <v>298572020.88909984</v>
      </c>
      <c r="AF20" s="12">
        <f t="shared" si="10"/>
        <v>0</v>
      </c>
      <c r="AG20" s="12">
        <f t="shared" si="15"/>
        <v>0</v>
      </c>
      <c r="AH20" s="12">
        <f t="shared" si="11"/>
        <v>0</v>
      </c>
      <c r="AI20" s="12">
        <f t="shared" si="12"/>
        <v>0</v>
      </c>
    </row>
    <row r="21" spans="1:35" x14ac:dyDescent="0.35">
      <c r="A21" s="5">
        <v>18</v>
      </c>
      <c r="B21" s="12">
        <f>B20*(1-Parameters!$B$9)</f>
        <v>115937.00216720987</v>
      </c>
      <c r="C21" s="21"/>
      <c r="D21" s="12">
        <f>B21*Parameters!$B$6</f>
        <v>81155.901517046907</v>
      </c>
      <c r="E21" s="12">
        <f t="shared" si="16"/>
        <v>50000</v>
      </c>
      <c r="F21" s="12">
        <f t="shared" si="2"/>
        <v>131155.90151704691</v>
      </c>
      <c r="G21" s="12">
        <f>Parameters!$B$25*Demand_Volatility!B22</f>
        <v>77656.800000000003</v>
      </c>
      <c r="H21" s="12">
        <f t="shared" si="3"/>
        <v>77656.800000000003</v>
      </c>
      <c r="I21" s="12">
        <f>MIN(Parameters!$B$13,MAX(0,E21+D21-H21))</f>
        <v>50000</v>
      </c>
      <c r="J21" s="12">
        <f t="shared" si="4"/>
        <v>3499.1015170469036</v>
      </c>
      <c r="K21" s="12">
        <f>(H21*Parameters!$B$20*Parameters!$B$24)+(J21*Parameters!$B$20*Parameters!$B$24*(1-Parameters!$B$22))</f>
        <v>470350225.99976176</v>
      </c>
      <c r="M21" s="12">
        <f>B21*Parameters!$B$7</f>
        <v>34781.10065016296</v>
      </c>
      <c r="N21" s="12">
        <f t="shared" si="17"/>
        <v>15000</v>
      </c>
      <c r="O21" s="12">
        <f t="shared" si="13"/>
        <v>49781.10065016296</v>
      </c>
      <c r="P21" s="12">
        <f>Parameters!$B$26*Demand_Volatility!C22</f>
        <v>32099.200000000004</v>
      </c>
      <c r="Q21" s="12">
        <f t="shared" si="5"/>
        <v>32099.200000000004</v>
      </c>
      <c r="R21" s="12">
        <f>MIN(Parameters!$C$13,MAX(0,N21+M21-Q21))</f>
        <v>15000</v>
      </c>
      <c r="S21" s="12">
        <f t="shared" si="6"/>
        <v>2681.9006501629556</v>
      </c>
      <c r="T21" s="12">
        <f>(Q21*Parameters!$B$21)+(S21*Parameters!$B$21*(1-Parameters!$B$23))</f>
        <v>107008481.04026075</v>
      </c>
      <c r="V21" s="12">
        <f t="shared" si="7"/>
        <v>577358707.04002249</v>
      </c>
      <c r="W21" s="26">
        <f>W20*(1+Parameters!$B$36)</f>
        <v>1.0160785209746319</v>
      </c>
      <c r="X21" s="12">
        <f>Parameters!$B$30*W21</f>
        <v>248939237.63878483</v>
      </c>
      <c r="Y21" s="12">
        <f>(Parameters!$B$15+Parameters!$B$16*I21)*W21</f>
        <v>6096471.1258477913</v>
      </c>
      <c r="Z21" s="12">
        <f>(Parameters!$C$15+Parameters!$C$16*R21)*Base_Scenario!W21</f>
        <v>1905147.2268274347</v>
      </c>
      <c r="AA21" s="12">
        <f t="shared" si="14"/>
        <v>256940855.99146006</v>
      </c>
      <c r="AB21" s="12">
        <f t="shared" si="8"/>
        <v>320417851.04856241</v>
      </c>
      <c r="AC21" s="6">
        <f>(1+Parameters!$B$39)^-Base_Scenario!A21</f>
        <v>0.96754631413506609</v>
      </c>
      <c r="AD21" s="12">
        <f t="shared" si="9"/>
        <v>310019110.7651152</v>
      </c>
      <c r="AF21" s="12">
        <f t="shared" si="10"/>
        <v>0</v>
      </c>
      <c r="AG21" s="12">
        <f t="shared" si="15"/>
        <v>0</v>
      </c>
      <c r="AH21" s="12">
        <f t="shared" si="11"/>
        <v>0</v>
      </c>
      <c r="AI21" s="12">
        <f t="shared" si="12"/>
        <v>0</v>
      </c>
    </row>
    <row r="22" spans="1:35" x14ac:dyDescent="0.35">
      <c r="A22" s="5">
        <v>19</v>
      </c>
      <c r="B22" s="12">
        <f>B21*(1-Parameters!$B$9)</f>
        <v>115702.33263440328</v>
      </c>
      <c r="C22" s="21"/>
      <c r="D22" s="12">
        <f>B22*Parameters!$B$6</f>
        <v>80991.632844082298</v>
      </c>
      <c r="E22" s="12">
        <f t="shared" si="16"/>
        <v>50000</v>
      </c>
      <c r="F22" s="12">
        <f t="shared" si="2"/>
        <v>130991.6328440823</v>
      </c>
      <c r="G22" s="12">
        <f>Parameters!$B$25*Demand_Volatility!B23</f>
        <v>80425.799999999988</v>
      </c>
      <c r="H22" s="12">
        <f t="shared" si="3"/>
        <v>80425.799999999988</v>
      </c>
      <c r="I22" s="12">
        <f>MIN(Parameters!$B$13,MAX(0,E22+D22-H22))</f>
        <v>50000</v>
      </c>
      <c r="J22" s="12">
        <f t="shared" si="4"/>
        <v>565.83284408230975</v>
      </c>
      <c r="K22" s="12">
        <f>(H22*Parameters!$B$20*Parameters!$B$24)+(J22*Parameters!$B$20*Parameters!$B$24*(1-Parameters!$B$22))</f>
        <v>481639005.9228707</v>
      </c>
      <c r="M22" s="12">
        <f>B22*Parameters!$B$7</f>
        <v>34710.699790320985</v>
      </c>
      <c r="N22" s="12">
        <f t="shared" si="17"/>
        <v>15000</v>
      </c>
      <c r="O22" s="12">
        <f t="shared" si="13"/>
        <v>49710.699790320985</v>
      </c>
      <c r="P22" s="12">
        <f>Parameters!$B$26*Demand_Volatility!C23</f>
        <v>34486.400000000001</v>
      </c>
      <c r="Q22" s="12">
        <f t="shared" si="5"/>
        <v>34486.400000000001</v>
      </c>
      <c r="R22" s="12">
        <f>MIN(Parameters!$C$13,MAX(0,N22+M22-Q22))</f>
        <v>15000</v>
      </c>
      <c r="S22" s="12">
        <f t="shared" si="6"/>
        <v>224.29979032098345</v>
      </c>
      <c r="T22" s="12">
        <f>(Q22*Parameters!$B$21)+(S22*Parameters!$B$21*(1-Parameters!$B$23))</f>
        <v>110715359.66451357</v>
      </c>
      <c r="V22" s="12">
        <f t="shared" si="7"/>
        <v>592354365.58738422</v>
      </c>
      <c r="W22" s="26">
        <f>W21*(1+Parameters!$B$36)</f>
        <v>1.0170323267896297</v>
      </c>
      <c r="X22" s="12">
        <f>Parameters!$B$30*W22</f>
        <v>249172920.06345928</v>
      </c>
      <c r="Y22" s="12">
        <f>(Parameters!$B$15+Parameters!$B$16*I22)*W22</f>
        <v>6102193.9607377788</v>
      </c>
      <c r="Z22" s="12">
        <f>(Parameters!$C$15+Parameters!$C$16*R22)*Base_Scenario!W22</f>
        <v>1906935.6127305557</v>
      </c>
      <c r="AA22" s="12">
        <f t="shared" si="14"/>
        <v>257182049.6369276</v>
      </c>
      <c r="AB22" s="12">
        <f t="shared" si="8"/>
        <v>335172315.95045662</v>
      </c>
      <c r="AC22" s="6">
        <f>(1+Parameters!$B$39)^-Base_Scenario!A22</f>
        <v>0.96577453426877191</v>
      </c>
      <c r="AD22" s="12">
        <f t="shared" si="9"/>
        <v>323700887.33683789</v>
      </c>
      <c r="AF22" s="12">
        <f t="shared" si="10"/>
        <v>0</v>
      </c>
      <c r="AG22" s="12">
        <f t="shared" si="15"/>
        <v>0</v>
      </c>
      <c r="AH22" s="12">
        <f t="shared" si="11"/>
        <v>0</v>
      </c>
      <c r="AI22" s="12">
        <f t="shared" si="12"/>
        <v>0</v>
      </c>
    </row>
    <row r="23" spans="1:35" x14ac:dyDescent="0.35">
      <c r="A23" s="5">
        <v>20</v>
      </c>
      <c r="B23" s="12">
        <f>B22*(1-Parameters!$B$9)</f>
        <v>115468.13809912639</v>
      </c>
      <c r="C23" s="21"/>
      <c r="D23" s="12">
        <f>B23*Parameters!$B$6</f>
        <v>80827.696669388461</v>
      </c>
      <c r="E23" s="12">
        <f t="shared" si="16"/>
        <v>50000</v>
      </c>
      <c r="F23" s="12">
        <f t="shared" si="2"/>
        <v>130827.69666938846</v>
      </c>
      <c r="G23" s="12">
        <f>Parameters!$B$25*Demand_Volatility!B24</f>
        <v>76736.399999999994</v>
      </c>
      <c r="H23" s="12">
        <f t="shared" si="3"/>
        <v>76736.399999999994</v>
      </c>
      <c r="I23" s="12">
        <f>MIN(Parameters!$B$13,MAX(0,E23+D23-H23))</f>
        <v>50000</v>
      </c>
      <c r="J23" s="12">
        <f t="shared" si="4"/>
        <v>4091.2966693884664</v>
      </c>
      <c r="K23" s="12">
        <f>(H23*Parameters!$B$20*Parameters!$B$24)+(J23*Parameters!$B$20*Parameters!$B$24*(1-Parameters!$B$22))</f>
        <v>465911603.0688796</v>
      </c>
      <c r="M23" s="12">
        <f>B23*Parameters!$B$7</f>
        <v>34640.441429737912</v>
      </c>
      <c r="N23" s="12">
        <f t="shared" si="17"/>
        <v>15000</v>
      </c>
      <c r="O23" s="12">
        <f t="shared" si="13"/>
        <v>49640.441429737912</v>
      </c>
      <c r="P23" s="12">
        <f>Parameters!$B$26*Demand_Volatility!C24</f>
        <v>31587.200000000001</v>
      </c>
      <c r="Q23" s="12">
        <f t="shared" si="5"/>
        <v>31587.200000000001</v>
      </c>
      <c r="R23" s="12">
        <f>MIN(Parameters!$C$13,MAX(0,N23+M23-Q23))</f>
        <v>15000</v>
      </c>
      <c r="S23" s="12">
        <f t="shared" si="6"/>
        <v>3053.2414297379109</v>
      </c>
      <c r="T23" s="12">
        <f>(Q23*Parameters!$B$21)+(S23*Parameters!$B$21*(1-Parameters!$B$23))</f>
        <v>105964226.28758065</v>
      </c>
      <c r="V23" s="12">
        <f t="shared" si="7"/>
        <v>571875829.35646021</v>
      </c>
      <c r="W23" s="26">
        <f>W22*(1+Parameters!$B$36)</f>
        <v>1.0179870279542624</v>
      </c>
      <c r="X23" s="12">
        <f>Parameters!$B$30*W23</f>
        <v>249406821.84879431</v>
      </c>
      <c r="Y23" s="12">
        <f>(Parameters!$B$15+Parameters!$B$16*I23)*W23</f>
        <v>6107922.1677255742</v>
      </c>
      <c r="Z23" s="12">
        <f>(Parameters!$C$15+Parameters!$C$16*R23)*Base_Scenario!W23</f>
        <v>1908725.6774142422</v>
      </c>
      <c r="AA23" s="12">
        <f t="shared" si="14"/>
        <v>257423469.69393411</v>
      </c>
      <c r="AB23" s="12">
        <f t="shared" si="8"/>
        <v>314452359.66252613</v>
      </c>
      <c r="AC23" s="6">
        <f>(1+Parameters!$B$39)^-Base_Scenario!A23</f>
        <v>0.96400599890235172</v>
      </c>
      <c r="AD23" s="12">
        <f t="shared" si="9"/>
        <v>303133961.08367509</v>
      </c>
      <c r="AF23" s="12">
        <f t="shared" si="10"/>
        <v>0</v>
      </c>
      <c r="AG23" s="12">
        <f t="shared" si="15"/>
        <v>0</v>
      </c>
      <c r="AH23" s="12">
        <f t="shared" si="11"/>
        <v>0</v>
      </c>
      <c r="AI23" s="12">
        <f t="shared" si="12"/>
        <v>0</v>
      </c>
    </row>
    <row r="24" spans="1:35" x14ac:dyDescent="0.35">
      <c r="A24" s="5">
        <v>21</v>
      </c>
      <c r="B24" s="12">
        <f>B23*(1-Parameters!$B$9)</f>
        <v>115234.41759993073</v>
      </c>
      <c r="C24" s="21"/>
      <c r="D24" s="12">
        <f>B24*Parameters!$B$6</f>
        <v>80664.092319951509</v>
      </c>
      <c r="E24" s="12">
        <f t="shared" si="16"/>
        <v>50000</v>
      </c>
      <c r="F24" s="12">
        <f t="shared" si="2"/>
        <v>130664.09231995151</v>
      </c>
      <c r="G24" s="12">
        <f>Parameters!$B$25*Demand_Volatility!B25</f>
        <v>75527.400000000009</v>
      </c>
      <c r="H24" s="12">
        <f t="shared" si="3"/>
        <v>75527.400000000009</v>
      </c>
      <c r="I24" s="12">
        <f>MIN(Parameters!$B$13,MAX(0,E24+D24-H24))</f>
        <v>50000</v>
      </c>
      <c r="J24" s="12">
        <f t="shared" si="4"/>
        <v>5136.6923199515004</v>
      </c>
      <c r="K24" s="12">
        <f>(H24*Parameters!$B$20*Parameters!$B$24)+(J24*Parameters!$B$20*Parameters!$B$24*(1-Parameters!$B$22))</f>
        <v>460560804.39120907</v>
      </c>
      <c r="M24" s="12">
        <f>B24*Parameters!$B$7</f>
        <v>34570.325279979217</v>
      </c>
      <c r="N24" s="12">
        <f t="shared" si="17"/>
        <v>15000</v>
      </c>
      <c r="O24" s="12">
        <f t="shared" si="13"/>
        <v>49570.325279979217</v>
      </c>
      <c r="P24" s="12">
        <f>Parameters!$B$26*Demand_Volatility!C25</f>
        <v>32000</v>
      </c>
      <c r="Q24" s="12">
        <f t="shared" si="5"/>
        <v>32000</v>
      </c>
      <c r="R24" s="12">
        <f>MIN(Parameters!$C$13,MAX(0,N24+M24-Q24))</f>
        <v>15000</v>
      </c>
      <c r="S24" s="12">
        <f t="shared" si="6"/>
        <v>2570.3252799792172</v>
      </c>
      <c r="T24" s="12">
        <f>(Q24*Parameters!$B$21)+(S24*Parameters!$B$21*(1-Parameters!$B$23))</f>
        <v>106512520.44796675</v>
      </c>
      <c r="V24" s="12">
        <f t="shared" si="7"/>
        <v>567073324.83917582</v>
      </c>
      <c r="W24" s="26">
        <f>W23*(1+Parameters!$B$36)</f>
        <v>1.0189426253090061</v>
      </c>
      <c r="X24" s="12">
        <f>Parameters!$B$30*W24</f>
        <v>249640943.20070651</v>
      </c>
      <c r="Y24" s="12">
        <f>(Parameters!$B$15+Parameters!$B$16*I24)*W24</f>
        <v>6113655.7518540369</v>
      </c>
      <c r="Z24" s="12">
        <f>(Parameters!$C$15+Parameters!$C$16*R24)*Base_Scenario!W24</f>
        <v>1910517.4224543865</v>
      </c>
      <c r="AA24" s="12">
        <f t="shared" si="14"/>
        <v>257665116.37501493</v>
      </c>
      <c r="AB24" s="12">
        <f t="shared" si="8"/>
        <v>309408208.46416092</v>
      </c>
      <c r="AC24" s="6">
        <f>(1+Parameters!$B$39)^-Base_Scenario!A24</f>
        <v>0.96224070209444779</v>
      </c>
      <c r="AD24" s="12">
        <f t="shared" si="9"/>
        <v>297725171.74633944</v>
      </c>
      <c r="AF24" s="12">
        <f t="shared" si="10"/>
        <v>0</v>
      </c>
      <c r="AG24" s="12">
        <f t="shared" si="15"/>
        <v>0</v>
      </c>
      <c r="AH24" s="12">
        <f t="shared" si="11"/>
        <v>0</v>
      </c>
      <c r="AI24" s="12">
        <f t="shared" si="12"/>
        <v>0</v>
      </c>
    </row>
    <row r="25" spans="1:35" x14ac:dyDescent="0.35">
      <c r="A25" s="5">
        <v>22</v>
      </c>
      <c r="B25" s="12">
        <f>B24*(1-Parameters!$B$9)</f>
        <v>115001.17017731398</v>
      </c>
      <c r="C25" s="21"/>
      <c r="D25" s="12">
        <f>B25*Parameters!$B$6</f>
        <v>80500.819124119778</v>
      </c>
      <c r="E25" s="12">
        <f t="shared" si="16"/>
        <v>50000</v>
      </c>
      <c r="F25" s="12">
        <f t="shared" si="2"/>
        <v>130500.81912411978</v>
      </c>
      <c r="G25" s="12">
        <f>Parameters!$B$25*Demand_Volatility!B26</f>
        <v>75582</v>
      </c>
      <c r="H25" s="12">
        <f t="shared" si="3"/>
        <v>75582</v>
      </c>
      <c r="I25" s="12">
        <f>MIN(Parameters!$B$13,MAX(0,E25+D25-H25))</f>
        <v>50000</v>
      </c>
      <c r="J25" s="12">
        <f t="shared" si="4"/>
        <v>4918.8191241197783</v>
      </c>
      <c r="K25" s="12">
        <f>(H25*Parameters!$B$20*Parameters!$B$24)+(J25*Parameters!$B$20*Parameters!$B$24*(1-Parameters!$B$22))</f>
        <v>460496490.92572194</v>
      </c>
      <c r="M25" s="12">
        <f>B25*Parameters!$B$7</f>
        <v>34500.351053194194</v>
      </c>
      <c r="N25" s="12">
        <f t="shared" si="17"/>
        <v>15000</v>
      </c>
      <c r="O25" s="12">
        <f t="shared" si="13"/>
        <v>49500.351053194194</v>
      </c>
      <c r="P25" s="12">
        <f>Parameters!$B$26*Demand_Volatility!C26</f>
        <v>33510.399999999994</v>
      </c>
      <c r="Q25" s="12">
        <f t="shared" si="5"/>
        <v>33510.399999999994</v>
      </c>
      <c r="R25" s="12">
        <f>MIN(Parameters!$C$13,MAX(0,N25+M25-Q25))</f>
        <v>15000</v>
      </c>
      <c r="S25" s="12">
        <f t="shared" si="6"/>
        <v>989.95105319419963</v>
      </c>
      <c r="T25" s="12">
        <f>(Q25*Parameters!$B$21)+(S25*Parameters!$B$21*(1-Parameters!$B$23))</f>
        <v>108817201.6851107</v>
      </c>
      <c r="V25" s="12">
        <f t="shared" si="7"/>
        <v>569313692.61083269</v>
      </c>
      <c r="W25" s="26">
        <f>W24*(1+Parameters!$B$36)</f>
        <v>1.0198991196951257</v>
      </c>
      <c r="X25" s="12">
        <f>Parameters!$B$30*W25</f>
        <v>249875284.32530579</v>
      </c>
      <c r="Y25" s="12">
        <f>(Parameters!$B$15+Parameters!$B$16*I25)*W25</f>
        <v>6119394.7181707546</v>
      </c>
      <c r="Z25" s="12">
        <f>(Parameters!$C$15+Parameters!$C$16*R25)*Base_Scenario!W25</f>
        <v>1912310.8494283606</v>
      </c>
      <c r="AA25" s="12">
        <f t="shared" si="14"/>
        <v>257906989.89290491</v>
      </c>
      <c r="AB25" s="12">
        <f t="shared" si="8"/>
        <v>311406702.71792781</v>
      </c>
      <c r="AC25" s="6">
        <f>(1+Parameters!$B$39)^-Base_Scenario!A25</f>
        <v>0.96047863791458055</v>
      </c>
      <c r="AD25" s="12">
        <f t="shared" si="9"/>
        <v>299099485.66398603</v>
      </c>
      <c r="AF25" s="12">
        <f t="shared" si="10"/>
        <v>0</v>
      </c>
      <c r="AG25" s="12">
        <f t="shared" si="15"/>
        <v>0</v>
      </c>
      <c r="AH25" s="12">
        <f t="shared" si="11"/>
        <v>0</v>
      </c>
      <c r="AI25" s="12">
        <f t="shared" si="12"/>
        <v>0</v>
      </c>
    </row>
    <row r="26" spans="1:35" x14ac:dyDescent="0.35">
      <c r="A26" s="5">
        <v>23</v>
      </c>
      <c r="B26" s="12">
        <f>B25*(1-Parameters!$B$9)</f>
        <v>114768.39487371592</v>
      </c>
      <c r="C26" s="21"/>
      <c r="D26" s="12">
        <f>B26*Parameters!$B$6</f>
        <v>80337.876411601144</v>
      </c>
      <c r="E26" s="12">
        <f t="shared" si="16"/>
        <v>50000</v>
      </c>
      <c r="F26" s="12">
        <f t="shared" si="2"/>
        <v>130337.87641160114</v>
      </c>
      <c r="G26" s="12">
        <f>Parameters!$B$25*Demand_Volatility!B27</f>
        <v>73148.399999999994</v>
      </c>
      <c r="H26" s="12">
        <f t="shared" si="3"/>
        <v>73148.399999999994</v>
      </c>
      <c r="I26" s="12">
        <f>MIN(Parameters!$B$13,MAX(0,E26+D26-H26))</f>
        <v>50000</v>
      </c>
      <c r="J26" s="12">
        <f t="shared" si="4"/>
        <v>7189.4764116011502</v>
      </c>
      <c r="K26" s="12">
        <f>(H26*Parameters!$B$20*Parameters!$B$24)+(J26*Parameters!$B$20*Parameters!$B$24*(1-Parameters!$B$22))</f>
        <v>450024131.71071851</v>
      </c>
      <c r="M26" s="12">
        <f>B26*Parameters!$B$7</f>
        <v>34430.518462114778</v>
      </c>
      <c r="N26" s="12">
        <f t="shared" si="17"/>
        <v>15000</v>
      </c>
      <c r="O26" s="12">
        <f t="shared" si="13"/>
        <v>49430.518462114778</v>
      </c>
      <c r="P26" s="12">
        <f>Parameters!$B$26*Demand_Volatility!C27</f>
        <v>31856</v>
      </c>
      <c r="Q26" s="12">
        <f t="shared" si="5"/>
        <v>31856</v>
      </c>
      <c r="R26" s="12">
        <f>MIN(Parameters!$C$13,MAX(0,N26+M26-Q26))</f>
        <v>15000</v>
      </c>
      <c r="S26" s="12">
        <f t="shared" si="6"/>
        <v>2574.5184621147782</v>
      </c>
      <c r="T26" s="12">
        <f>(Q26*Parameters!$B$21)+(S26*Parameters!$B$21*(1-Parameters!$B$23))</f>
        <v>106058429.53938365</v>
      </c>
      <c r="V26" s="12">
        <f t="shared" si="7"/>
        <v>556082561.25010216</v>
      </c>
      <c r="W26" s="26">
        <f>W25*(1+Parameters!$B$36)</f>
        <v>1.020856511954676</v>
      </c>
      <c r="X26" s="12">
        <f>Parameters!$B$30*W26</f>
        <v>250109845.42889562</v>
      </c>
      <c r="Y26" s="12">
        <f>(Parameters!$B$15+Parameters!$B$16*I26)*W26</f>
        <v>6125139.0717280554</v>
      </c>
      <c r="Z26" s="12">
        <f>(Parameters!$C$15+Parameters!$C$16*R26)*Base_Scenario!W26</f>
        <v>1914105.9599150175</v>
      </c>
      <c r="AA26" s="12">
        <f t="shared" si="14"/>
        <v>258149090.46053869</v>
      </c>
      <c r="AB26" s="12">
        <f t="shared" si="8"/>
        <v>297933470.78956348</v>
      </c>
      <c r="AC26" s="6">
        <f>(1+Parameters!$B$39)^-Base_Scenario!A26</f>
        <v>0.95871980044313199</v>
      </c>
      <c r="AD26" s="12">
        <f t="shared" si="9"/>
        <v>285634717.66069996</v>
      </c>
      <c r="AF26" s="12">
        <f t="shared" si="10"/>
        <v>0</v>
      </c>
      <c r="AG26" s="12">
        <f t="shared" si="15"/>
        <v>0</v>
      </c>
      <c r="AH26" s="12">
        <f t="shared" si="11"/>
        <v>0</v>
      </c>
      <c r="AI26" s="12">
        <f t="shared" si="12"/>
        <v>0</v>
      </c>
    </row>
    <row r="27" spans="1:35" x14ac:dyDescent="0.35">
      <c r="A27" s="5">
        <v>24</v>
      </c>
      <c r="B27" s="12">
        <f>B26*(1-Parameters!$B$9)</f>
        <v>114536.09073351457</v>
      </c>
      <c r="C27" s="21"/>
      <c r="D27" s="12">
        <f>B27*Parameters!$B$6</f>
        <v>80175.263513460202</v>
      </c>
      <c r="E27" s="12">
        <f t="shared" si="16"/>
        <v>50000</v>
      </c>
      <c r="F27" s="12">
        <f t="shared" si="2"/>
        <v>130175.2635134602</v>
      </c>
      <c r="G27" s="12">
        <f>Parameters!$B$25*Demand_Volatility!B28</f>
        <v>76564.800000000003</v>
      </c>
      <c r="H27" s="12">
        <f t="shared" si="3"/>
        <v>76564.800000000003</v>
      </c>
      <c r="I27" s="12">
        <f>MIN(Parameters!$B$13,MAX(0,E27+D27-H27))</f>
        <v>50000</v>
      </c>
      <c r="J27" s="12">
        <f t="shared" si="4"/>
        <v>3610.4635134601995</v>
      </c>
      <c r="K27" s="12">
        <f>(H27*Parameters!$B$20*Parameters!$B$24)+(J27*Parameters!$B$20*Parameters!$B$24*(1-Parameters!$B$22))</f>
        <v>464024083.78693151</v>
      </c>
      <c r="M27" s="12">
        <f>B27*Parameters!$B$7</f>
        <v>34360.827220054372</v>
      </c>
      <c r="N27" s="12">
        <f t="shared" si="17"/>
        <v>15000</v>
      </c>
      <c r="O27" s="12">
        <f t="shared" si="13"/>
        <v>49360.827220054372</v>
      </c>
      <c r="P27" s="12">
        <f>Parameters!$B$26*Demand_Volatility!C28</f>
        <v>32828.800000000003</v>
      </c>
      <c r="Q27" s="12">
        <f t="shared" si="5"/>
        <v>32828.800000000003</v>
      </c>
      <c r="R27" s="12">
        <f>MIN(Parameters!$C$13,MAX(0,N27+M27-Q27))</f>
        <v>15000</v>
      </c>
      <c r="S27" s="12">
        <f t="shared" si="6"/>
        <v>1532.0272200543695</v>
      </c>
      <c r="T27" s="12">
        <f>(Q27*Parameters!$B$21)+(S27*Parameters!$B$21*(1-Parameters!$B$23))</f>
        <v>107503403.55208701</v>
      </c>
      <c r="V27" s="12">
        <f t="shared" si="7"/>
        <v>571527487.33901858</v>
      </c>
      <c r="W27" s="26">
        <f>W26*(1+Parameters!$B$36)</f>
        <v>1.0218148029305021</v>
      </c>
      <c r="X27" s="12">
        <f>Parameters!$B$30*W27</f>
        <v>250344626.71797302</v>
      </c>
      <c r="Y27" s="12">
        <f>(Parameters!$B$15+Parameters!$B$16*I27)*W27</f>
        <v>6130888.8175830124</v>
      </c>
      <c r="Z27" s="12">
        <f>(Parameters!$C$15+Parameters!$C$16*R27)*Base_Scenario!W27</f>
        <v>1915902.7554946914</v>
      </c>
      <c r="AA27" s="12">
        <f t="shared" si="14"/>
        <v>258391418.29105073</v>
      </c>
      <c r="AB27" s="12">
        <f t="shared" si="8"/>
        <v>313136069.04796785</v>
      </c>
      <c r="AC27" s="6">
        <f>(1+Parameters!$B$39)^-Base_Scenario!A27</f>
        <v>0.95696418377132286</v>
      </c>
      <c r="AD27" s="12">
        <f t="shared" si="9"/>
        <v>299660002.72584915</v>
      </c>
      <c r="AF27" s="12">
        <f t="shared" si="10"/>
        <v>0</v>
      </c>
      <c r="AG27" s="12">
        <f t="shared" si="15"/>
        <v>0</v>
      </c>
      <c r="AH27" s="12">
        <f t="shared" si="11"/>
        <v>0</v>
      </c>
      <c r="AI27" s="12">
        <f t="shared" si="12"/>
        <v>0</v>
      </c>
    </row>
    <row r="28" spans="1:35" x14ac:dyDescent="0.35">
      <c r="A28" s="5">
        <v>25</v>
      </c>
      <c r="B28" s="12">
        <f>B27*(1-Parameters!$B$9)</f>
        <v>114304.25680302222</v>
      </c>
      <c r="C28" s="21"/>
      <c r="D28" s="12">
        <f>B28*Parameters!$B$6</f>
        <v>80012.979762115545</v>
      </c>
      <c r="E28" s="12">
        <f t="shared" si="16"/>
        <v>50000</v>
      </c>
      <c r="F28" s="12">
        <f t="shared" si="2"/>
        <v>130012.97976211554</v>
      </c>
      <c r="G28" s="12">
        <f>Parameters!$B$25*Demand_Volatility!B29</f>
        <v>80418</v>
      </c>
      <c r="H28" s="12">
        <f t="shared" si="3"/>
        <v>80418</v>
      </c>
      <c r="I28" s="12">
        <f>MIN(Parameters!$B$13,MAX(0,E28+D28-H28))</f>
        <v>49594.979762115545</v>
      </c>
      <c r="J28" s="12">
        <f t="shared" si="4"/>
        <v>0</v>
      </c>
      <c r="K28" s="12">
        <f>(H28*Parameters!$B$20*Parameters!$B$24)+(J28*Parameters!$B$20*Parameters!$B$24*(1-Parameters!$B$22))</f>
        <v>480577968</v>
      </c>
      <c r="M28" s="12">
        <f>B28*Parameters!$B$7</f>
        <v>34291.277040906665</v>
      </c>
      <c r="N28" s="12">
        <f t="shared" si="17"/>
        <v>15000</v>
      </c>
      <c r="O28" s="12">
        <f t="shared" si="13"/>
        <v>49291.277040906665</v>
      </c>
      <c r="P28" s="12">
        <f>Parameters!$B$26*Demand_Volatility!C29</f>
        <v>33056</v>
      </c>
      <c r="Q28" s="12">
        <f t="shared" si="5"/>
        <v>33056</v>
      </c>
      <c r="R28" s="12">
        <f>MIN(Parameters!$C$13,MAX(0,N28+M28-Q28))</f>
        <v>15000</v>
      </c>
      <c r="S28" s="12">
        <f t="shared" si="6"/>
        <v>1235.2770409066652</v>
      </c>
      <c r="T28" s="12">
        <f>(Q28*Parameters!$B$21)+(S28*Parameters!$B$21*(1-Parameters!$B$23))</f>
        <v>107755643.26545067</v>
      </c>
      <c r="V28" s="12">
        <f t="shared" si="7"/>
        <v>588333611.26545072</v>
      </c>
      <c r="W28" s="26">
        <f>W27*(1+Parameters!$B$36)</f>
        <v>1.0227739934662405</v>
      </c>
      <c r="X28" s="12">
        <f>Parameters!$B$30*W28</f>
        <v>250579628.39922893</v>
      </c>
      <c r="Y28" s="12">
        <f>(Parameters!$B$15+Parameters!$B$16*I28)*W28</f>
        <v>6120074.1941520134</v>
      </c>
      <c r="Z28" s="12">
        <f>(Parameters!$C$15+Parameters!$C$16*R28)*Base_Scenario!W28</f>
        <v>1917701.237749201</v>
      </c>
      <c r="AA28" s="12">
        <f t="shared" si="14"/>
        <v>258617403.83113015</v>
      </c>
      <c r="AB28" s="12">
        <f t="shared" si="8"/>
        <v>329716207.43432057</v>
      </c>
      <c r="AC28" s="6">
        <f>(1+Parameters!$B$39)^-Base_Scenario!A28</f>
        <v>0.95521178200119539</v>
      </c>
      <c r="AD28" s="12">
        <f t="shared" si="9"/>
        <v>314948806.05801314</v>
      </c>
      <c r="AF28" s="12">
        <f t="shared" si="10"/>
        <v>0</v>
      </c>
      <c r="AG28" s="12">
        <f t="shared" si="15"/>
        <v>0</v>
      </c>
      <c r="AH28" s="12">
        <f t="shared" si="11"/>
        <v>0</v>
      </c>
      <c r="AI28" s="12">
        <f t="shared" si="12"/>
        <v>0</v>
      </c>
    </row>
    <row r="29" spans="1:35" x14ac:dyDescent="0.35">
      <c r="A29" s="5">
        <v>26</v>
      </c>
      <c r="B29" s="12">
        <f>B28*(1-Parameters!$B$9)</f>
        <v>114072.8921304815</v>
      </c>
      <c r="C29" s="21"/>
      <c r="D29" s="12">
        <f>B29*Parameters!$B$6</f>
        <v>79851.024491337041</v>
      </c>
      <c r="E29" s="12">
        <f t="shared" si="16"/>
        <v>49594.979762115545</v>
      </c>
      <c r="F29" s="12">
        <f t="shared" si="2"/>
        <v>129446.00425345259</v>
      </c>
      <c r="G29" s="12">
        <f>Parameters!$B$25*Demand_Volatility!B30</f>
        <v>74630.399999999994</v>
      </c>
      <c r="H29" s="12">
        <f t="shared" si="3"/>
        <v>74630.399999999994</v>
      </c>
      <c r="I29" s="12">
        <f>MIN(Parameters!$B$13,MAX(0,E29+D29-H29))</f>
        <v>50000</v>
      </c>
      <c r="J29" s="12">
        <f t="shared" si="4"/>
        <v>4815.6042534525914</v>
      </c>
      <c r="K29" s="12">
        <f>(H29*Parameters!$B$20*Parameters!$B$24)+(J29*Parameters!$B$20*Parameters!$B$24*(1-Parameters!$B$22))</f>
        <v>454624685.70558977</v>
      </c>
      <c r="M29" s="12">
        <f>B29*Parameters!$B$7</f>
        <v>34221.867639144446</v>
      </c>
      <c r="N29" s="12">
        <f t="shared" si="17"/>
        <v>15000</v>
      </c>
      <c r="O29" s="12">
        <f t="shared" si="13"/>
        <v>49221.867639144446</v>
      </c>
      <c r="P29" s="12">
        <f>Parameters!$B$26*Demand_Volatility!C30</f>
        <v>33219.199999999997</v>
      </c>
      <c r="Q29" s="12">
        <f t="shared" si="5"/>
        <v>33219.199999999997</v>
      </c>
      <c r="R29" s="12">
        <f>MIN(Parameters!$C$13,MAX(0,N29+M29-Q29))</f>
        <v>15000</v>
      </c>
      <c r="S29" s="12">
        <f t="shared" si="6"/>
        <v>1002.6676391444489</v>
      </c>
      <c r="T29" s="12">
        <f>(Q29*Parameters!$B$21)+(S29*Parameters!$B$21*(1-Parameters!$B$23))</f>
        <v>107905708.2226311</v>
      </c>
      <c r="V29" s="12">
        <f t="shared" si="7"/>
        <v>562530393.92822087</v>
      </c>
      <c r="W29" s="26">
        <f>W28*(1+Parameters!$B$36)</f>
        <v>1.0237340844063196</v>
      </c>
      <c r="X29" s="12">
        <f>Parameters!$B$30*W29</f>
        <v>250814850.67954832</v>
      </c>
      <c r="Y29" s="12">
        <f>(Parameters!$B$15+Parameters!$B$16*I29)*W29</f>
        <v>6142404.5064379182</v>
      </c>
      <c r="Z29" s="12">
        <f>(Parameters!$C$15+Parameters!$C$16*R29)*Base_Scenario!W29</f>
        <v>1919501.4082618493</v>
      </c>
      <c r="AA29" s="12">
        <f t="shared" si="14"/>
        <v>258876756.59424809</v>
      </c>
      <c r="AB29" s="12">
        <f t="shared" si="8"/>
        <v>303653637.33397281</v>
      </c>
      <c r="AC29" s="6">
        <f>(1+Parameters!$B$39)^-Base_Scenario!A29</f>
        <v>0.9534625892455908</v>
      </c>
      <c r="AD29" s="12">
        <f t="shared" si="9"/>
        <v>289522383.2862913</v>
      </c>
      <c r="AF29" s="12">
        <f t="shared" si="10"/>
        <v>0</v>
      </c>
      <c r="AG29" s="12">
        <f t="shared" si="15"/>
        <v>0</v>
      </c>
      <c r="AH29" s="12">
        <f t="shared" si="11"/>
        <v>0</v>
      </c>
      <c r="AI29" s="12">
        <f t="shared" si="12"/>
        <v>0</v>
      </c>
    </row>
    <row r="30" spans="1:35" x14ac:dyDescent="0.35">
      <c r="A30" s="5">
        <v>27</v>
      </c>
      <c r="B30" s="12">
        <f>B29*(1-Parameters!$B$9)</f>
        <v>113841.99576606156</v>
      </c>
      <c r="C30" s="21"/>
      <c r="D30" s="12">
        <f>B30*Parameters!$B$6</f>
        <v>79689.397036243085</v>
      </c>
      <c r="E30" s="12">
        <f t="shared" si="16"/>
        <v>50000</v>
      </c>
      <c r="F30" s="12">
        <f t="shared" si="2"/>
        <v>129689.39703624308</v>
      </c>
      <c r="G30" s="12">
        <f>Parameters!$B$25*Demand_Volatility!B31</f>
        <v>77095.199999999997</v>
      </c>
      <c r="H30" s="12">
        <f t="shared" si="3"/>
        <v>77095.199999999997</v>
      </c>
      <c r="I30" s="12">
        <f>MIN(Parameters!$B$13,MAX(0,E30+D30-H30))</f>
        <v>50000</v>
      </c>
      <c r="J30" s="12">
        <f t="shared" si="4"/>
        <v>2594.1970362430875</v>
      </c>
      <c r="K30" s="12">
        <f>(H30*Parameters!$B$20*Parameters!$B$24)+(J30*Parameters!$B$20*Parameters!$B$24*(1-Parameters!$B$22))</f>
        <v>465371791.64657652</v>
      </c>
      <c r="M30" s="12">
        <f>B30*Parameters!$B$7</f>
        <v>34152.59872981847</v>
      </c>
      <c r="N30" s="12">
        <f t="shared" si="17"/>
        <v>15000</v>
      </c>
      <c r="O30" s="12">
        <f t="shared" si="13"/>
        <v>49152.59872981847</v>
      </c>
      <c r="P30" s="12">
        <f>Parameters!$B$26*Demand_Volatility!C31</f>
        <v>30966.400000000001</v>
      </c>
      <c r="Q30" s="12">
        <f t="shared" si="5"/>
        <v>30966.400000000001</v>
      </c>
      <c r="R30" s="12">
        <f>MIN(Parameters!$C$13,MAX(0,N30+M30-Q30))</f>
        <v>15000</v>
      </c>
      <c r="S30" s="12">
        <f t="shared" si="6"/>
        <v>3186.1987298184686</v>
      </c>
      <c r="T30" s="12">
        <f>(Q30*Parameters!$B$21)+(S30*Parameters!$B$21*(1-Parameters!$B$23))</f>
        <v>104190397.96770956</v>
      </c>
      <c r="V30" s="12">
        <f t="shared" si="7"/>
        <v>569562189.61428607</v>
      </c>
      <c r="W30" s="26">
        <f>W29*(1+Parameters!$B$36)</f>
        <v>1.0246950765959604</v>
      </c>
      <c r="X30" s="12">
        <f>Parameters!$B$30*W30</f>
        <v>251050293.76601028</v>
      </c>
      <c r="Y30" s="12">
        <f>(Parameters!$B$15+Parameters!$B$16*I30)*W30</f>
        <v>6148170.459575762</v>
      </c>
      <c r="Z30" s="12">
        <f>(Parameters!$C$15+Parameters!$C$16*R30)*Base_Scenario!W30</f>
        <v>1921303.2686174258</v>
      </c>
      <c r="AA30" s="12">
        <f t="shared" si="14"/>
        <v>259119767.49420348</v>
      </c>
      <c r="AB30" s="12">
        <f t="shared" si="8"/>
        <v>310442422.12008262</v>
      </c>
      <c r="AC30" s="6">
        <f>(1+Parameters!$B$39)^-Base_Scenario!A30</f>
        <v>0.95171659962813249</v>
      </c>
      <c r="AD30" s="12">
        <f t="shared" si="9"/>
        <v>295453206.36044639</v>
      </c>
      <c r="AF30" s="12">
        <f t="shared" si="10"/>
        <v>0</v>
      </c>
      <c r="AG30" s="12">
        <f t="shared" si="15"/>
        <v>0</v>
      </c>
      <c r="AH30" s="12">
        <f t="shared" si="11"/>
        <v>0</v>
      </c>
      <c r="AI30" s="12">
        <f t="shared" si="12"/>
        <v>0</v>
      </c>
    </row>
    <row r="31" spans="1:35" x14ac:dyDescent="0.35">
      <c r="A31" s="5">
        <v>28</v>
      </c>
      <c r="B31" s="12">
        <f>B30*(1-Parameters!$B$9)</f>
        <v>113611.56676185409</v>
      </c>
      <c r="C31" s="21"/>
      <c r="D31" s="12">
        <f>B31*Parameters!$B$6</f>
        <v>79528.096733297862</v>
      </c>
      <c r="E31" s="12">
        <f t="shared" si="16"/>
        <v>50000</v>
      </c>
      <c r="F31" s="12">
        <f t="shared" si="2"/>
        <v>129528.09673329786</v>
      </c>
      <c r="G31" s="12">
        <f>Parameters!$B$25*Demand_Volatility!B32</f>
        <v>80652</v>
      </c>
      <c r="H31" s="12">
        <f t="shared" si="3"/>
        <v>80652</v>
      </c>
      <c r="I31" s="12">
        <f>MIN(Parameters!$B$13,MAX(0,E31+D31-H31))</f>
        <v>48876.096733297862</v>
      </c>
      <c r="J31" s="12">
        <f t="shared" si="4"/>
        <v>0</v>
      </c>
      <c r="K31" s="12">
        <f>(H31*Parameters!$B$20*Parameters!$B$24)+(J31*Parameters!$B$20*Parameters!$B$24*(1-Parameters!$B$22))</f>
        <v>481976352</v>
      </c>
      <c r="M31" s="12">
        <f>B31*Parameters!$B$7</f>
        <v>34083.470028556228</v>
      </c>
      <c r="N31" s="12">
        <f t="shared" si="17"/>
        <v>15000</v>
      </c>
      <c r="O31" s="12">
        <f t="shared" si="13"/>
        <v>49083.470028556228</v>
      </c>
      <c r="P31" s="12">
        <f>Parameters!$B$26*Demand_Volatility!C32</f>
        <v>32688.000000000004</v>
      </c>
      <c r="Q31" s="12">
        <f t="shared" si="5"/>
        <v>32688.000000000004</v>
      </c>
      <c r="R31" s="12">
        <f>MIN(Parameters!$C$13,MAX(0,N31+M31-Q31))</f>
        <v>15000</v>
      </c>
      <c r="S31" s="12">
        <f t="shared" si="6"/>
        <v>1395.4700285562249</v>
      </c>
      <c r="T31" s="12">
        <f>(Q31*Parameters!$B$21)+(S31*Parameters!$B$21*(1-Parameters!$B$23))</f>
        <v>106834352.04568997</v>
      </c>
      <c r="V31" s="12">
        <f t="shared" si="7"/>
        <v>588810704.04568994</v>
      </c>
      <c r="W31" s="26">
        <f>W30*(1+Parameters!$B$36)</f>
        <v>1.0256569708811771</v>
      </c>
      <c r="X31" s="12">
        <f>Parameters!$B$30*W31</f>
        <v>251285957.86588839</v>
      </c>
      <c r="Y31" s="12">
        <f>(Parameters!$B$15+Parameters!$B$16*I31)*W31</f>
        <v>6107832.2564834962</v>
      </c>
      <c r="Z31" s="12">
        <f>(Parameters!$C$15+Parameters!$C$16*R31)*Base_Scenario!W31</f>
        <v>1923106.8204022071</v>
      </c>
      <c r="AA31" s="12">
        <f t="shared" si="14"/>
        <v>259316896.94277409</v>
      </c>
      <c r="AB31" s="12">
        <f t="shared" si="8"/>
        <v>329493807.10291588</v>
      </c>
      <c r="AC31" s="6">
        <f>(1+Parameters!$B$39)^-Base_Scenario!A31</f>
        <v>0.94997380728320302</v>
      </c>
      <c r="AD31" s="12">
        <f t="shared" si="9"/>
        <v>313010486.40979427</v>
      </c>
      <c r="AF31" s="12">
        <f t="shared" si="10"/>
        <v>0</v>
      </c>
      <c r="AG31" s="12">
        <f t="shared" si="15"/>
        <v>0</v>
      </c>
      <c r="AH31" s="12">
        <f t="shared" si="11"/>
        <v>0</v>
      </c>
      <c r="AI31" s="12">
        <f t="shared" si="12"/>
        <v>0</v>
      </c>
    </row>
    <row r="32" spans="1:35" x14ac:dyDescent="0.35">
      <c r="A32" s="5">
        <v>29</v>
      </c>
      <c r="B32" s="12">
        <f>B31*(1-Parameters!$B$9)</f>
        <v>113381.60417186943</v>
      </c>
      <c r="C32" s="21"/>
      <c r="D32" s="12">
        <f>B32*Parameters!$B$6</f>
        <v>79367.122920308597</v>
      </c>
      <c r="E32" s="12">
        <f t="shared" si="16"/>
        <v>48876.096733297862</v>
      </c>
      <c r="F32" s="12">
        <f t="shared" si="2"/>
        <v>128243.21965360646</v>
      </c>
      <c r="G32" s="12">
        <f>Parameters!$B$25*Demand_Volatility!B33</f>
        <v>80784.600000000006</v>
      </c>
      <c r="H32" s="12">
        <f t="shared" si="3"/>
        <v>80784.600000000006</v>
      </c>
      <c r="I32" s="12">
        <f>MIN(Parameters!$B$13,MAX(0,E32+D32-H32))</f>
        <v>47458.619653606453</v>
      </c>
      <c r="J32" s="12">
        <f t="shared" si="4"/>
        <v>0</v>
      </c>
      <c r="K32" s="12">
        <f>(H32*Parameters!$B$20*Parameters!$B$24)+(J32*Parameters!$B$20*Parameters!$B$24*(1-Parameters!$B$22))</f>
        <v>482768769.60000002</v>
      </c>
      <c r="M32" s="12">
        <f>B32*Parameters!$B$7</f>
        <v>34014.481251560828</v>
      </c>
      <c r="N32" s="12">
        <f t="shared" si="17"/>
        <v>15000</v>
      </c>
      <c r="O32" s="12">
        <f t="shared" si="13"/>
        <v>49014.481251560828</v>
      </c>
      <c r="P32" s="12">
        <f>Parameters!$B$26*Demand_Volatility!C33</f>
        <v>33849.600000000006</v>
      </c>
      <c r="Q32" s="12">
        <f t="shared" si="5"/>
        <v>33849.600000000006</v>
      </c>
      <c r="R32" s="12">
        <f>MIN(Parameters!$C$13,MAX(0,N32+M32-Q32))</f>
        <v>15000</v>
      </c>
      <c r="S32" s="12">
        <f t="shared" si="6"/>
        <v>164.88125156082242</v>
      </c>
      <c r="T32" s="12">
        <f>(Q32*Parameters!$B$21)+(S32*Parameters!$B$21*(1-Parameters!$B$23))</f>
        <v>108582530.00249733</v>
      </c>
      <c r="V32" s="12">
        <f t="shared" si="7"/>
        <v>591351299.60249734</v>
      </c>
      <c r="W32" s="26">
        <f>W31*(1+Parameters!$B$36)</f>
        <v>1.0266197681087783</v>
      </c>
      <c r="X32" s="12">
        <f>Parameters!$B$30*W32</f>
        <v>251521843.18665069</v>
      </c>
      <c r="Y32" s="12">
        <f>(Parameters!$B$15+Parameters!$B$16*I32)*W32</f>
        <v>6055357.3565770406</v>
      </c>
      <c r="Z32" s="12">
        <f>(Parameters!$C$15+Parameters!$C$16*R32)*Base_Scenario!W32</f>
        <v>1924912.0652039594</v>
      </c>
      <c r="AA32" s="12">
        <f t="shared" si="14"/>
        <v>259502112.6084317</v>
      </c>
      <c r="AB32" s="12">
        <f t="shared" si="8"/>
        <v>331849186.99406564</v>
      </c>
      <c r="AC32" s="6">
        <f>(1+Parameters!$B$39)^-Base_Scenario!A32</f>
        <v>0.9482342063559277</v>
      </c>
      <c r="AD32" s="12">
        <f t="shared" si="9"/>
        <v>314670750.45917767</v>
      </c>
      <c r="AF32" s="12">
        <f t="shared" si="10"/>
        <v>0</v>
      </c>
      <c r="AG32" s="12">
        <f t="shared" si="15"/>
        <v>0</v>
      </c>
      <c r="AH32" s="12">
        <f t="shared" si="11"/>
        <v>0</v>
      </c>
      <c r="AI32" s="12">
        <f t="shared" si="12"/>
        <v>0</v>
      </c>
    </row>
    <row r="33" spans="1:35" x14ac:dyDescent="0.35">
      <c r="A33" s="5">
        <v>30</v>
      </c>
      <c r="B33" s="12">
        <f>B32*(1-Parameters!$B$9)</f>
        <v>113152.10705203275</v>
      </c>
      <c r="C33" s="21"/>
      <c r="D33" s="12">
        <f>B33*Parameters!$B$6</f>
        <v>79206.474936422921</v>
      </c>
      <c r="E33" s="12">
        <f t="shared" si="16"/>
        <v>47458.619653606453</v>
      </c>
      <c r="F33" s="12">
        <f t="shared" si="2"/>
        <v>126665.09459002937</v>
      </c>
      <c r="G33" s="12">
        <f>Parameters!$B$25*Demand_Volatility!B34</f>
        <v>76385.399999999994</v>
      </c>
      <c r="H33" s="12">
        <f t="shared" si="3"/>
        <v>76385.399999999994</v>
      </c>
      <c r="I33" s="12">
        <f>MIN(Parameters!$B$13,MAX(0,E33+D33-H33))</f>
        <v>50000</v>
      </c>
      <c r="J33" s="12">
        <f t="shared" si="4"/>
        <v>279.69459002937947</v>
      </c>
      <c r="K33" s="12">
        <f>(H33*Parameters!$B$20*Parameters!$B$24)+(J33*Parameters!$B$20*Parameters!$B$24*(1-Parameters!$B$22))</f>
        <v>456980586.86100465</v>
      </c>
      <c r="M33" s="12">
        <f>B33*Parameters!$B$7</f>
        <v>33945.63211560982</v>
      </c>
      <c r="N33" s="12">
        <f t="shared" si="17"/>
        <v>15000</v>
      </c>
      <c r="O33" s="12">
        <f t="shared" si="13"/>
        <v>48945.63211560982</v>
      </c>
      <c r="P33" s="12">
        <f>Parameters!$B$26*Demand_Volatility!C34</f>
        <v>33068.800000000003</v>
      </c>
      <c r="Q33" s="12">
        <f t="shared" si="5"/>
        <v>33068.800000000003</v>
      </c>
      <c r="R33" s="12">
        <f>MIN(Parameters!$C$13,MAX(0,N33+M33-Q33))</f>
        <v>15000</v>
      </c>
      <c r="S33" s="12">
        <f t="shared" si="6"/>
        <v>876.83211560981727</v>
      </c>
      <c r="T33" s="12">
        <f>(Q33*Parameters!$B$21)+(S33*Parameters!$B$21*(1-Parameters!$B$23))</f>
        <v>107223091.38497572</v>
      </c>
      <c r="V33" s="12">
        <f t="shared" si="7"/>
        <v>564203678.24598038</v>
      </c>
      <c r="W33" s="26">
        <f>W32*(1+Parameters!$B$36)</f>
        <v>1.0275834691263677</v>
      </c>
      <c r="X33" s="12">
        <f>Parameters!$B$30*W33</f>
        <v>251757949.93596008</v>
      </c>
      <c r="Y33" s="12">
        <f>(Parameters!$B$15+Parameters!$B$16*I33)*W33</f>
        <v>6165500.8147582058</v>
      </c>
      <c r="Z33" s="12">
        <f>(Parameters!$C$15+Parameters!$C$16*R33)*Base_Scenario!W33</f>
        <v>1926719.0046119394</v>
      </c>
      <c r="AA33" s="12">
        <f t="shared" si="14"/>
        <v>259850169.75533023</v>
      </c>
      <c r="AB33" s="12">
        <f t="shared" si="8"/>
        <v>304353508.49065018</v>
      </c>
      <c r="AC33" s="6">
        <f>(1+Parameters!$B$39)^-Base_Scenario!A33</f>
        <v>0.94649779100215192</v>
      </c>
      <c r="AD33" s="12">
        <f t="shared" si="9"/>
        <v>288069923.47015506</v>
      </c>
      <c r="AF33" s="12">
        <f t="shared" si="10"/>
        <v>0</v>
      </c>
      <c r="AG33" s="12">
        <f t="shared" si="15"/>
        <v>0</v>
      </c>
      <c r="AH33" s="12">
        <f t="shared" si="11"/>
        <v>0</v>
      </c>
      <c r="AI33" s="12">
        <f t="shared" si="12"/>
        <v>0</v>
      </c>
    </row>
    <row r="34" spans="1:35" x14ac:dyDescent="0.35">
      <c r="A34" s="5">
        <v>31</v>
      </c>
      <c r="B34" s="12">
        <f>B33*(1-Parameters!$B$9)</f>
        <v>112923.07446018011</v>
      </c>
      <c r="C34" s="21"/>
      <c r="D34" s="12">
        <f>B34*Parameters!$B$6</f>
        <v>79046.152122126077</v>
      </c>
      <c r="E34" s="12">
        <f t="shared" si="16"/>
        <v>50000</v>
      </c>
      <c r="F34" s="12">
        <f t="shared" si="2"/>
        <v>129046.15212212608</v>
      </c>
      <c r="G34" s="12">
        <f>Parameters!$B$25*Demand_Volatility!B35</f>
        <v>78920.400000000009</v>
      </c>
      <c r="H34" s="12">
        <f t="shared" si="3"/>
        <v>78920.400000000009</v>
      </c>
      <c r="I34" s="12">
        <f>MIN(Parameters!$B$13,MAX(0,E34+D34-H34))</f>
        <v>50000</v>
      </c>
      <c r="J34" s="12">
        <f t="shared" si="4"/>
        <v>125.75212212606857</v>
      </c>
      <c r="K34" s="12">
        <f>(H34*Parameters!$B$20*Parameters!$B$24)+(J34*Parameters!$B$20*Parameters!$B$24*(1-Parameters!$B$22))</f>
        <v>471853758.80454767</v>
      </c>
      <c r="M34" s="12">
        <f>B34*Parameters!$B$7</f>
        <v>33876.922338054035</v>
      </c>
      <c r="N34" s="12">
        <f t="shared" si="17"/>
        <v>15000</v>
      </c>
      <c r="O34" s="12">
        <f t="shared" si="13"/>
        <v>48876.922338054035</v>
      </c>
      <c r="P34" s="12">
        <f>Parameters!$B$26*Demand_Volatility!C35</f>
        <v>32905.599999999999</v>
      </c>
      <c r="Q34" s="12">
        <f t="shared" si="5"/>
        <v>32905.599999999999</v>
      </c>
      <c r="R34" s="12">
        <f>MIN(Parameters!$C$13,MAX(0,N34+M34-Q34))</f>
        <v>15000</v>
      </c>
      <c r="S34" s="12">
        <f t="shared" si="6"/>
        <v>971.32233805403666</v>
      </c>
      <c r="T34" s="12">
        <f>(Q34*Parameters!$B$21)+(S34*Parameters!$B$21*(1-Parameters!$B$23))</f>
        <v>106852035.74088646</v>
      </c>
      <c r="V34" s="12">
        <f t="shared" si="7"/>
        <v>578705794.54543412</v>
      </c>
      <c r="W34" s="26">
        <f>W33*(1+Parameters!$B$36)</f>
        <v>1.0285480747823441</v>
      </c>
      <c r="X34" s="12">
        <f>Parameters!$B$30*W34</f>
        <v>251994278.32167432</v>
      </c>
      <c r="Y34" s="12">
        <f>(Parameters!$B$15+Parameters!$B$16*I34)*W34</f>
        <v>6171288.4486940643</v>
      </c>
      <c r="Z34" s="12">
        <f>(Parameters!$C$15+Parameters!$C$16*R34)*Base_Scenario!W34</f>
        <v>1928527.6402168951</v>
      </c>
      <c r="AA34" s="12">
        <f t="shared" si="14"/>
        <v>260094094.41058525</v>
      </c>
      <c r="AB34" s="12">
        <f t="shared" si="8"/>
        <v>318611700.13484883</v>
      </c>
      <c r="AC34" s="6">
        <f>(1+Parameters!$B$39)^-Base_Scenario!A34</f>
        <v>0.94476455538842485</v>
      </c>
      <c r="AD34" s="12">
        <f t="shared" si="9"/>
        <v>301013041.21945059</v>
      </c>
      <c r="AF34" s="12">
        <f t="shared" si="10"/>
        <v>0</v>
      </c>
      <c r="AG34" s="12">
        <f t="shared" si="15"/>
        <v>0</v>
      </c>
      <c r="AH34" s="12">
        <f t="shared" si="11"/>
        <v>0</v>
      </c>
      <c r="AI34" s="12">
        <f t="shared" si="12"/>
        <v>0</v>
      </c>
    </row>
    <row r="35" spans="1:35" x14ac:dyDescent="0.35">
      <c r="A35" s="5">
        <v>32</v>
      </c>
      <c r="B35" s="12">
        <f>B34*(1-Parameters!$B$9)</f>
        <v>112694.50545605463</v>
      </c>
      <c r="C35" s="21"/>
      <c r="D35" s="12">
        <f>B35*Parameters!$B$6</f>
        <v>78886.153819238229</v>
      </c>
      <c r="E35" s="12">
        <f t="shared" si="16"/>
        <v>50000</v>
      </c>
      <c r="F35" s="12">
        <f t="shared" si="2"/>
        <v>128886.15381923823</v>
      </c>
      <c r="G35" s="12">
        <f>Parameters!$B$25*Demand_Volatility!B36</f>
        <v>75761.400000000009</v>
      </c>
      <c r="H35" s="12">
        <f t="shared" si="3"/>
        <v>75761.400000000009</v>
      </c>
      <c r="I35" s="12">
        <f>MIN(Parameters!$B$13,MAX(0,E35+D35-H35))</f>
        <v>50000</v>
      </c>
      <c r="J35" s="12">
        <f t="shared" si="4"/>
        <v>3124.7538192382199</v>
      </c>
      <c r="K35" s="12">
        <f>(H35*Parameters!$B$20*Parameters!$B$24)+(J35*Parameters!$B$20*Parameters!$B$24*(1-Parameters!$B$22))</f>
        <v>458352185.04713035</v>
      </c>
      <c r="M35" s="12">
        <f>B35*Parameters!$B$7</f>
        <v>33808.351636816384</v>
      </c>
      <c r="N35" s="12">
        <f t="shared" si="17"/>
        <v>15000</v>
      </c>
      <c r="O35" s="12">
        <f t="shared" si="13"/>
        <v>48808.351636816384</v>
      </c>
      <c r="P35" s="12">
        <f>Parameters!$B$26*Demand_Volatility!C36</f>
        <v>31939.200000000001</v>
      </c>
      <c r="Q35" s="12">
        <f t="shared" si="5"/>
        <v>31939.200000000001</v>
      </c>
      <c r="R35" s="12">
        <f>MIN(Parameters!$C$13,MAX(0,N35+M35-Q35))</f>
        <v>15000</v>
      </c>
      <c r="S35" s="12">
        <f t="shared" si="6"/>
        <v>1869.151636816383</v>
      </c>
      <c r="T35" s="12">
        <f>(Q35*Parameters!$B$21)+(S35*Parameters!$B$21*(1-Parameters!$B$23))</f>
        <v>105196082.61890621</v>
      </c>
      <c r="V35" s="12">
        <f t="shared" si="7"/>
        <v>563548267.66603661</v>
      </c>
      <c r="W35" s="26">
        <f>W34*(1+Parameters!$B$36)</f>
        <v>1.0295135859259035</v>
      </c>
      <c r="X35" s="12">
        <f>Parameters!$B$30*W35</f>
        <v>252230828.55184636</v>
      </c>
      <c r="Y35" s="12">
        <f>(Parameters!$B$15+Parameters!$B$16*I35)*W35</f>
        <v>6177081.5155554209</v>
      </c>
      <c r="Z35" s="12">
        <f>(Parameters!$C$15+Parameters!$C$16*R35)*Base_Scenario!W35</f>
        <v>1930337.9736110689</v>
      </c>
      <c r="AA35" s="12">
        <f t="shared" si="14"/>
        <v>260338248.04101282</v>
      </c>
      <c r="AB35" s="12">
        <f t="shared" si="8"/>
        <v>303210019.62502378</v>
      </c>
      <c r="AC35" s="6">
        <f>(1+Parameters!$B$39)^-Base_Scenario!A35</f>
        <v>0.94303449369197545</v>
      </c>
      <c r="AD35" s="12">
        <f t="shared" si="9"/>
        <v>285937507.33941823</v>
      </c>
      <c r="AF35" s="12">
        <f t="shared" si="10"/>
        <v>0</v>
      </c>
      <c r="AG35" s="12">
        <f t="shared" si="15"/>
        <v>0</v>
      </c>
      <c r="AH35" s="12">
        <f t="shared" si="11"/>
        <v>0</v>
      </c>
      <c r="AI35" s="12">
        <f t="shared" si="12"/>
        <v>0</v>
      </c>
    </row>
    <row r="36" spans="1:35" x14ac:dyDescent="0.35">
      <c r="A36" s="5">
        <v>33</v>
      </c>
      <c r="B36" s="12">
        <f>B35*(1-Parameters!$B$9)</f>
        <v>112466.3991013026</v>
      </c>
      <c r="C36" s="21"/>
      <c r="D36" s="12">
        <f>B36*Parameters!$B$6</f>
        <v>78726.479370911809</v>
      </c>
      <c r="E36" s="12">
        <f t="shared" si="16"/>
        <v>50000</v>
      </c>
      <c r="F36" s="12">
        <f t="shared" ref="F36:F67" si="18">D36+E36</f>
        <v>128726.47937091181</v>
      </c>
      <c r="G36" s="12">
        <f>Parameters!$B$25*Demand_Volatility!B37</f>
        <v>78374.399999999994</v>
      </c>
      <c r="H36" s="12">
        <f t="shared" ref="H36:H67" si="19">MIN(F36,G36)</f>
        <v>78374.399999999994</v>
      </c>
      <c r="I36" s="12">
        <f>MIN(Parameters!$B$13,MAX(0,E36+D36-H36))</f>
        <v>50000</v>
      </c>
      <c r="J36" s="12">
        <f t="shared" ref="J36:J67" si="20">D36+E36-H36-I36</f>
        <v>352.0793709118152</v>
      </c>
      <c r="K36" s="12">
        <f>(H36*Parameters!$B$20*Parameters!$B$24)+(J36*Parameters!$B$20*Parameters!$B$24*(1-Parameters!$B$22))</f>
        <v>468996622.29617065</v>
      </c>
      <c r="M36" s="12">
        <f>B36*Parameters!$B$7</f>
        <v>33739.919730390779</v>
      </c>
      <c r="N36" s="12">
        <f t="shared" si="17"/>
        <v>15000</v>
      </c>
      <c r="O36" s="12">
        <f t="shared" si="13"/>
        <v>48739.919730390779</v>
      </c>
      <c r="P36" s="12">
        <f>Parameters!$B$26*Demand_Volatility!C37</f>
        <v>30848</v>
      </c>
      <c r="Q36" s="12">
        <f t="shared" ref="Q36:Q67" si="21">MIN(O36,P36)</f>
        <v>30848</v>
      </c>
      <c r="R36" s="12">
        <f>MIN(Parameters!$C$13,MAX(0,N36+M36-Q36))</f>
        <v>15000</v>
      </c>
      <c r="S36" s="12">
        <f t="shared" ref="S36:S67" si="22">M36+N36-Q36-R36</f>
        <v>2891.9197303907786</v>
      </c>
      <c r="T36" s="12">
        <f>(Q36*Parameters!$B$21)+(S36*Parameters!$B$21*(1-Parameters!$B$23))</f>
        <v>103340671.56862524</v>
      </c>
      <c r="V36" s="12">
        <f t="shared" ref="V36:V67" si="23">K36+T36</f>
        <v>572337293.86479592</v>
      </c>
      <c r="W36" s="26">
        <f>W35*(1+Parameters!$B$36)</f>
        <v>1.0304800034070383</v>
      </c>
      <c r="X36" s="12">
        <f>Parameters!$B$30*W36</f>
        <v>252467600.83472437</v>
      </c>
      <c r="Y36" s="12">
        <f>(Parameters!$B$15+Parameters!$B$16*I36)*W36</f>
        <v>6182880.0204422297</v>
      </c>
      <c r="Z36" s="12">
        <f>(Parameters!$C$15+Parameters!$C$16*R36)*Base_Scenario!W36</f>
        <v>1932150.0063881967</v>
      </c>
      <c r="AA36" s="12">
        <f t="shared" si="14"/>
        <v>260582630.86155477</v>
      </c>
      <c r="AB36" s="12">
        <f t="shared" ref="AB36:AB67" si="24">V36-AA36</f>
        <v>311754663.00324118</v>
      </c>
      <c r="AC36" s="6">
        <f>(1+Parameters!$B$39)^-Base_Scenario!A36</f>
        <v>0.94130760010069758</v>
      </c>
      <c r="AD36" s="12">
        <f t="shared" ref="AD36:AD67" si="25">AB36*AC36</f>
        <v>293457033.65178269</v>
      </c>
      <c r="AF36" s="12">
        <f t="shared" ref="AF36:AF67" si="26">IF(AND(ROUND((D36-H36-I36+E36-J36),0)=0,ROUND((M36-Q36-R36+N36-S36),0)=0),0,1)</f>
        <v>0</v>
      </c>
      <c r="AG36" s="12">
        <f t="shared" si="15"/>
        <v>0</v>
      </c>
      <c r="AH36" s="12">
        <f t="shared" ref="AH36:AH67" si="27">IF(AND(Q36&lt;=P36,H36&lt;=G36),0,1)</f>
        <v>0</v>
      </c>
      <c r="AI36" s="12">
        <f t="shared" ref="AI36:AI67" si="28">IF(AND(Q36&lt;=O36,H36&lt;=F36),0,1)</f>
        <v>0</v>
      </c>
    </row>
    <row r="37" spans="1:35" x14ac:dyDescent="0.35">
      <c r="A37" s="5">
        <v>34</v>
      </c>
      <c r="B37" s="12">
        <f>B36*(1-Parameters!$B$9)</f>
        <v>112238.75445946964</v>
      </c>
      <c r="C37" s="21"/>
      <c r="D37" s="12">
        <f>B37*Parameters!$B$6</f>
        <v>78567.128121628746</v>
      </c>
      <c r="E37" s="12">
        <f t="shared" si="16"/>
        <v>50000</v>
      </c>
      <c r="F37" s="12">
        <f t="shared" si="18"/>
        <v>128567.12812162875</v>
      </c>
      <c r="G37" s="12">
        <f>Parameters!$B$25*Demand_Volatility!B38</f>
        <v>77196.600000000006</v>
      </c>
      <c r="H37" s="12">
        <f t="shared" si="19"/>
        <v>77196.600000000006</v>
      </c>
      <c r="I37" s="12">
        <f>MIN(Parameters!$B$13,MAX(0,E37+D37-H37))</f>
        <v>50000</v>
      </c>
      <c r="J37" s="12">
        <f t="shared" si="20"/>
        <v>1370.5281216287403</v>
      </c>
      <c r="K37" s="12">
        <f>(H37*Parameters!$B$20*Parameters!$B$24)+(J37*Parameters!$B$20*Parameters!$B$24*(1-Parameters!$B$22))</f>
        <v>463783964.41645604</v>
      </c>
      <c r="M37" s="12">
        <f>B37*Parameters!$B$7</f>
        <v>33671.626337840891</v>
      </c>
      <c r="N37" s="12">
        <f t="shared" si="17"/>
        <v>15000</v>
      </c>
      <c r="O37" s="12">
        <f t="shared" si="13"/>
        <v>48671.626337840891</v>
      </c>
      <c r="P37" s="12">
        <f>Parameters!$B$26*Demand_Volatility!C38</f>
        <v>31846.399999999998</v>
      </c>
      <c r="Q37" s="12">
        <f t="shared" si="21"/>
        <v>31846.399999999998</v>
      </c>
      <c r="R37" s="12">
        <f>MIN(Parameters!$C$13,MAX(0,N37+M37-Q37))</f>
        <v>15000</v>
      </c>
      <c r="S37" s="12">
        <f t="shared" si="22"/>
        <v>1825.2263378408934</v>
      </c>
      <c r="T37" s="12">
        <f>(Q37*Parameters!$B$21)+(S37*Parameters!$B$21*(1-Parameters!$B$23))</f>
        <v>104828842.14054543</v>
      </c>
      <c r="V37" s="12">
        <f t="shared" si="23"/>
        <v>568612806.55700147</v>
      </c>
      <c r="W37" s="26">
        <f>W36*(1+Parameters!$B$36)</f>
        <v>1.031447328076539</v>
      </c>
      <c r="X37" s="12">
        <f>Parameters!$B$30*W37</f>
        <v>252704595.37875205</v>
      </c>
      <c r="Y37" s="12">
        <f>(Parameters!$B$15+Parameters!$B$16*I37)*W37</f>
        <v>6188683.9684592346</v>
      </c>
      <c r="Z37" s="12">
        <f>(Parameters!$C$15+Parameters!$C$16*R37)*Base_Scenario!W37</f>
        <v>1933963.7401435107</v>
      </c>
      <c r="AA37" s="12">
        <f t="shared" si="14"/>
        <v>260827243.08735481</v>
      </c>
      <c r="AB37" s="12">
        <f t="shared" si="24"/>
        <v>307785563.46964669</v>
      </c>
      <c r="AC37" s="6">
        <f>(1+Parameters!$B$39)^-Base_Scenario!A37</f>
        <v>0.93958386881312705</v>
      </c>
      <c r="AD37" s="12">
        <f t="shared" si="25"/>
        <v>289190350.48963892</v>
      </c>
      <c r="AF37" s="12">
        <f t="shared" si="26"/>
        <v>0</v>
      </c>
      <c r="AG37" s="12">
        <f t="shared" ref="AG37:AG68" si="29">IF(B37&lt;B36,0,1)</f>
        <v>0</v>
      </c>
      <c r="AH37" s="12">
        <f t="shared" si="27"/>
        <v>0</v>
      </c>
      <c r="AI37" s="12">
        <f t="shared" si="28"/>
        <v>0</v>
      </c>
    </row>
    <row r="38" spans="1:35" x14ac:dyDescent="0.35">
      <c r="A38" s="5">
        <v>35</v>
      </c>
      <c r="B38" s="12">
        <f>B37*(1-Parameters!$B$9)</f>
        <v>112011.57059599688</v>
      </c>
      <c r="C38" s="21"/>
      <c r="D38" s="12">
        <f>B38*Parameters!$B$6</f>
        <v>78408.099417197809</v>
      </c>
      <c r="E38" s="12">
        <f t="shared" si="16"/>
        <v>50000</v>
      </c>
      <c r="F38" s="12">
        <f t="shared" si="18"/>
        <v>128408.09941719781</v>
      </c>
      <c r="G38" s="12">
        <f>Parameters!$B$25*Demand_Volatility!B39</f>
        <v>75121.8</v>
      </c>
      <c r="H38" s="12">
        <f t="shared" si="19"/>
        <v>75121.8</v>
      </c>
      <c r="I38" s="12">
        <f>MIN(Parameters!$B$13,MAX(0,E38+D38-H38))</f>
        <v>50000</v>
      </c>
      <c r="J38" s="12">
        <f t="shared" si="20"/>
        <v>3286.2994171978062</v>
      </c>
      <c r="K38" s="12">
        <f>(H38*Parameters!$B$20*Parameters!$B$24)+(J38*Parameters!$B$20*Parameters!$B$24*(1-Parameters!$B$22))</f>
        <v>454819554.39515227</v>
      </c>
      <c r="M38" s="12">
        <f>B38*Parameters!$B$7</f>
        <v>33603.47117879906</v>
      </c>
      <c r="N38" s="12">
        <f t="shared" si="17"/>
        <v>15000</v>
      </c>
      <c r="O38" s="12">
        <f t="shared" si="13"/>
        <v>48603.47117879906</v>
      </c>
      <c r="P38" s="12">
        <f>Parameters!$B$26*Demand_Volatility!C39</f>
        <v>32560.000000000004</v>
      </c>
      <c r="Q38" s="12">
        <f t="shared" si="21"/>
        <v>32560.000000000004</v>
      </c>
      <c r="R38" s="12">
        <f>MIN(Parameters!$C$13,MAX(0,N38+M38-Q38))</f>
        <v>15000</v>
      </c>
      <c r="S38" s="12">
        <f t="shared" si="22"/>
        <v>1043.4711787990564</v>
      </c>
      <c r="T38" s="12">
        <f>(Q38*Parameters!$B$21)+(S38*Parameters!$B$21*(1-Parameters!$B$23))</f>
        <v>105861553.88607851</v>
      </c>
      <c r="V38" s="12">
        <f t="shared" si="23"/>
        <v>560681108.28123081</v>
      </c>
      <c r="W38" s="26">
        <f>W37*(1+Parameters!$B$36)</f>
        <v>1.0324155607859951</v>
      </c>
      <c r="X38" s="12">
        <f>Parameters!$B$30*W38</f>
        <v>252941812.3925688</v>
      </c>
      <c r="Y38" s="12">
        <f>(Parameters!$B$15+Parameters!$B$16*I38)*W38</f>
        <v>6194493.3647159701</v>
      </c>
      <c r="Z38" s="12">
        <f>(Parameters!$C$15+Parameters!$C$16*R38)*Base_Scenario!W38</f>
        <v>1935779.1764737407</v>
      </c>
      <c r="AA38" s="12">
        <f t="shared" si="14"/>
        <v>261072084.9337585</v>
      </c>
      <c r="AB38" s="12">
        <f t="shared" si="24"/>
        <v>299609023.34747231</v>
      </c>
      <c r="AC38" s="6">
        <f>(1+Parameters!$B$39)^-Base_Scenario!A38</f>
        <v>0.93786329403842383</v>
      </c>
      <c r="AD38" s="12">
        <f t="shared" si="25"/>
        <v>280992305.5602954</v>
      </c>
      <c r="AF38" s="12">
        <f t="shared" si="26"/>
        <v>0</v>
      </c>
      <c r="AG38" s="12">
        <f t="shared" si="29"/>
        <v>0</v>
      </c>
      <c r="AH38" s="12">
        <f t="shared" si="27"/>
        <v>0</v>
      </c>
      <c r="AI38" s="12">
        <f t="shared" si="28"/>
        <v>0</v>
      </c>
    </row>
    <row r="39" spans="1:35" x14ac:dyDescent="0.35">
      <c r="A39" s="5">
        <v>36</v>
      </c>
      <c r="B39" s="12">
        <f>B38*(1-Parameters!$B$9)</f>
        <v>111784.84657821708</v>
      </c>
      <c r="C39" s="21"/>
      <c r="D39" s="12">
        <f>B39*Parameters!$B$6</f>
        <v>78249.392604751949</v>
      </c>
      <c r="E39" s="12">
        <f t="shared" si="16"/>
        <v>50000</v>
      </c>
      <c r="F39" s="12">
        <f t="shared" si="18"/>
        <v>128249.39260475195</v>
      </c>
      <c r="G39" s="12">
        <f>Parameters!$B$25*Demand_Volatility!B40</f>
        <v>78889.200000000012</v>
      </c>
      <c r="H39" s="12">
        <f t="shared" si="19"/>
        <v>78889.200000000012</v>
      </c>
      <c r="I39" s="12">
        <f>MIN(Parameters!$B$13,MAX(0,E39+D39-H39))</f>
        <v>49360.192604751937</v>
      </c>
      <c r="J39" s="12">
        <f t="shared" si="20"/>
        <v>0</v>
      </c>
      <c r="K39" s="12">
        <f>(H39*Parameters!$B$20*Parameters!$B$24)+(J39*Parameters!$B$20*Parameters!$B$24*(1-Parameters!$B$22))</f>
        <v>471441859.20000005</v>
      </c>
      <c r="M39" s="12">
        <f>B39*Parameters!$B$7</f>
        <v>33535.453973465126</v>
      </c>
      <c r="N39" s="12">
        <f t="shared" si="17"/>
        <v>15000</v>
      </c>
      <c r="O39" s="12">
        <f t="shared" si="13"/>
        <v>48535.453973465126</v>
      </c>
      <c r="P39" s="12">
        <f>Parameters!$B$26*Demand_Volatility!C40</f>
        <v>28608</v>
      </c>
      <c r="Q39" s="12">
        <f t="shared" si="21"/>
        <v>28608</v>
      </c>
      <c r="R39" s="12">
        <f>MIN(Parameters!$C$13,MAX(0,N39+M39-Q39))</f>
        <v>15000</v>
      </c>
      <c r="S39" s="12">
        <f t="shared" si="22"/>
        <v>4927.4539734651262</v>
      </c>
      <c r="T39" s="12">
        <f>(Q39*Parameters!$B$21)+(S39*Parameters!$B$21*(1-Parameters!$B$23))</f>
        <v>99429526.357544199</v>
      </c>
      <c r="V39" s="12">
        <f t="shared" si="23"/>
        <v>570871385.55754423</v>
      </c>
      <c r="W39" s="26">
        <f>W38*(1+Parameters!$B$36)</f>
        <v>1.0333847023877951</v>
      </c>
      <c r="X39" s="12">
        <f>Parameters!$B$30*W39</f>
        <v>253179252.08500981</v>
      </c>
      <c r="Y39" s="12">
        <f>(Parameters!$B$15+Parameters!$B$16*I39)*W39</f>
        <v>6173861.5273378128</v>
      </c>
      <c r="Z39" s="12">
        <f>(Parameters!$C$15+Parameters!$C$16*R39)*Base_Scenario!W39</f>
        <v>1937596.3169771158</v>
      </c>
      <c r="AA39" s="12">
        <f t="shared" si="14"/>
        <v>261290709.92932475</v>
      </c>
      <c r="AB39" s="12">
        <f t="shared" si="24"/>
        <v>309580675.62821949</v>
      </c>
      <c r="AC39" s="6">
        <f>(1+Parameters!$B$39)^-Base_Scenario!A39</f>
        <v>0.93614586999635163</v>
      </c>
      <c r="AD39" s="12">
        <f t="shared" si="25"/>
        <v>289812670.92003787</v>
      </c>
      <c r="AF39" s="12">
        <f t="shared" si="26"/>
        <v>0</v>
      </c>
      <c r="AG39" s="12">
        <f t="shared" si="29"/>
        <v>0</v>
      </c>
      <c r="AH39" s="12">
        <f t="shared" si="27"/>
        <v>0</v>
      </c>
      <c r="AI39" s="12">
        <f t="shared" si="28"/>
        <v>0</v>
      </c>
    </row>
    <row r="40" spans="1:35" x14ac:dyDescent="0.35">
      <c r="A40" s="5">
        <v>37</v>
      </c>
      <c r="B40" s="12">
        <f>B39*(1-Parameters!$B$9)</f>
        <v>111558.58147535086</v>
      </c>
      <c r="C40" s="21"/>
      <c r="D40" s="12">
        <f>B40*Parameters!$B$6</f>
        <v>78091.007032745591</v>
      </c>
      <c r="E40" s="12">
        <f t="shared" si="16"/>
        <v>49360.192604751937</v>
      </c>
      <c r="F40" s="12">
        <f t="shared" si="18"/>
        <v>127451.19963749753</v>
      </c>
      <c r="G40" s="12">
        <f>Parameters!$B$25*Demand_Volatility!B41</f>
        <v>78109.200000000012</v>
      </c>
      <c r="H40" s="12">
        <f t="shared" si="19"/>
        <v>78109.200000000012</v>
      </c>
      <c r="I40" s="12">
        <f>MIN(Parameters!$B$13,MAX(0,E40+D40-H40))</f>
        <v>49341.999637497516</v>
      </c>
      <c r="J40" s="12">
        <f t="shared" si="20"/>
        <v>0</v>
      </c>
      <c r="K40" s="12">
        <f>(H40*Parameters!$B$20*Parameters!$B$24)+(J40*Parameters!$B$20*Parameters!$B$24*(1-Parameters!$B$22))</f>
        <v>466780579.20000005</v>
      </c>
      <c r="M40" s="12">
        <f>B40*Parameters!$B$7</f>
        <v>33467.574442605255</v>
      </c>
      <c r="N40" s="12">
        <f t="shared" si="17"/>
        <v>15000</v>
      </c>
      <c r="O40" s="12">
        <f t="shared" si="13"/>
        <v>48467.574442605255</v>
      </c>
      <c r="P40" s="12">
        <f>Parameters!$B$26*Demand_Volatility!C41</f>
        <v>31465.599999999999</v>
      </c>
      <c r="Q40" s="12">
        <f t="shared" si="21"/>
        <v>31465.599999999999</v>
      </c>
      <c r="R40" s="12">
        <f>MIN(Parameters!$C$13,MAX(0,N40+M40-Q40))</f>
        <v>15000</v>
      </c>
      <c r="S40" s="12">
        <f t="shared" si="22"/>
        <v>2001.9744426052566</v>
      </c>
      <c r="T40" s="12">
        <f>(Q40*Parameters!$B$21)+(S40*Parameters!$B$21*(1-Parameters!$B$23))</f>
        <v>103893079.10816841</v>
      </c>
      <c r="V40" s="12">
        <f t="shared" si="23"/>
        <v>570673658.30816841</v>
      </c>
      <c r="W40" s="26">
        <f>W39*(1+Parameters!$B$36)</f>
        <v>1.0343547537351279</v>
      </c>
      <c r="X40" s="12">
        <f>Parameters!$B$30*W40</f>
        <v>253416914.66510633</v>
      </c>
      <c r="Y40" s="12">
        <f>(Parameters!$B$15+Parameters!$B$16*I40)*W40</f>
        <v>6178904.2902942123</v>
      </c>
      <c r="Z40" s="12">
        <f>(Parameters!$C$15+Parameters!$C$16*R40)*Base_Scenario!W40</f>
        <v>1939415.1632533649</v>
      </c>
      <c r="AA40" s="12">
        <f t="shared" si="14"/>
        <v>261535234.11865389</v>
      </c>
      <c r="AB40" s="12">
        <f t="shared" si="24"/>
        <v>309138424.18951452</v>
      </c>
      <c r="AC40" s="6">
        <f>(1+Parameters!$B$39)^-Base_Scenario!A40</f>
        <v>0.93443159091726002</v>
      </c>
      <c r="AD40" s="12">
        <f t="shared" si="25"/>
        <v>288868709.52906281</v>
      </c>
      <c r="AF40" s="12">
        <f t="shared" si="26"/>
        <v>0</v>
      </c>
      <c r="AG40" s="12">
        <f t="shared" si="29"/>
        <v>0</v>
      </c>
      <c r="AH40" s="12">
        <f t="shared" si="27"/>
        <v>0</v>
      </c>
      <c r="AI40" s="12">
        <f t="shared" si="28"/>
        <v>0</v>
      </c>
    </row>
    <row r="41" spans="1:35" x14ac:dyDescent="0.35">
      <c r="A41" s="5">
        <v>38</v>
      </c>
      <c r="B41" s="12">
        <f>B40*(1-Parameters!$B$9)</f>
        <v>111332.77435850279</v>
      </c>
      <c r="C41" s="21"/>
      <c r="D41" s="12">
        <f>B41*Parameters!$B$6</f>
        <v>77932.942050951955</v>
      </c>
      <c r="E41" s="12">
        <f t="shared" si="16"/>
        <v>49341.999637497516</v>
      </c>
      <c r="F41" s="12">
        <f t="shared" si="18"/>
        <v>127274.94168844947</v>
      </c>
      <c r="G41" s="12">
        <f>Parameters!$B$25*Demand_Volatility!B42</f>
        <v>77259</v>
      </c>
      <c r="H41" s="12">
        <f t="shared" si="19"/>
        <v>77259</v>
      </c>
      <c r="I41" s="12">
        <f>MIN(Parameters!$B$13,MAX(0,E41+D41-H41))</f>
        <v>50000</v>
      </c>
      <c r="J41" s="12">
        <f t="shared" si="20"/>
        <v>15.941688449471258</v>
      </c>
      <c r="K41" s="12">
        <f>(H41*Parameters!$B$20*Parameters!$B$24)+(J41*Parameters!$B$20*Parameters!$B$24*(1-Parameters!$B$22))</f>
        <v>461728364.25905222</v>
      </c>
      <c r="M41" s="12">
        <f>B41*Parameters!$B$7</f>
        <v>33399.832307550838</v>
      </c>
      <c r="N41" s="12">
        <f t="shared" si="17"/>
        <v>15000</v>
      </c>
      <c r="O41" s="12">
        <f t="shared" si="13"/>
        <v>48399.832307550838</v>
      </c>
      <c r="P41" s="12">
        <f>Parameters!$B$26*Demand_Volatility!C42</f>
        <v>31289.599999999999</v>
      </c>
      <c r="Q41" s="12">
        <f t="shared" si="21"/>
        <v>31289.599999999999</v>
      </c>
      <c r="R41" s="12">
        <f>MIN(Parameters!$C$13,MAX(0,N41+M41-Q41))</f>
        <v>15000</v>
      </c>
      <c r="S41" s="12">
        <f t="shared" si="22"/>
        <v>2110.2323075508393</v>
      </c>
      <c r="T41" s="12">
        <f>(Q41*Parameters!$B$21)+(S41*Parameters!$B$21*(1-Parameters!$B$23))</f>
        <v>103503091.69208135</v>
      </c>
      <c r="V41" s="12">
        <f t="shared" si="23"/>
        <v>565231455.95113361</v>
      </c>
      <c r="W41" s="26">
        <f>W40*(1+Parameters!$B$36)</f>
        <v>1.0353257156819831</v>
      </c>
      <c r="X41" s="12">
        <f>Parameters!$B$30*W41</f>
        <v>253654800.34208584</v>
      </c>
      <c r="Y41" s="12">
        <f>(Parameters!$B$15+Parameters!$B$16*I41)*W41</f>
        <v>6211954.294091898</v>
      </c>
      <c r="Z41" s="12">
        <f>(Parameters!$C$15+Parameters!$C$16*R41)*Base_Scenario!W41</f>
        <v>1941235.7169037182</v>
      </c>
      <c r="AA41" s="12">
        <f t="shared" si="14"/>
        <v>261807990.35308146</v>
      </c>
      <c r="AB41" s="12">
        <f t="shared" si="24"/>
        <v>303423465.59805214</v>
      </c>
      <c r="AC41" s="6">
        <f>(1+Parameters!$B$39)^-Base_Scenario!A41</f>
        <v>0.9327204510420628</v>
      </c>
      <c r="AD41" s="12">
        <f t="shared" si="25"/>
        <v>283009271.68936104</v>
      </c>
      <c r="AF41" s="12">
        <f t="shared" si="26"/>
        <v>0</v>
      </c>
      <c r="AG41" s="12">
        <f t="shared" si="29"/>
        <v>0</v>
      </c>
      <c r="AH41" s="12">
        <f t="shared" si="27"/>
        <v>0</v>
      </c>
      <c r="AI41" s="12">
        <f t="shared" si="28"/>
        <v>0</v>
      </c>
    </row>
    <row r="42" spans="1:35" x14ac:dyDescent="0.35">
      <c r="A42" s="5">
        <v>39</v>
      </c>
      <c r="B42" s="12">
        <f>B41*(1-Parameters!$B$9)</f>
        <v>111107.42430065767</v>
      </c>
      <c r="C42" s="21"/>
      <c r="D42" s="12">
        <f>B42*Parameters!$B$6</f>
        <v>77775.197010460368</v>
      </c>
      <c r="E42" s="12">
        <f t="shared" si="16"/>
        <v>50000</v>
      </c>
      <c r="F42" s="12">
        <f t="shared" si="18"/>
        <v>127775.19701046037</v>
      </c>
      <c r="G42" s="12">
        <f>Parameters!$B$25*Demand_Volatility!B43</f>
        <v>76432.2</v>
      </c>
      <c r="H42" s="12">
        <f t="shared" si="19"/>
        <v>76432.2</v>
      </c>
      <c r="I42" s="12">
        <f>MIN(Parameters!$B$13,MAX(0,E42+D42-H42))</f>
        <v>50000</v>
      </c>
      <c r="J42" s="12">
        <f t="shared" si="20"/>
        <v>1342.9970104603708</v>
      </c>
      <c r="K42" s="12">
        <f>(H42*Parameters!$B$20*Parameters!$B$24)+(J42*Parameters!$B$20*Parameters!$B$24*(1-Parameters!$B$22))</f>
        <v>459166552.24035329</v>
      </c>
      <c r="M42" s="12">
        <f>B42*Parameters!$B$7</f>
        <v>33332.227290197297</v>
      </c>
      <c r="N42" s="12">
        <f t="shared" si="17"/>
        <v>15000</v>
      </c>
      <c r="O42" s="12">
        <f t="shared" si="13"/>
        <v>48332.227290197297</v>
      </c>
      <c r="P42" s="12">
        <f>Parameters!$B$26*Demand_Volatility!C43</f>
        <v>32716.799999999999</v>
      </c>
      <c r="Q42" s="12">
        <f t="shared" si="21"/>
        <v>32716.799999999999</v>
      </c>
      <c r="R42" s="12">
        <f>MIN(Parameters!$C$13,MAX(0,N42+M42-Q42))</f>
        <v>15000</v>
      </c>
      <c r="S42" s="12">
        <f t="shared" si="22"/>
        <v>615.42729019729813</v>
      </c>
      <c r="T42" s="12">
        <f>(Q42*Parameters!$B$21)+(S42*Parameters!$B$21*(1-Parameters!$B$23))</f>
        <v>105678443.66431567</v>
      </c>
      <c r="V42" s="12">
        <f t="shared" si="23"/>
        <v>564844995.90466893</v>
      </c>
      <c r="W42" s="26">
        <f>W41*(1+Parameters!$B$36)</f>
        <v>1.0362975890831521</v>
      </c>
      <c r="X42" s="12">
        <f>Parameters!$B$30*W42</f>
        <v>253892909.32537225</v>
      </c>
      <c r="Y42" s="12">
        <f>(Parameters!$B$15+Parameters!$B$16*I42)*W42</f>
        <v>6217785.5344989123</v>
      </c>
      <c r="Z42" s="12">
        <f>(Parameters!$C$15+Parameters!$C$16*R42)*Base_Scenario!W42</f>
        <v>1943057.97953091</v>
      </c>
      <c r="AA42" s="12">
        <f t="shared" si="14"/>
        <v>262053752.83940205</v>
      </c>
      <c r="AB42" s="12">
        <f t="shared" si="24"/>
        <v>302791243.06526685</v>
      </c>
      <c r="AC42" s="6">
        <f>(1+Parameters!$B$39)^-Base_Scenario!A42</f>
        <v>0.93101244462222088</v>
      </c>
      <c r="AD42" s="12">
        <f t="shared" si="25"/>
        <v>281902415.41639519</v>
      </c>
      <c r="AF42" s="12">
        <f t="shared" si="26"/>
        <v>0</v>
      </c>
      <c r="AG42" s="12">
        <f t="shared" si="29"/>
        <v>0</v>
      </c>
      <c r="AH42" s="12">
        <f t="shared" si="27"/>
        <v>0</v>
      </c>
      <c r="AI42" s="12">
        <f t="shared" si="28"/>
        <v>0</v>
      </c>
    </row>
    <row r="43" spans="1:35" x14ac:dyDescent="0.35">
      <c r="A43" s="5">
        <v>40</v>
      </c>
      <c r="B43" s="12">
        <f>B42*(1-Parameters!$B$9)</f>
        <v>110882.53037667667</v>
      </c>
      <c r="C43" s="21"/>
      <c r="D43" s="12">
        <f>B43*Parameters!$B$6</f>
        <v>77617.771263673669</v>
      </c>
      <c r="E43" s="12">
        <f t="shared" si="16"/>
        <v>50000</v>
      </c>
      <c r="F43" s="12">
        <f t="shared" si="18"/>
        <v>127617.77126367367</v>
      </c>
      <c r="G43" s="12">
        <f>Parameters!$B$25*Demand_Volatility!B44</f>
        <v>80121.599999999991</v>
      </c>
      <c r="H43" s="12">
        <f t="shared" si="19"/>
        <v>80121.599999999991</v>
      </c>
      <c r="I43" s="12">
        <f>MIN(Parameters!$B$13,MAX(0,E43+D43-H43))</f>
        <v>47496.171263673677</v>
      </c>
      <c r="J43" s="12">
        <f t="shared" si="20"/>
        <v>0</v>
      </c>
      <c r="K43" s="12">
        <f>(H43*Parameters!$B$20*Parameters!$B$24)+(J43*Parameters!$B$20*Parameters!$B$24*(1-Parameters!$B$22))</f>
        <v>478806681.59999996</v>
      </c>
      <c r="M43" s="12">
        <f>B43*Parameters!$B$7</f>
        <v>33264.759113002998</v>
      </c>
      <c r="N43" s="12">
        <f t="shared" si="17"/>
        <v>15000</v>
      </c>
      <c r="O43" s="12">
        <f t="shared" si="13"/>
        <v>48264.759113002998</v>
      </c>
      <c r="P43" s="12">
        <f>Parameters!$B$26*Demand_Volatility!C44</f>
        <v>32256</v>
      </c>
      <c r="Q43" s="12">
        <f t="shared" si="21"/>
        <v>32256</v>
      </c>
      <c r="R43" s="12">
        <f>MIN(Parameters!$C$13,MAX(0,N43+M43-Q43))</f>
        <v>15000</v>
      </c>
      <c r="S43" s="12">
        <f t="shared" si="22"/>
        <v>1008.7591130029978</v>
      </c>
      <c r="T43" s="12">
        <f>(Q43*Parameters!$B$21)+(S43*Parameters!$B$21*(1-Parameters!$B$23))</f>
        <v>104833214.5808048</v>
      </c>
      <c r="V43" s="12">
        <f t="shared" si="23"/>
        <v>583639896.18080473</v>
      </c>
      <c r="W43" s="26">
        <f>W42*(1+Parameters!$B$36)</f>
        <v>1.0372703747942285</v>
      </c>
      <c r="X43" s="12">
        <f>Parameters!$B$30*W43</f>
        <v>254131241.82458597</v>
      </c>
      <c r="Y43" s="12">
        <f>(Parameters!$B$15+Parameters!$B$16*I43)*W43</f>
        <v>6119736.3538953802</v>
      </c>
      <c r="Z43" s="12">
        <f>(Parameters!$C$15+Parameters!$C$16*R43)*Base_Scenario!W43</f>
        <v>1944881.9527391784</v>
      </c>
      <c r="AA43" s="12">
        <f t="shared" si="14"/>
        <v>262195860.13122052</v>
      </c>
      <c r="AB43" s="12">
        <f t="shared" si="24"/>
        <v>321444036.04958421</v>
      </c>
      <c r="AC43" s="6">
        <f>(1+Parameters!$B$39)^-Base_Scenario!A43</f>
        <v>0.92930756591972086</v>
      </c>
      <c r="AD43" s="12">
        <f t="shared" si="25"/>
        <v>298720374.72065008</v>
      </c>
      <c r="AF43" s="12">
        <f t="shared" si="26"/>
        <v>0</v>
      </c>
      <c r="AG43" s="12">
        <f t="shared" si="29"/>
        <v>0</v>
      </c>
      <c r="AH43" s="12">
        <f t="shared" si="27"/>
        <v>0</v>
      </c>
      <c r="AI43" s="12">
        <f t="shared" si="28"/>
        <v>0</v>
      </c>
    </row>
    <row r="44" spans="1:35" x14ac:dyDescent="0.35">
      <c r="A44" s="5">
        <v>41</v>
      </c>
      <c r="B44" s="12">
        <f>B43*(1-Parameters!$B$9)</f>
        <v>110658.09166329354</v>
      </c>
      <c r="C44" s="21"/>
      <c r="D44" s="12">
        <f>B44*Parameters!$B$6</f>
        <v>77460.664164305475</v>
      </c>
      <c r="E44" s="12">
        <f t="shared" si="16"/>
        <v>47496.171263673677</v>
      </c>
      <c r="F44" s="12">
        <f t="shared" si="18"/>
        <v>124956.83542797915</v>
      </c>
      <c r="G44" s="12">
        <f>Parameters!$B$25*Demand_Volatility!B45</f>
        <v>77165.399999999994</v>
      </c>
      <c r="H44" s="12">
        <f t="shared" si="19"/>
        <v>77165.399999999994</v>
      </c>
      <c r="I44" s="12">
        <f>MIN(Parameters!$B$13,MAX(0,E44+D44-H44))</f>
        <v>47791.435427979159</v>
      </c>
      <c r="J44" s="12">
        <f t="shared" si="20"/>
        <v>0</v>
      </c>
      <c r="K44" s="12">
        <f>(H44*Parameters!$B$20*Parameters!$B$24)+(J44*Parameters!$B$20*Parameters!$B$24*(1-Parameters!$B$22))</f>
        <v>461140430.39999998</v>
      </c>
      <c r="M44" s="12">
        <f>B44*Parameters!$B$7</f>
        <v>33197.427498988058</v>
      </c>
      <c r="N44" s="12">
        <f t="shared" si="17"/>
        <v>15000</v>
      </c>
      <c r="O44" s="12">
        <f t="shared" si="13"/>
        <v>48197.427498988058</v>
      </c>
      <c r="P44" s="12">
        <f>Parameters!$B$26*Demand_Volatility!C45</f>
        <v>33212.800000000003</v>
      </c>
      <c r="Q44" s="12">
        <f t="shared" si="21"/>
        <v>33212.800000000003</v>
      </c>
      <c r="R44" s="12">
        <f>MIN(Parameters!$C$13,MAX(0,N44+M44-Q44))</f>
        <v>14984.627498988055</v>
      </c>
      <c r="S44" s="12">
        <f t="shared" si="22"/>
        <v>0</v>
      </c>
      <c r="T44" s="12">
        <f>(Q44*Parameters!$B$21)+(S44*Parameters!$B$21*(1-Parameters!$B$23))</f>
        <v>106280960.00000001</v>
      </c>
      <c r="V44" s="12">
        <f t="shared" si="23"/>
        <v>567421390.39999998</v>
      </c>
      <c r="W44" s="26">
        <f>W43*(1+Parameters!$B$36)</f>
        <v>1.0382440736716092</v>
      </c>
      <c r="X44" s="12">
        <f>Parameters!$B$30*W44</f>
        <v>254369798.04954425</v>
      </c>
      <c r="Y44" s="12">
        <f>(Parameters!$B$15+Parameters!$B$16*I44)*W44</f>
        <v>6137743.2789007863</v>
      </c>
      <c r="Z44" s="12">
        <f>(Parameters!$C$15+Parameters!$C$16*R44)*Base_Scenario!W44</f>
        <v>1946308.6279324382</v>
      </c>
      <c r="AA44" s="12">
        <f t="shared" si="14"/>
        <v>262453849.95637745</v>
      </c>
      <c r="AB44" s="12">
        <f t="shared" si="24"/>
        <v>304967540.44362253</v>
      </c>
      <c r="AC44" s="6">
        <f>(1+Parameters!$B$39)^-Base_Scenario!A44</f>
        <v>0.92760580920705826</v>
      </c>
      <c r="AD44" s="12">
        <f t="shared" si="25"/>
        <v>282889662.13509274</v>
      </c>
      <c r="AF44" s="12">
        <f t="shared" si="26"/>
        <v>0</v>
      </c>
      <c r="AG44" s="12">
        <f t="shared" si="29"/>
        <v>0</v>
      </c>
      <c r="AH44" s="12">
        <f t="shared" si="27"/>
        <v>0</v>
      </c>
      <c r="AI44" s="12">
        <f t="shared" si="28"/>
        <v>0</v>
      </c>
    </row>
    <row r="45" spans="1:35" x14ac:dyDescent="0.35">
      <c r="A45" s="5">
        <v>42</v>
      </c>
      <c r="B45" s="12">
        <f>B44*(1-Parameters!$B$9)</f>
        <v>110434.10723911082</v>
      </c>
      <c r="C45" s="21"/>
      <c r="D45" s="12">
        <f>B45*Parameters!$B$6</f>
        <v>77303.875067377565</v>
      </c>
      <c r="E45" s="12">
        <f t="shared" si="16"/>
        <v>47791.435427979159</v>
      </c>
      <c r="F45" s="12">
        <f t="shared" si="18"/>
        <v>125095.31049535672</v>
      </c>
      <c r="G45" s="12">
        <f>Parameters!$B$25*Demand_Volatility!B46</f>
        <v>81712.800000000003</v>
      </c>
      <c r="H45" s="12">
        <f t="shared" si="19"/>
        <v>81712.800000000003</v>
      </c>
      <c r="I45" s="12">
        <f>MIN(Parameters!$B$13,MAX(0,E45+D45-H45))</f>
        <v>43382.510495356721</v>
      </c>
      <c r="J45" s="12">
        <f t="shared" si="20"/>
        <v>0</v>
      </c>
      <c r="K45" s="12">
        <f>(H45*Parameters!$B$20*Parameters!$B$24)+(J45*Parameters!$B$20*Parameters!$B$24*(1-Parameters!$B$22))</f>
        <v>488315692.80000007</v>
      </c>
      <c r="M45" s="12">
        <f>B45*Parameters!$B$7</f>
        <v>33130.232171733245</v>
      </c>
      <c r="N45" s="12">
        <f t="shared" si="17"/>
        <v>14984.627498988055</v>
      </c>
      <c r="O45" s="12">
        <f t="shared" si="13"/>
        <v>48114.8596707213</v>
      </c>
      <c r="P45" s="12">
        <f>Parameters!$B$26*Demand_Volatility!C46</f>
        <v>31740.799999999999</v>
      </c>
      <c r="Q45" s="12">
        <f t="shared" si="21"/>
        <v>31740.799999999999</v>
      </c>
      <c r="R45" s="12">
        <f>MIN(Parameters!$C$13,MAX(0,N45+M45-Q45))</f>
        <v>15000</v>
      </c>
      <c r="S45" s="12">
        <f t="shared" si="22"/>
        <v>1374.0596707213008</v>
      </c>
      <c r="T45" s="12">
        <f>(Q45*Parameters!$B$21)+(S45*Parameters!$B$21*(1-Parameters!$B$23))</f>
        <v>103769055.47315408</v>
      </c>
      <c r="V45" s="12">
        <f t="shared" si="23"/>
        <v>592084748.27315414</v>
      </c>
      <c r="W45" s="26">
        <f>W44*(1+Parameters!$B$36)</f>
        <v>1.0392186865724953</v>
      </c>
      <c r="X45" s="12">
        <f>Parameters!$B$30*W45</f>
        <v>254608578.21026134</v>
      </c>
      <c r="Y45" s="12">
        <f>(Parameters!$B$15+Parameters!$B$16*I45)*W45</f>
        <v>5960231.3693780657</v>
      </c>
      <c r="Z45" s="12">
        <f>(Parameters!$C$15+Parameters!$C$16*R45)*Base_Scenario!W45</f>
        <v>1948535.0373234286</v>
      </c>
      <c r="AA45" s="12">
        <f t="shared" si="14"/>
        <v>262517344.61696282</v>
      </c>
      <c r="AB45" s="12">
        <f t="shared" si="24"/>
        <v>329567403.65619135</v>
      </c>
      <c r="AC45" s="6">
        <f>(1+Parameters!$B$39)^-Base_Scenario!A45</f>
        <v>0.92590716876721524</v>
      </c>
      <c r="AD45" s="12">
        <f t="shared" si="25"/>
        <v>305148821.6372661</v>
      </c>
      <c r="AF45" s="12">
        <f t="shared" si="26"/>
        <v>0</v>
      </c>
      <c r="AG45" s="12">
        <f t="shared" si="29"/>
        <v>0</v>
      </c>
      <c r="AH45" s="12">
        <f t="shared" si="27"/>
        <v>0</v>
      </c>
      <c r="AI45" s="12">
        <f t="shared" si="28"/>
        <v>0</v>
      </c>
    </row>
    <row r="46" spans="1:35" x14ac:dyDescent="0.35">
      <c r="A46" s="5">
        <v>43</v>
      </c>
      <c r="B46" s="12">
        <f>B45*(1-Parameters!$B$9)</f>
        <v>110210.57618459608</v>
      </c>
      <c r="C46" s="21"/>
      <c r="D46" s="12">
        <f>B46*Parameters!$B$6</f>
        <v>77147.403329217253</v>
      </c>
      <c r="E46" s="12">
        <f t="shared" si="16"/>
        <v>43382.510495356721</v>
      </c>
      <c r="F46" s="12">
        <f t="shared" si="18"/>
        <v>120529.91382457397</v>
      </c>
      <c r="G46" s="12">
        <f>Parameters!$B$25*Demand_Volatility!B47</f>
        <v>76237.2</v>
      </c>
      <c r="H46" s="12">
        <f t="shared" si="19"/>
        <v>76237.2</v>
      </c>
      <c r="I46" s="12">
        <f>MIN(Parameters!$B$13,MAX(0,E46+D46-H46))</f>
        <v>44292.713824573977</v>
      </c>
      <c r="J46" s="12">
        <f t="shared" si="20"/>
        <v>0</v>
      </c>
      <c r="K46" s="12">
        <f>(H46*Parameters!$B$20*Parameters!$B$24)+(J46*Parameters!$B$20*Parameters!$B$24*(1-Parameters!$B$22))</f>
        <v>455593507.19999993</v>
      </c>
      <c r="M46" s="12">
        <f>B46*Parameters!$B$7</f>
        <v>33063.17285537882</v>
      </c>
      <c r="N46" s="12">
        <f t="shared" si="17"/>
        <v>15000</v>
      </c>
      <c r="O46" s="12">
        <f t="shared" si="13"/>
        <v>48063.17285537882</v>
      </c>
      <c r="P46" s="12">
        <f>Parameters!$B$26*Demand_Volatility!C47</f>
        <v>31139.199999999997</v>
      </c>
      <c r="Q46" s="12">
        <f t="shared" si="21"/>
        <v>31139.199999999997</v>
      </c>
      <c r="R46" s="12">
        <f>MIN(Parameters!$C$13,MAX(0,N46+M46-Q46))</f>
        <v>15000</v>
      </c>
      <c r="S46" s="12">
        <f t="shared" si="22"/>
        <v>1923.9728553788227</v>
      </c>
      <c r="T46" s="12">
        <f>(Q46*Parameters!$B$21)+(S46*Parameters!$B$21*(1-Parameters!$B$23))</f>
        <v>102723796.56860611</v>
      </c>
      <c r="V46" s="12">
        <f t="shared" si="23"/>
        <v>558317303.76860607</v>
      </c>
      <c r="W46" s="26">
        <f>W45*(1+Parameters!$B$36)</f>
        <v>1.0401942143548919</v>
      </c>
      <c r="X46" s="12">
        <f>Parameters!$B$30*W46</f>
        <v>254847582.51694852</v>
      </c>
      <c r="Y46" s="12">
        <f>(Parameters!$B$15+Parameters!$B$16*I46)*W46</f>
        <v>6003697.843755519</v>
      </c>
      <c r="Z46" s="12">
        <f>(Parameters!$C$15+Parameters!$C$16*R46)*Base_Scenario!W46</f>
        <v>1950364.1519154224</v>
      </c>
      <c r="AA46" s="12">
        <f t="shared" si="14"/>
        <v>262801644.51261947</v>
      </c>
      <c r="AB46" s="12">
        <f t="shared" si="24"/>
        <v>295515659.25598657</v>
      </c>
      <c r="AC46" s="6">
        <f>(1+Parameters!$B$39)^-Base_Scenario!A46</f>
        <v>0.92421163889364466</v>
      </c>
      <c r="AD46" s="12">
        <f t="shared" si="25"/>
        <v>273119011.75971121</v>
      </c>
      <c r="AF46" s="12">
        <f t="shared" si="26"/>
        <v>0</v>
      </c>
      <c r="AG46" s="12">
        <f t="shared" si="29"/>
        <v>0</v>
      </c>
      <c r="AH46" s="12">
        <f t="shared" si="27"/>
        <v>0</v>
      </c>
      <c r="AI46" s="12">
        <f t="shared" si="28"/>
        <v>0</v>
      </c>
    </row>
    <row r="47" spans="1:35" x14ac:dyDescent="0.35">
      <c r="A47" s="5">
        <v>44</v>
      </c>
      <c r="B47" s="12">
        <f>B46*(1-Parameters!$B$9)</f>
        <v>109987.49758207811</v>
      </c>
      <c r="C47" s="21"/>
      <c r="D47" s="12">
        <f>B47*Parameters!$B$6</f>
        <v>76991.248307454676</v>
      </c>
      <c r="E47" s="12">
        <f t="shared" si="16"/>
        <v>44292.713824573977</v>
      </c>
      <c r="F47" s="12">
        <f t="shared" si="18"/>
        <v>121283.96213202865</v>
      </c>
      <c r="G47" s="12">
        <f>Parameters!$B$25*Demand_Volatility!B48</f>
        <v>75106.2</v>
      </c>
      <c r="H47" s="12">
        <f t="shared" si="19"/>
        <v>75106.2</v>
      </c>
      <c r="I47" s="12">
        <f>MIN(Parameters!$B$13,MAX(0,E47+D47-H47))</f>
        <v>46177.762132028656</v>
      </c>
      <c r="J47" s="12">
        <f t="shared" si="20"/>
        <v>0</v>
      </c>
      <c r="K47" s="12">
        <f>(H47*Parameters!$B$20*Parameters!$B$24)+(J47*Parameters!$B$20*Parameters!$B$24*(1-Parameters!$B$22))</f>
        <v>448834651.19999993</v>
      </c>
      <c r="M47" s="12">
        <f>B47*Parameters!$B$7</f>
        <v>32996.249274623435</v>
      </c>
      <c r="N47" s="12">
        <f t="shared" si="17"/>
        <v>15000</v>
      </c>
      <c r="O47" s="12">
        <f t="shared" si="13"/>
        <v>47996.249274623435</v>
      </c>
      <c r="P47" s="12">
        <f>Parameters!$B$26*Demand_Volatility!C48</f>
        <v>33331.200000000004</v>
      </c>
      <c r="Q47" s="12">
        <f t="shared" si="21"/>
        <v>33331.200000000004</v>
      </c>
      <c r="R47" s="12">
        <f>MIN(Parameters!$C$13,MAX(0,N47+M47-Q47))</f>
        <v>14665.04927462343</v>
      </c>
      <c r="S47" s="12">
        <f t="shared" si="22"/>
        <v>0</v>
      </c>
      <c r="T47" s="12">
        <f>(Q47*Parameters!$B$21)+(S47*Parameters!$B$21*(1-Parameters!$B$23))</f>
        <v>106659840.00000001</v>
      </c>
      <c r="V47" s="12">
        <f t="shared" si="23"/>
        <v>555494491.19999993</v>
      </c>
      <c r="W47" s="26">
        <f>W46*(1+Parameters!$B$36)</f>
        <v>1.0411706578776101</v>
      </c>
      <c r="X47" s="12">
        <f>Parameters!$B$30*W47</f>
        <v>255086811.18001446</v>
      </c>
      <c r="Y47" s="12">
        <f>(Parameters!$B$15+Parameters!$B$16*I47)*W47</f>
        <v>6087839.8706432432</v>
      </c>
      <c r="Z47" s="12">
        <f>(Parameters!$C$15+Parameters!$C$16*R47)*Base_Scenario!W47</f>
        <v>1943476.4618430964</v>
      </c>
      <c r="AA47" s="12">
        <f t="shared" si="14"/>
        <v>263118127.51250079</v>
      </c>
      <c r="AB47" s="12">
        <f t="shared" si="24"/>
        <v>292376363.68749917</v>
      </c>
      <c r="AC47" s="6">
        <f>(1+Parameters!$B$39)^-Base_Scenario!A47</f>
        <v>0.92251921389024771</v>
      </c>
      <c r="AD47" s="12">
        <f t="shared" si="25"/>
        <v>269722813.18908089</v>
      </c>
      <c r="AF47" s="12">
        <f t="shared" si="26"/>
        <v>0</v>
      </c>
      <c r="AG47" s="12">
        <f t="shared" si="29"/>
        <v>0</v>
      </c>
      <c r="AH47" s="12">
        <f t="shared" si="27"/>
        <v>0</v>
      </c>
      <c r="AI47" s="12">
        <f t="shared" si="28"/>
        <v>0</v>
      </c>
    </row>
    <row r="48" spans="1:35" x14ac:dyDescent="0.35">
      <c r="A48" s="5">
        <v>45</v>
      </c>
      <c r="B48" s="12">
        <f>B47*(1-Parameters!$B$9)</f>
        <v>109764.8705157432</v>
      </c>
      <c r="C48" s="21"/>
      <c r="D48" s="12">
        <f>B48*Parameters!$B$6</f>
        <v>76835.40936102024</v>
      </c>
      <c r="E48" s="12">
        <f t="shared" si="16"/>
        <v>46177.762132028656</v>
      </c>
      <c r="F48" s="12">
        <f t="shared" si="18"/>
        <v>123013.1714930489</v>
      </c>
      <c r="G48" s="12">
        <f>Parameters!$B$25*Demand_Volatility!B49</f>
        <v>80464.800000000003</v>
      </c>
      <c r="H48" s="12">
        <f t="shared" si="19"/>
        <v>80464.800000000003</v>
      </c>
      <c r="I48" s="12">
        <f>MIN(Parameters!$B$13,MAX(0,E48+D48-H48))</f>
        <v>42548.371493048893</v>
      </c>
      <c r="J48" s="12">
        <f t="shared" si="20"/>
        <v>0</v>
      </c>
      <c r="K48" s="12">
        <f>(H48*Parameters!$B$20*Parameters!$B$24)+(J48*Parameters!$B$20*Parameters!$B$24*(1-Parameters!$B$22))</f>
        <v>480857644.80000007</v>
      </c>
      <c r="M48" s="12">
        <f>B48*Parameters!$B$7</f>
        <v>32929.461154722958</v>
      </c>
      <c r="N48" s="12">
        <f t="shared" si="17"/>
        <v>14665.04927462343</v>
      </c>
      <c r="O48" s="12">
        <f t="shared" si="13"/>
        <v>47594.510429346388</v>
      </c>
      <c r="P48" s="12">
        <f>Parameters!$B$26*Demand_Volatility!C49</f>
        <v>31836.799999999999</v>
      </c>
      <c r="Q48" s="12">
        <f t="shared" si="21"/>
        <v>31836.799999999999</v>
      </c>
      <c r="R48" s="12">
        <f>MIN(Parameters!$C$13,MAX(0,N48+M48-Q48))</f>
        <v>15000</v>
      </c>
      <c r="S48" s="12">
        <f t="shared" si="22"/>
        <v>757.71042934638899</v>
      </c>
      <c r="T48" s="12">
        <f>(Q48*Parameters!$B$21)+(S48*Parameters!$B$21*(1-Parameters!$B$23))</f>
        <v>103090096.68695422</v>
      </c>
      <c r="V48" s="12">
        <f t="shared" si="23"/>
        <v>583947741.48695433</v>
      </c>
      <c r="W48" s="26">
        <f>W47*(1+Parameters!$B$36)</f>
        <v>1.0421480180002671</v>
      </c>
      <c r="X48" s="12">
        <f>Parameters!$B$30*W48</f>
        <v>255326264.41006544</v>
      </c>
      <c r="Y48" s="12">
        <f>(Parameters!$B$15+Parameters!$B$16*I48)*W48</f>
        <v>5942260.1128258677</v>
      </c>
      <c r="Z48" s="12">
        <f>(Parameters!$C$15+Parameters!$C$16*R48)*Base_Scenario!W48</f>
        <v>1954027.5337505008</v>
      </c>
      <c r="AA48" s="12">
        <f t="shared" si="14"/>
        <v>263222552.05664182</v>
      </c>
      <c r="AB48" s="12">
        <f t="shared" si="24"/>
        <v>320725189.43031251</v>
      </c>
      <c r="AC48" s="6">
        <f>(1+Parameters!$B$39)^-Base_Scenario!A48</f>
        <v>0.92082988807135779</v>
      </c>
      <c r="AD48" s="12">
        <f t="shared" si="25"/>
        <v>295333340.28477973</v>
      </c>
      <c r="AF48" s="12">
        <f t="shared" si="26"/>
        <v>0</v>
      </c>
      <c r="AG48" s="12">
        <f t="shared" si="29"/>
        <v>0</v>
      </c>
      <c r="AH48" s="12">
        <f t="shared" si="27"/>
        <v>0</v>
      </c>
      <c r="AI48" s="12">
        <f t="shared" si="28"/>
        <v>0</v>
      </c>
    </row>
    <row r="49" spans="1:35" x14ac:dyDescent="0.35">
      <c r="A49" s="5">
        <v>46</v>
      </c>
      <c r="B49" s="12">
        <f>B48*(1-Parameters!$B$9)</f>
        <v>109542.6940716313</v>
      </c>
      <c r="C49" s="21"/>
      <c r="D49" s="12">
        <f>B49*Parameters!$B$6</f>
        <v>76679.885850141902</v>
      </c>
      <c r="E49" s="12">
        <f t="shared" si="16"/>
        <v>42548.371493048893</v>
      </c>
      <c r="F49" s="12">
        <f t="shared" si="18"/>
        <v>119228.25734319079</v>
      </c>
      <c r="G49" s="12">
        <f>Parameters!$B$25*Demand_Volatility!B50</f>
        <v>74178</v>
      </c>
      <c r="H49" s="12">
        <f t="shared" si="19"/>
        <v>74178</v>
      </c>
      <c r="I49" s="12">
        <f>MIN(Parameters!$B$13,MAX(0,E49+D49-H49))</f>
        <v>45050.257343190795</v>
      </c>
      <c r="J49" s="12">
        <f t="shared" si="20"/>
        <v>0</v>
      </c>
      <c r="K49" s="12">
        <f>(H49*Parameters!$B$20*Parameters!$B$24)+(J49*Parameters!$B$20*Parameters!$B$24*(1-Parameters!$B$22))</f>
        <v>443287728</v>
      </c>
      <c r="M49" s="12">
        <f>B49*Parameters!$B$7</f>
        <v>32862.808221489388</v>
      </c>
      <c r="N49" s="12">
        <f t="shared" si="17"/>
        <v>15000</v>
      </c>
      <c r="O49" s="12">
        <f t="shared" si="13"/>
        <v>47862.808221489388</v>
      </c>
      <c r="P49" s="12">
        <f>Parameters!$B$26*Demand_Volatility!C50</f>
        <v>32675.199999999997</v>
      </c>
      <c r="Q49" s="12">
        <f t="shared" si="21"/>
        <v>32675.199999999997</v>
      </c>
      <c r="R49" s="12">
        <f>MIN(Parameters!$C$13,MAX(0,N49+M49-Q49))</f>
        <v>15000</v>
      </c>
      <c r="S49" s="12">
        <f t="shared" si="22"/>
        <v>187.60822148939042</v>
      </c>
      <c r="T49" s="12">
        <f>(Q49*Parameters!$B$21)+(S49*Parameters!$B$21*(1-Parameters!$B$23))</f>
        <v>104860813.154383</v>
      </c>
      <c r="V49" s="12">
        <f t="shared" si="23"/>
        <v>548148541.15438294</v>
      </c>
      <c r="W49" s="26">
        <f>W48*(1+Parameters!$B$36)</f>
        <v>1.0431262955832867</v>
      </c>
      <c r="X49" s="12">
        <f>Parameters!$B$30*W49</f>
        <v>255565942.41790524</v>
      </c>
      <c r="Y49" s="12">
        <f>(Parameters!$B$15+Parameters!$B$16*I49)*W49</f>
        <v>6052229.504632202</v>
      </c>
      <c r="Z49" s="12">
        <f>(Parameters!$C$15+Parameters!$C$16*R49)*Base_Scenario!W49</f>
        <v>1955861.8042186627</v>
      </c>
      <c r="AA49" s="12">
        <f t="shared" si="14"/>
        <v>263574033.7267561</v>
      </c>
      <c r="AB49" s="12">
        <f t="shared" si="24"/>
        <v>284574507.42762685</v>
      </c>
      <c r="AC49" s="6">
        <f>(1+Parameters!$B$39)^-Base_Scenario!A49</f>
        <v>0.9191436557617183</v>
      </c>
      <c r="AD49" s="12">
        <f t="shared" si="25"/>
        <v>261564853.0936192</v>
      </c>
      <c r="AF49" s="12">
        <f t="shared" si="26"/>
        <v>0</v>
      </c>
      <c r="AG49" s="12">
        <f t="shared" si="29"/>
        <v>0</v>
      </c>
      <c r="AH49" s="12">
        <f t="shared" si="27"/>
        <v>0</v>
      </c>
      <c r="AI49" s="12">
        <f t="shared" si="28"/>
        <v>0</v>
      </c>
    </row>
    <row r="50" spans="1:35" x14ac:dyDescent="0.35">
      <c r="A50" s="5">
        <v>47</v>
      </c>
      <c r="B50" s="12">
        <f>B49*(1-Parameters!$B$9)</f>
        <v>109320.96733763235</v>
      </c>
      <c r="C50" s="21"/>
      <c r="D50" s="12">
        <f>B50*Parameters!$B$6</f>
        <v>76524.677136342638</v>
      </c>
      <c r="E50" s="12">
        <f t="shared" si="16"/>
        <v>45050.257343190795</v>
      </c>
      <c r="F50" s="12">
        <f t="shared" si="18"/>
        <v>121574.93447953343</v>
      </c>
      <c r="G50" s="12">
        <f>Parameters!$B$25*Demand_Volatility!B51</f>
        <v>79248</v>
      </c>
      <c r="H50" s="12">
        <f t="shared" si="19"/>
        <v>79248</v>
      </c>
      <c r="I50" s="12">
        <f>MIN(Parameters!$B$13,MAX(0,E50+D50-H50))</f>
        <v>42326.934479533433</v>
      </c>
      <c r="J50" s="12">
        <f t="shared" si="20"/>
        <v>0</v>
      </c>
      <c r="K50" s="12">
        <f>(H50*Parameters!$B$20*Parameters!$B$24)+(J50*Parameters!$B$20*Parameters!$B$24*(1-Parameters!$B$22))</f>
        <v>473586048</v>
      </c>
      <c r="M50" s="12">
        <f>B50*Parameters!$B$7</f>
        <v>32796.290201289703</v>
      </c>
      <c r="N50" s="12">
        <f t="shared" si="17"/>
        <v>15000</v>
      </c>
      <c r="O50" s="12">
        <f t="shared" si="13"/>
        <v>47796.290201289703</v>
      </c>
      <c r="P50" s="12">
        <f>Parameters!$B$26*Demand_Volatility!C51</f>
        <v>33315.199999999997</v>
      </c>
      <c r="Q50" s="12">
        <f t="shared" si="21"/>
        <v>33315.199999999997</v>
      </c>
      <c r="R50" s="12">
        <f>MIN(Parameters!$C$13,MAX(0,N50+M50-Q50))</f>
        <v>14481.090201289706</v>
      </c>
      <c r="S50" s="12">
        <f t="shared" si="22"/>
        <v>0</v>
      </c>
      <c r="T50" s="12">
        <f>(Q50*Parameters!$B$21)+(S50*Parameters!$B$21*(1-Parameters!$B$23))</f>
        <v>106608639.99999999</v>
      </c>
      <c r="V50" s="12">
        <f t="shared" si="23"/>
        <v>580194688</v>
      </c>
      <c r="W50" s="26">
        <f>W49*(1+Parameters!$B$36)</f>
        <v>1.0441054914879007</v>
      </c>
      <c r="X50" s="12">
        <f>Parameters!$B$30*W50</f>
        <v>255805845.41453567</v>
      </c>
      <c r="Y50" s="12">
        <f>(Parameters!$B$15+Parameters!$B$16*I50)*W50</f>
        <v>5944173.3550687796</v>
      </c>
      <c r="Z50" s="12">
        <f>(Parameters!$C$15+Parameters!$C$16*R50)*Base_Scenario!W50</f>
        <v>1944152.8822793064</v>
      </c>
      <c r="AA50" s="12">
        <f t="shared" si="14"/>
        <v>263694171.65188375</v>
      </c>
      <c r="AB50" s="12">
        <f t="shared" si="24"/>
        <v>316500516.34811628</v>
      </c>
      <c r="AC50" s="6">
        <f>(1+Parameters!$B$39)^-Base_Scenario!A50</f>
        <v>0.91746051129646722</v>
      </c>
      <c r="AD50" s="12">
        <f t="shared" si="25"/>
        <v>290376725.55433863</v>
      </c>
      <c r="AF50" s="12">
        <f t="shared" si="26"/>
        <v>0</v>
      </c>
      <c r="AG50" s="12">
        <f t="shared" si="29"/>
        <v>0</v>
      </c>
      <c r="AH50" s="12">
        <f t="shared" si="27"/>
        <v>0</v>
      </c>
      <c r="AI50" s="12">
        <f t="shared" si="28"/>
        <v>0</v>
      </c>
    </row>
    <row r="51" spans="1:35" x14ac:dyDescent="0.35">
      <c r="A51" s="5">
        <v>48</v>
      </c>
      <c r="B51" s="12">
        <f>B50*(1-Parameters!$B$9)</f>
        <v>109099.68940348251</v>
      </c>
      <c r="C51" s="21"/>
      <c r="D51" s="12">
        <f>B51*Parameters!$B$6</f>
        <v>76369.782582437751</v>
      </c>
      <c r="E51" s="12">
        <f t="shared" si="16"/>
        <v>42326.934479533433</v>
      </c>
      <c r="F51" s="12">
        <f t="shared" si="18"/>
        <v>118696.71706197118</v>
      </c>
      <c r="G51" s="12">
        <f>Parameters!$B$25*Demand_Volatility!B52</f>
        <v>76572.600000000006</v>
      </c>
      <c r="H51" s="12">
        <f t="shared" si="19"/>
        <v>76572.600000000006</v>
      </c>
      <c r="I51" s="12">
        <f>MIN(Parameters!$B$13,MAX(0,E51+D51-H51))</f>
        <v>42124.117061971177</v>
      </c>
      <c r="J51" s="12">
        <f t="shared" si="20"/>
        <v>0</v>
      </c>
      <c r="K51" s="12">
        <f>(H51*Parameters!$B$20*Parameters!$B$24)+(J51*Parameters!$B$20*Parameters!$B$24*(1-Parameters!$B$22))</f>
        <v>457597857.60000002</v>
      </c>
      <c r="M51" s="12">
        <f>B51*Parameters!$B$7</f>
        <v>32729.906821044751</v>
      </c>
      <c r="N51" s="12">
        <f t="shared" si="17"/>
        <v>14481.090201289706</v>
      </c>
      <c r="O51" s="12">
        <f t="shared" si="13"/>
        <v>47210.997022334457</v>
      </c>
      <c r="P51" s="12">
        <f>Parameters!$B$26*Demand_Volatility!C52</f>
        <v>32659.199999999997</v>
      </c>
      <c r="Q51" s="12">
        <f t="shared" si="21"/>
        <v>32659.199999999997</v>
      </c>
      <c r="R51" s="12">
        <f>MIN(Parameters!$C$13,MAX(0,N51+M51-Q51))</f>
        <v>14551.79702233446</v>
      </c>
      <c r="S51" s="12">
        <f t="shared" si="22"/>
        <v>0</v>
      </c>
      <c r="T51" s="12">
        <f>(Q51*Parameters!$B$21)+(S51*Parameters!$B$21*(1-Parameters!$B$23))</f>
        <v>104509439.99999999</v>
      </c>
      <c r="V51" s="12">
        <f t="shared" si="23"/>
        <v>562107297.60000002</v>
      </c>
      <c r="W51" s="26">
        <f>W50*(1+Parameters!$B$36)</f>
        <v>1.0450856065761491</v>
      </c>
      <c r="X51" s="12">
        <f>Parameters!$B$30*W51</f>
        <v>256045973.61115652</v>
      </c>
      <c r="Y51" s="12">
        <f>(Parameters!$B$15+Parameters!$B$16*I51)*W51</f>
        <v>5941274.763552391</v>
      </c>
      <c r="Z51" s="12">
        <f>(Parameters!$C$15+Parameters!$C$16*R51)*Base_Scenario!W51</f>
        <v>1947825.250310709</v>
      </c>
      <c r="AA51" s="12">
        <f t="shared" si="14"/>
        <v>263935073.62501964</v>
      </c>
      <c r="AB51" s="12">
        <f t="shared" si="24"/>
        <v>298172223.97498035</v>
      </c>
      <c r="AC51" s="6">
        <f>(1+Parameters!$B$39)^-Base_Scenario!A51</f>
        <v>0.91578044902111422</v>
      </c>
      <c r="AD51" s="12">
        <f t="shared" si="25"/>
        <v>273060293.15743172</v>
      </c>
      <c r="AF51" s="12">
        <f t="shared" si="26"/>
        <v>0</v>
      </c>
      <c r="AG51" s="12">
        <f t="shared" si="29"/>
        <v>0</v>
      </c>
      <c r="AH51" s="12">
        <f t="shared" si="27"/>
        <v>0</v>
      </c>
      <c r="AI51" s="12">
        <f t="shared" si="28"/>
        <v>0</v>
      </c>
    </row>
    <row r="52" spans="1:35" x14ac:dyDescent="0.35">
      <c r="A52" s="5">
        <v>49</v>
      </c>
      <c r="B52" s="12">
        <f>B51*(1-Parameters!$B$9)</f>
        <v>108878.8593607604</v>
      </c>
      <c r="C52" s="21"/>
      <c r="D52" s="12">
        <f>B52*Parameters!$B$6</f>
        <v>76215.201552532279</v>
      </c>
      <c r="E52" s="12">
        <f t="shared" si="16"/>
        <v>42124.117061971177</v>
      </c>
      <c r="F52" s="12">
        <f t="shared" si="18"/>
        <v>118339.31861450346</v>
      </c>
      <c r="G52" s="12">
        <f>Parameters!$B$25*Demand_Volatility!B53</f>
        <v>78507</v>
      </c>
      <c r="H52" s="12">
        <f t="shared" si="19"/>
        <v>78507</v>
      </c>
      <c r="I52" s="12">
        <f>MIN(Parameters!$B$13,MAX(0,E52+D52-H52))</f>
        <v>39832.318614503456</v>
      </c>
      <c r="J52" s="12">
        <f t="shared" si="20"/>
        <v>0</v>
      </c>
      <c r="K52" s="12">
        <f>(H52*Parameters!$B$20*Parameters!$B$24)+(J52*Parameters!$B$20*Parameters!$B$24*(1-Parameters!$B$22))</f>
        <v>469157832</v>
      </c>
      <c r="M52" s="12">
        <f>B52*Parameters!$B$7</f>
        <v>32663.657808228119</v>
      </c>
      <c r="N52" s="12">
        <f t="shared" si="17"/>
        <v>14551.79702233446</v>
      </c>
      <c r="O52" s="12">
        <f t="shared" si="13"/>
        <v>47215.454830562579</v>
      </c>
      <c r="P52" s="12">
        <f>Parameters!$B$26*Demand_Volatility!C53</f>
        <v>34246.400000000001</v>
      </c>
      <c r="Q52" s="12">
        <f t="shared" si="21"/>
        <v>34246.400000000001</v>
      </c>
      <c r="R52" s="12">
        <f>MIN(Parameters!$C$13,MAX(0,N52+M52-Q52))</f>
        <v>12969.054830562578</v>
      </c>
      <c r="S52" s="12">
        <f t="shared" si="22"/>
        <v>0</v>
      </c>
      <c r="T52" s="12">
        <f>(Q52*Parameters!$B$21)+(S52*Parameters!$B$21*(1-Parameters!$B$23))</f>
        <v>109588480</v>
      </c>
      <c r="V52" s="12">
        <f t="shared" si="23"/>
        <v>578746312</v>
      </c>
      <c r="W52" s="26">
        <f>W51*(1+Parameters!$B$36)</f>
        <v>1.0460666417108815</v>
      </c>
      <c r="X52" s="12">
        <f>Parameters!$B$30*W52</f>
        <v>256286327.21916595</v>
      </c>
      <c r="Y52" s="12">
        <f>(Parameters!$B$15+Parameters!$B$16*I52)*W52</f>
        <v>5850956.957428785</v>
      </c>
      <c r="Z52" s="12">
        <f>(Parameters!$C$15+Parameters!$C$16*R52)*Base_Scenario!W52</f>
        <v>1908262.3533855942</v>
      </c>
      <c r="AA52" s="12">
        <f t="shared" si="14"/>
        <v>264045546.52998033</v>
      </c>
      <c r="AB52" s="12">
        <f t="shared" si="24"/>
        <v>314700765.4700197</v>
      </c>
      <c r="AC52" s="6">
        <f>(1+Parameters!$B$39)^-Base_Scenario!A52</f>
        <v>0.91410346329152481</v>
      </c>
      <c r="AD52" s="12">
        <f t="shared" si="25"/>
        <v>287669059.6166389</v>
      </c>
      <c r="AF52" s="12">
        <f t="shared" si="26"/>
        <v>0</v>
      </c>
      <c r="AG52" s="12">
        <f t="shared" si="29"/>
        <v>0</v>
      </c>
      <c r="AH52" s="12">
        <f t="shared" si="27"/>
        <v>0</v>
      </c>
      <c r="AI52" s="12">
        <f t="shared" si="28"/>
        <v>0</v>
      </c>
    </row>
    <row r="53" spans="1:35" x14ac:dyDescent="0.35">
      <c r="A53" s="5">
        <v>50</v>
      </c>
      <c r="B53" s="12">
        <f>B52*(1-Parameters!$B$9)</f>
        <v>108658.47630288338</v>
      </c>
      <c r="C53" s="21"/>
      <c r="D53" s="12">
        <f>B53*Parameters!$B$6</f>
        <v>76060.933412018363</v>
      </c>
      <c r="E53" s="12">
        <f t="shared" si="16"/>
        <v>39832.318614503456</v>
      </c>
      <c r="F53" s="12">
        <f t="shared" si="18"/>
        <v>115893.25202652182</v>
      </c>
      <c r="G53" s="12">
        <f>Parameters!$B$25*Demand_Volatility!B54</f>
        <v>81073.200000000012</v>
      </c>
      <c r="H53" s="12">
        <f t="shared" si="19"/>
        <v>81073.200000000012</v>
      </c>
      <c r="I53" s="12">
        <f>MIN(Parameters!$B$13,MAX(0,E53+D53-H53))</f>
        <v>34820.052026521807</v>
      </c>
      <c r="J53" s="12">
        <f t="shared" si="20"/>
        <v>0</v>
      </c>
      <c r="K53" s="12">
        <f>(H53*Parameters!$B$20*Parameters!$B$24)+(J53*Parameters!$B$20*Parameters!$B$24*(1-Parameters!$B$22))</f>
        <v>484493443.20000005</v>
      </c>
      <c r="M53" s="12">
        <f>B53*Parameters!$B$7</f>
        <v>32597.542890865014</v>
      </c>
      <c r="N53" s="12">
        <f t="shared" si="17"/>
        <v>12969.054830562578</v>
      </c>
      <c r="O53" s="12">
        <f t="shared" si="13"/>
        <v>45566.597721427592</v>
      </c>
      <c r="P53" s="12">
        <f>Parameters!$B$26*Demand_Volatility!C54</f>
        <v>33459.200000000004</v>
      </c>
      <c r="Q53" s="12">
        <f t="shared" si="21"/>
        <v>33459.200000000004</v>
      </c>
      <c r="R53" s="12">
        <f>MIN(Parameters!$C$13,MAX(0,N53+M53-Q53))</f>
        <v>12107.397721427587</v>
      </c>
      <c r="S53" s="12">
        <f t="shared" si="22"/>
        <v>0</v>
      </c>
      <c r="T53" s="12">
        <f>(Q53*Parameters!$B$21)+(S53*Parameters!$B$21*(1-Parameters!$B$23))</f>
        <v>107069440.00000001</v>
      </c>
      <c r="V53" s="12">
        <f t="shared" si="23"/>
        <v>591562883.20000005</v>
      </c>
      <c r="W53" s="26">
        <f>W52*(1+Parameters!$B$36)</f>
        <v>1.0470485977557569</v>
      </c>
      <c r="X53" s="12">
        <f>Parameters!$B$30*W53</f>
        <v>256526906.45016044</v>
      </c>
      <c r="Y53" s="12">
        <f>(Parameters!$B$15+Parameters!$B$16*I53)*W53</f>
        <v>5646525.8569491142</v>
      </c>
      <c r="Z53" s="12">
        <f>(Parameters!$C$15+Parameters!$C$16*R53)*Base_Scenario!W53</f>
        <v>1887498.7418009352</v>
      </c>
      <c r="AA53" s="12">
        <f t="shared" si="14"/>
        <v>264060931.0489105</v>
      </c>
      <c r="AB53" s="12">
        <f t="shared" si="24"/>
        <v>327501952.15108955</v>
      </c>
      <c r="AC53" s="6">
        <f>(1+Parameters!$B$39)^-Base_Scenario!A53</f>
        <v>0.91242954847389912</v>
      </c>
      <c r="AD53" s="12">
        <f t="shared" si="25"/>
        <v>298822458.32553917</v>
      </c>
      <c r="AF53" s="12">
        <f t="shared" si="26"/>
        <v>0</v>
      </c>
      <c r="AG53" s="12">
        <f t="shared" si="29"/>
        <v>0</v>
      </c>
      <c r="AH53" s="12">
        <f t="shared" si="27"/>
        <v>0</v>
      </c>
      <c r="AI53" s="12">
        <f t="shared" si="28"/>
        <v>0</v>
      </c>
    </row>
    <row r="54" spans="1:35" x14ac:dyDescent="0.35">
      <c r="A54" s="5">
        <v>51</v>
      </c>
      <c r="B54" s="12">
        <f>B53*(1-Parameters!$B$9)</f>
        <v>108438.53932510388</v>
      </c>
      <c r="C54" s="21"/>
      <c r="D54" s="12">
        <f>B54*Parameters!$B$6</f>
        <v>75906.977527572715</v>
      </c>
      <c r="E54" s="12">
        <f t="shared" si="16"/>
        <v>34820.052026521807</v>
      </c>
      <c r="F54" s="12">
        <f t="shared" si="18"/>
        <v>110727.02955409452</v>
      </c>
      <c r="G54" s="12">
        <f>Parameters!$B$25*Demand_Volatility!B55</f>
        <v>76128</v>
      </c>
      <c r="H54" s="12">
        <f t="shared" si="19"/>
        <v>76128</v>
      </c>
      <c r="I54" s="12">
        <f>MIN(Parameters!$B$13,MAX(0,E54+D54-H54))</f>
        <v>34599.029554094523</v>
      </c>
      <c r="J54" s="12">
        <f t="shared" si="20"/>
        <v>0</v>
      </c>
      <c r="K54" s="12">
        <f>(H54*Parameters!$B$20*Parameters!$B$24)+(J54*Parameters!$B$20*Parameters!$B$24*(1-Parameters!$B$22))</f>
        <v>454940928</v>
      </c>
      <c r="M54" s="12">
        <f>B54*Parameters!$B$7</f>
        <v>32531.561797531162</v>
      </c>
      <c r="N54" s="12">
        <f t="shared" si="17"/>
        <v>12107.397721427587</v>
      </c>
      <c r="O54" s="12">
        <f t="shared" si="13"/>
        <v>44638.959518958749</v>
      </c>
      <c r="P54" s="12">
        <f>Parameters!$B$26*Demand_Volatility!C55</f>
        <v>30377.600000000002</v>
      </c>
      <c r="Q54" s="12">
        <f t="shared" si="21"/>
        <v>30377.600000000002</v>
      </c>
      <c r="R54" s="12">
        <f>MIN(Parameters!$C$13,MAX(0,N54+M54-Q54))</f>
        <v>14261.359518958747</v>
      </c>
      <c r="S54" s="12">
        <f t="shared" si="22"/>
        <v>0</v>
      </c>
      <c r="T54" s="12">
        <f>(Q54*Parameters!$B$21)+(S54*Parameters!$B$21*(1-Parameters!$B$23))</f>
        <v>97208320</v>
      </c>
      <c r="V54" s="12">
        <f t="shared" si="23"/>
        <v>552149248</v>
      </c>
      <c r="W54" s="26">
        <f>W53*(1+Parameters!$B$36)</f>
        <v>1.0480314755752456</v>
      </c>
      <c r="X54" s="12">
        <f>Parameters!$B$30*W54</f>
        <v>256767711.51593515</v>
      </c>
      <c r="Y54" s="12">
        <f>(Parameters!$B$15+Parameters!$B$16*I54)*W54</f>
        <v>5642560.7821829505</v>
      </c>
      <c r="Z54" s="12">
        <f>(Parameters!$C$15+Parameters!$C$16*R54)*Base_Scenario!W54</f>
        <v>1945706.0548719536</v>
      </c>
      <c r="AA54" s="12">
        <f t="shared" si="14"/>
        <v>264355978.35299006</v>
      </c>
      <c r="AB54" s="12">
        <f t="shared" si="24"/>
        <v>287793269.64700997</v>
      </c>
      <c r="AC54" s="6">
        <f>(1+Parameters!$B$39)^-Base_Scenario!A54</f>
        <v>0.9107586989447547</v>
      </c>
      <c r="AD54" s="12">
        <f t="shared" si="25"/>
        <v>262110223.82876778</v>
      </c>
      <c r="AF54" s="12">
        <f t="shared" si="26"/>
        <v>0</v>
      </c>
      <c r="AG54" s="12">
        <f t="shared" si="29"/>
        <v>0</v>
      </c>
      <c r="AH54" s="12">
        <f t="shared" si="27"/>
        <v>0</v>
      </c>
      <c r="AI54" s="12">
        <f t="shared" si="28"/>
        <v>0</v>
      </c>
    </row>
    <row r="55" spans="1:35" x14ac:dyDescent="0.35">
      <c r="A55" s="5">
        <v>52</v>
      </c>
      <c r="B55" s="12">
        <f>B54*(1-Parameters!$B$9)</f>
        <v>108219.04752450557</v>
      </c>
      <c r="C55" s="21"/>
      <c r="D55" s="12">
        <f>B55*Parameters!$B$6</f>
        <v>75753.333267153896</v>
      </c>
      <c r="E55" s="12">
        <f t="shared" si="16"/>
        <v>34599.029554094523</v>
      </c>
      <c r="F55" s="12">
        <f t="shared" si="18"/>
        <v>110352.36282124842</v>
      </c>
      <c r="G55" s="12">
        <f>Parameters!$B$25*Demand_Volatility!B56</f>
        <v>76377.599999999991</v>
      </c>
      <c r="H55" s="12">
        <f t="shared" si="19"/>
        <v>76377.599999999991</v>
      </c>
      <c r="I55" s="12">
        <f>MIN(Parameters!$B$13,MAX(0,E55+D55-H55))</f>
        <v>33974.762821248427</v>
      </c>
      <c r="J55" s="12">
        <f t="shared" si="20"/>
        <v>0</v>
      </c>
      <c r="K55" s="12">
        <f>(H55*Parameters!$B$20*Parameters!$B$24)+(J55*Parameters!$B$20*Parameters!$B$24*(1-Parameters!$B$22))</f>
        <v>456432537.59999996</v>
      </c>
      <c r="M55" s="12">
        <f>B55*Parameters!$B$7</f>
        <v>32465.714257351668</v>
      </c>
      <c r="N55" s="12">
        <f t="shared" si="17"/>
        <v>14261.359518958747</v>
      </c>
      <c r="O55" s="12">
        <f t="shared" si="13"/>
        <v>46727.073776310412</v>
      </c>
      <c r="P55" s="12">
        <f>Parameters!$B$26*Demand_Volatility!C56</f>
        <v>34518.400000000001</v>
      </c>
      <c r="Q55" s="12">
        <f t="shared" si="21"/>
        <v>34518.400000000001</v>
      </c>
      <c r="R55" s="12">
        <f>MIN(Parameters!$C$13,MAX(0,N55+M55-Q55))</f>
        <v>12208.67377631041</v>
      </c>
      <c r="S55" s="12">
        <f t="shared" si="22"/>
        <v>0</v>
      </c>
      <c r="T55" s="12">
        <f>(Q55*Parameters!$B$21)+(S55*Parameters!$B$21*(1-Parameters!$B$23))</f>
        <v>110458880</v>
      </c>
      <c r="V55" s="12">
        <f t="shared" si="23"/>
        <v>566891417.5999999</v>
      </c>
      <c r="W55" s="26">
        <f>W54*(1+Parameters!$B$36)</f>
        <v>1.049015276034629</v>
      </c>
      <c r="X55" s="12">
        <f>Parameters!$B$30*W55</f>
        <v>257008742.6284841</v>
      </c>
      <c r="Y55" s="12">
        <f>(Parameters!$B$15+Parameters!$B$16*I55)*W55</f>
        <v>5621662.912104235</v>
      </c>
      <c r="Z55" s="12">
        <f>(Parameters!$C$15+Parameters!$C$16*R55)*Base_Scenario!W55</f>
        <v>1893700.0463387684</v>
      </c>
      <c r="AA55" s="12">
        <f t="shared" si="14"/>
        <v>264524105.58692712</v>
      </c>
      <c r="AB55" s="12">
        <f t="shared" si="24"/>
        <v>302367312.01307279</v>
      </c>
      <c r="AC55" s="6">
        <f>(1+Parameters!$B$39)^-Base_Scenario!A55</f>
        <v>0.90909090909090629</v>
      </c>
      <c r="AD55" s="12">
        <f t="shared" si="25"/>
        <v>274879374.55733806</v>
      </c>
      <c r="AF55" s="12">
        <f t="shared" si="26"/>
        <v>0</v>
      </c>
      <c r="AG55" s="12">
        <f t="shared" si="29"/>
        <v>0</v>
      </c>
      <c r="AH55" s="12">
        <f t="shared" si="27"/>
        <v>0</v>
      </c>
      <c r="AI55" s="12">
        <f t="shared" si="28"/>
        <v>0</v>
      </c>
    </row>
    <row r="56" spans="1:35" x14ac:dyDescent="0.35">
      <c r="A56" s="5">
        <v>53</v>
      </c>
      <c r="B56" s="12">
        <f>B55*(1-Parameters!$B$9)</f>
        <v>107999.99999999978</v>
      </c>
      <c r="C56" s="21"/>
      <c r="D56" s="12">
        <f>B56*Parameters!$B$6</f>
        <v>75599.99999999984</v>
      </c>
      <c r="E56" s="12">
        <f t="shared" si="16"/>
        <v>33974.762821248427</v>
      </c>
      <c r="F56" s="12">
        <f t="shared" si="18"/>
        <v>109574.76282124827</v>
      </c>
      <c r="G56" s="12">
        <f>Parameters!$B$25*Demand_Volatility!B57</f>
        <v>80878.2</v>
      </c>
      <c r="H56" s="12">
        <f t="shared" si="19"/>
        <v>80878.2</v>
      </c>
      <c r="I56" s="12">
        <f>MIN(Parameters!$B$13,MAX(0,E56+D56-H56))</f>
        <v>28696.56282124827</v>
      </c>
      <c r="J56" s="12">
        <f t="shared" si="20"/>
        <v>0</v>
      </c>
      <c r="K56" s="12">
        <f>(H56*Parameters!$B$20*Parameters!$B$24)+(J56*Parameters!$B$20*Parameters!$B$24*(1-Parameters!$B$22))</f>
        <v>483328123.19999993</v>
      </c>
      <c r="M56" s="12">
        <f>B56*Parameters!$B$7</f>
        <v>32399.999999999935</v>
      </c>
      <c r="N56" s="12">
        <f t="shared" si="17"/>
        <v>12208.67377631041</v>
      </c>
      <c r="O56" s="12">
        <f t="shared" si="13"/>
        <v>44608.673776310345</v>
      </c>
      <c r="P56" s="12">
        <f>Parameters!$B$26*Demand_Volatility!C57</f>
        <v>30313.600000000002</v>
      </c>
      <c r="Q56" s="12">
        <f t="shared" si="21"/>
        <v>30313.600000000002</v>
      </c>
      <c r="R56" s="12">
        <f>MIN(Parameters!$C$13,MAX(0,N56+M56-Q56))</f>
        <v>14295.073776310343</v>
      </c>
      <c r="S56" s="12">
        <f t="shared" si="22"/>
        <v>0</v>
      </c>
      <c r="T56" s="12">
        <f>(Q56*Parameters!$B$21)+(S56*Parameters!$B$21*(1-Parameters!$B$23))</f>
        <v>97003520</v>
      </c>
      <c r="V56" s="12">
        <f t="shared" si="23"/>
        <v>580331643.19999993</v>
      </c>
      <c r="W56" s="26">
        <f>W55*(1+Parameters!$B$36)</f>
        <v>1.0500000000000009</v>
      </c>
      <c r="X56" s="12">
        <f>Parameters!$B$30*W56</f>
        <v>257250000.00000024</v>
      </c>
      <c r="Y56" s="12">
        <f>(Parameters!$B$15+Parameters!$B$16*I56)*W56</f>
        <v>5405255.6384924324</v>
      </c>
      <c r="Z56" s="12">
        <f>(Parameters!$C$15+Parameters!$C$16*R56)*Base_Scenario!W56</f>
        <v>1950245.6866281484</v>
      </c>
      <c r="AA56" s="12">
        <f t="shared" si="14"/>
        <v>264605501.32512084</v>
      </c>
      <c r="AB56" s="12">
        <f t="shared" si="24"/>
        <v>315726141.87487912</v>
      </c>
      <c r="AC56" s="6">
        <f>(1+Parameters!$B$39)^-Base_Scenario!A56</f>
        <v>0.90742617330944841</v>
      </c>
      <c r="AD56" s="12">
        <f t="shared" si="25"/>
        <v>286498164.73527753</v>
      </c>
      <c r="AF56" s="12">
        <f t="shared" si="26"/>
        <v>0</v>
      </c>
      <c r="AG56" s="12">
        <f t="shared" si="29"/>
        <v>0</v>
      </c>
      <c r="AH56" s="12">
        <f t="shared" si="27"/>
        <v>0</v>
      </c>
      <c r="AI56" s="12">
        <f t="shared" si="28"/>
        <v>0</v>
      </c>
    </row>
    <row r="57" spans="1:35" x14ac:dyDescent="0.35">
      <c r="A57" s="5">
        <v>54</v>
      </c>
      <c r="B57" s="12">
        <f>B56*(1-Parameters!$B$9)</f>
        <v>107781.39585232173</v>
      </c>
      <c r="C57" s="21"/>
      <c r="D57" s="12">
        <f>B57*Parameters!$B$6</f>
        <v>75446.977096625211</v>
      </c>
      <c r="E57" s="12">
        <f t="shared" si="16"/>
        <v>28696.56282124827</v>
      </c>
      <c r="F57" s="12">
        <f t="shared" si="18"/>
        <v>104143.53991787348</v>
      </c>
      <c r="G57" s="12">
        <f>Parameters!$B$25*Demand_Volatility!B58</f>
        <v>78327.600000000006</v>
      </c>
      <c r="H57" s="12">
        <f t="shared" si="19"/>
        <v>78327.600000000006</v>
      </c>
      <c r="I57" s="12">
        <f>MIN(Parameters!$B$13,MAX(0,E57+D57-H57))</f>
        <v>25815.939917873475</v>
      </c>
      <c r="J57" s="12">
        <f t="shared" si="20"/>
        <v>0</v>
      </c>
      <c r="K57" s="12">
        <f>(H57*Parameters!$B$20*Parameters!$B$24)+(J57*Parameters!$B$20*Parameters!$B$24*(1-Parameters!$B$22))</f>
        <v>468085737.60000002</v>
      </c>
      <c r="M57" s="12">
        <f>B57*Parameters!$B$7</f>
        <v>32334.418755696519</v>
      </c>
      <c r="N57" s="12">
        <f t="shared" si="17"/>
        <v>14295.073776310343</v>
      </c>
      <c r="O57" s="12">
        <f t="shared" si="13"/>
        <v>46629.492532006858</v>
      </c>
      <c r="P57" s="12">
        <f>Parameters!$B$26*Demand_Volatility!C58</f>
        <v>32774.400000000001</v>
      </c>
      <c r="Q57" s="12">
        <f t="shared" si="21"/>
        <v>32774.400000000001</v>
      </c>
      <c r="R57" s="12">
        <f>MIN(Parameters!$C$13,MAX(0,N57+M57-Q57))</f>
        <v>13855.092532006856</v>
      </c>
      <c r="S57" s="12">
        <f t="shared" si="22"/>
        <v>0</v>
      </c>
      <c r="T57" s="12">
        <f>(Q57*Parameters!$B$21)+(S57*Parameters!$B$21*(1-Parameters!$B$23))</f>
        <v>104878080</v>
      </c>
      <c r="V57" s="12">
        <f t="shared" si="23"/>
        <v>572963817.60000002</v>
      </c>
      <c r="W57" s="26">
        <f>W56*(1+Parameters!$B$36)</f>
        <v>1.0509856483382682</v>
      </c>
      <c r="X57" s="12">
        <f>Parameters!$B$30*W57</f>
        <v>257491483.84287572</v>
      </c>
      <c r="Y57" s="12">
        <f>(Parameters!$B$15+Parameters!$B$16*I57)*W57</f>
        <v>5289229.8874349939</v>
      </c>
      <c r="Z57" s="12">
        <f>(Parameters!$C$15+Parameters!$C$16*R57)*Base_Scenario!W57</f>
        <v>1940516.0576958505</v>
      </c>
      <c r="AA57" s="12">
        <f t="shared" si="14"/>
        <v>264721229.78800654</v>
      </c>
      <c r="AB57" s="12">
        <f t="shared" si="24"/>
        <v>308242587.81199348</v>
      </c>
      <c r="AC57" s="6">
        <f>(1+Parameters!$B$39)^-Base_Scenario!A57</f>
        <v>0.90576448600773463</v>
      </c>
      <c r="AD57" s="12">
        <f t="shared" si="25"/>
        <v>279195189.1152243</v>
      </c>
      <c r="AF57" s="12">
        <f t="shared" si="26"/>
        <v>0</v>
      </c>
      <c r="AG57" s="12">
        <f t="shared" si="29"/>
        <v>0</v>
      </c>
      <c r="AH57" s="12">
        <f t="shared" si="27"/>
        <v>0</v>
      </c>
      <c r="AI57" s="12">
        <f t="shared" si="28"/>
        <v>0</v>
      </c>
    </row>
    <row r="58" spans="1:35" x14ac:dyDescent="0.35">
      <c r="A58" s="5">
        <v>55</v>
      </c>
      <c r="B58" s="12">
        <f>B57*(1-Parameters!$B$9)</f>
        <v>107563.23418402685</v>
      </c>
      <c r="C58" s="21"/>
      <c r="D58" s="12">
        <f>B58*Parameters!$B$6</f>
        <v>75294.263928818793</v>
      </c>
      <c r="E58" s="12">
        <f t="shared" si="16"/>
        <v>25815.939917873475</v>
      </c>
      <c r="F58" s="12">
        <f t="shared" si="18"/>
        <v>101110.20384669227</v>
      </c>
      <c r="G58" s="12">
        <f>Parameters!$B$25*Demand_Volatility!B59</f>
        <v>80613</v>
      </c>
      <c r="H58" s="12">
        <f t="shared" si="19"/>
        <v>80613</v>
      </c>
      <c r="I58" s="12">
        <f>MIN(Parameters!$B$13,MAX(0,E58+D58-H58))</f>
        <v>20497.203846692268</v>
      </c>
      <c r="J58" s="12">
        <f t="shared" si="20"/>
        <v>0</v>
      </c>
      <c r="K58" s="12">
        <f>(H58*Parameters!$B$20*Parameters!$B$24)+(J58*Parameters!$B$20*Parameters!$B$24*(1-Parameters!$B$22))</f>
        <v>481743288</v>
      </c>
      <c r="M58" s="12">
        <f>B58*Parameters!$B$7</f>
        <v>32268.970255208053</v>
      </c>
      <c r="N58" s="12">
        <f t="shared" si="17"/>
        <v>13855.092532006856</v>
      </c>
      <c r="O58" s="12">
        <f t="shared" si="13"/>
        <v>46124.062787214905</v>
      </c>
      <c r="P58" s="12">
        <f>Parameters!$B$26*Demand_Volatility!C59</f>
        <v>32860.799999999996</v>
      </c>
      <c r="Q58" s="12">
        <f t="shared" si="21"/>
        <v>32860.799999999996</v>
      </c>
      <c r="R58" s="12">
        <f>MIN(Parameters!$C$13,MAX(0,N58+M58-Q58))</f>
        <v>13263.26278721491</v>
      </c>
      <c r="S58" s="12">
        <f t="shared" si="22"/>
        <v>0</v>
      </c>
      <c r="T58" s="12">
        <f>(Q58*Parameters!$B$21)+(S58*Parameters!$B$21*(1-Parameters!$B$23))</f>
        <v>105154559.99999999</v>
      </c>
      <c r="V58" s="12">
        <f t="shared" si="23"/>
        <v>586897848</v>
      </c>
      <c r="W58" s="26">
        <f>W57*(1+Parameters!$B$36)</f>
        <v>1.0519722219171515</v>
      </c>
      <c r="X58" s="12">
        <f>Parameters!$B$30*W58</f>
        <v>257733194.3697021</v>
      </c>
      <c r="Y58" s="12">
        <f>(Parameters!$B$15+Parameters!$B$16*I58)*W58</f>
        <v>5070388.4506163523</v>
      </c>
      <c r="Z58" s="12">
        <f>(Parameters!$C$15+Parameters!$C$16*R58)*Base_Scenario!W58</f>
        <v>1926772.9334791657</v>
      </c>
      <c r="AA58" s="12">
        <f t="shared" si="14"/>
        <v>264730355.75379762</v>
      </c>
      <c r="AB58" s="12">
        <f t="shared" si="24"/>
        <v>322167492.24620235</v>
      </c>
      <c r="AC58" s="6">
        <f>(1+Parameters!$B$39)^-Base_Scenario!A58</f>
        <v>0.90410584160336072</v>
      </c>
      <c r="AD58" s="12">
        <f t="shared" si="25"/>
        <v>291273511.71449697</v>
      </c>
      <c r="AF58" s="12">
        <f t="shared" si="26"/>
        <v>0</v>
      </c>
      <c r="AG58" s="12">
        <f t="shared" si="29"/>
        <v>0</v>
      </c>
      <c r="AH58" s="12">
        <f t="shared" si="27"/>
        <v>0</v>
      </c>
      <c r="AI58" s="12">
        <f t="shared" si="28"/>
        <v>0</v>
      </c>
    </row>
    <row r="59" spans="1:35" x14ac:dyDescent="0.35">
      <c r="A59" s="5">
        <v>56</v>
      </c>
      <c r="B59" s="12">
        <f>B58*(1-Parameters!$B$9)</f>
        <v>107345.5140994871</v>
      </c>
      <c r="C59" s="21"/>
      <c r="D59" s="12">
        <f>B59*Parameters!$B$6</f>
        <v>75141.859869640961</v>
      </c>
      <c r="E59" s="12">
        <f t="shared" si="16"/>
        <v>20497.203846692268</v>
      </c>
      <c r="F59" s="12">
        <f t="shared" si="18"/>
        <v>95639.063716333229</v>
      </c>
      <c r="G59" s="12">
        <f>Parameters!$B$25*Demand_Volatility!B60</f>
        <v>74193.600000000006</v>
      </c>
      <c r="H59" s="12">
        <f t="shared" si="19"/>
        <v>74193.600000000006</v>
      </c>
      <c r="I59" s="12">
        <f>MIN(Parameters!$B$13,MAX(0,E59+D59-H59))</f>
        <v>21445.463716333223</v>
      </c>
      <c r="J59" s="12">
        <f t="shared" si="20"/>
        <v>0</v>
      </c>
      <c r="K59" s="12">
        <f>(H59*Parameters!$B$20*Parameters!$B$24)+(J59*Parameters!$B$20*Parameters!$B$24*(1-Parameters!$B$22))</f>
        <v>443380953.60000002</v>
      </c>
      <c r="M59" s="12">
        <f>B59*Parameters!$B$7</f>
        <v>32203.654229846128</v>
      </c>
      <c r="N59" s="12">
        <f t="shared" si="17"/>
        <v>13263.26278721491</v>
      </c>
      <c r="O59" s="12">
        <f t="shared" si="13"/>
        <v>45466.917017061038</v>
      </c>
      <c r="P59" s="12">
        <f>Parameters!$B$26*Demand_Volatility!C60</f>
        <v>32156.799999999996</v>
      </c>
      <c r="Q59" s="12">
        <f t="shared" si="21"/>
        <v>32156.799999999996</v>
      </c>
      <c r="R59" s="12">
        <f>MIN(Parameters!$C$13,MAX(0,N59+M59-Q59))</f>
        <v>13310.117017061042</v>
      </c>
      <c r="S59" s="12">
        <f t="shared" si="22"/>
        <v>0</v>
      </c>
      <c r="T59" s="12">
        <f>(Q59*Parameters!$B$21)+(S59*Parameters!$B$21*(1-Parameters!$B$23))</f>
        <v>102901759.99999999</v>
      </c>
      <c r="V59" s="12">
        <f t="shared" si="23"/>
        <v>546282713.60000002</v>
      </c>
      <c r="W59" s="26">
        <f>W58*(1+Parameters!$B$36)</f>
        <v>1.0529597216051858</v>
      </c>
      <c r="X59" s="12">
        <f>Parameters!$B$30*W59</f>
        <v>257975131.79327053</v>
      </c>
      <c r="Y59" s="12">
        <f>(Parameters!$B$15+Parameters!$B$16*I59)*W59</f>
        <v>5115087.2665985171</v>
      </c>
      <c r="Z59" s="12">
        <f>(Parameters!$C$15+Parameters!$C$16*R59)*Base_Scenario!W59</f>
        <v>1929815.0101282047</v>
      </c>
      <c r="AA59" s="12">
        <f t="shared" si="14"/>
        <v>265020034.06999725</v>
      </c>
      <c r="AB59" s="12">
        <f t="shared" si="24"/>
        <v>281262679.53000277</v>
      </c>
      <c r="AC59" s="6">
        <f>(1+Parameters!$B$39)^-Base_Scenario!A59</f>
        <v>0.90245023452414408</v>
      </c>
      <c r="AD59" s="12">
        <f t="shared" si="25"/>
        <v>253825571.10474017</v>
      </c>
      <c r="AF59" s="12">
        <f t="shared" si="26"/>
        <v>0</v>
      </c>
      <c r="AG59" s="12">
        <f t="shared" si="29"/>
        <v>0</v>
      </c>
      <c r="AH59" s="12">
        <f t="shared" si="27"/>
        <v>0</v>
      </c>
      <c r="AI59" s="12">
        <f t="shared" si="28"/>
        <v>0</v>
      </c>
    </row>
    <row r="60" spans="1:35" x14ac:dyDescent="0.35">
      <c r="A60" s="5">
        <v>57</v>
      </c>
      <c r="B60" s="12">
        <f>B59*(1-Parameters!$B$9)</f>
        <v>107128.23470488729</v>
      </c>
      <c r="C60" s="21"/>
      <c r="D60" s="12">
        <f>B60*Parameters!$B$6</f>
        <v>74989.764293421104</v>
      </c>
      <c r="E60" s="12">
        <f t="shared" si="16"/>
        <v>21445.463716333223</v>
      </c>
      <c r="F60" s="12">
        <f t="shared" si="18"/>
        <v>96435.228009754326</v>
      </c>
      <c r="G60" s="12">
        <f>Parameters!$B$25*Demand_Volatility!B61</f>
        <v>77922</v>
      </c>
      <c r="H60" s="12">
        <f t="shared" si="19"/>
        <v>77922</v>
      </c>
      <c r="I60" s="12">
        <f>MIN(Parameters!$B$13,MAX(0,E60+D60-H60))</f>
        <v>18513.228009754326</v>
      </c>
      <c r="J60" s="12">
        <f t="shared" si="20"/>
        <v>0</v>
      </c>
      <c r="K60" s="12">
        <f>(H60*Parameters!$B$20*Parameters!$B$24)+(J60*Parameters!$B$20*Parameters!$B$24*(1-Parameters!$B$22))</f>
        <v>465661872</v>
      </c>
      <c r="M60" s="12">
        <f>B60*Parameters!$B$7</f>
        <v>32138.470411466187</v>
      </c>
      <c r="N60" s="12">
        <f t="shared" si="17"/>
        <v>13310.117017061042</v>
      </c>
      <c r="O60" s="12">
        <f t="shared" si="13"/>
        <v>45448.587428527229</v>
      </c>
      <c r="P60" s="12">
        <f>Parameters!$B$26*Demand_Volatility!C61</f>
        <v>32841.599999999999</v>
      </c>
      <c r="Q60" s="12">
        <f t="shared" si="21"/>
        <v>32841.599999999999</v>
      </c>
      <c r="R60" s="12">
        <f>MIN(Parameters!$C$13,MAX(0,N60+M60-Q60))</f>
        <v>12606.987428527231</v>
      </c>
      <c r="S60" s="12">
        <f t="shared" si="22"/>
        <v>0</v>
      </c>
      <c r="T60" s="12">
        <f>(Q60*Parameters!$B$21)+(S60*Parameters!$B$21*(1-Parameters!$B$23))</f>
        <v>105093120</v>
      </c>
      <c r="V60" s="12">
        <f t="shared" si="23"/>
        <v>570754992</v>
      </c>
      <c r="W60" s="26">
        <f>W59*(1+Parameters!$B$36)</f>
        <v>1.0539481482717217</v>
      </c>
      <c r="X60" s="12">
        <f>Parameters!$B$30*W60</f>
        <v>258217296.32657182</v>
      </c>
      <c r="Y60" s="12">
        <f>(Parameters!$B$15+Parameters!$B$16*I60)*W60</f>
        <v>4996271.888263396</v>
      </c>
      <c r="Z60" s="12">
        <f>(Parameters!$C$15+Parameters!$C$16*R60)*Base_Scenario!W60</f>
        <v>1913099.9987971112</v>
      </c>
      <c r="AA60" s="12">
        <f t="shared" si="14"/>
        <v>265126668.21363235</v>
      </c>
      <c r="AB60" s="12">
        <f t="shared" si="24"/>
        <v>305628323.78636765</v>
      </c>
      <c r="AC60" s="6">
        <f>(1+Parameters!$B$39)^-Base_Scenario!A60</f>
        <v>0.90079765920810695</v>
      </c>
      <c r="AD60" s="12">
        <f t="shared" si="25"/>
        <v>275309278.65445739</v>
      </c>
      <c r="AF60" s="12">
        <f t="shared" si="26"/>
        <v>0</v>
      </c>
      <c r="AG60" s="12">
        <f t="shared" si="29"/>
        <v>0</v>
      </c>
      <c r="AH60" s="12">
        <f t="shared" si="27"/>
        <v>0</v>
      </c>
      <c r="AI60" s="12">
        <f t="shared" si="28"/>
        <v>0</v>
      </c>
    </row>
    <row r="61" spans="1:35" x14ac:dyDescent="0.35">
      <c r="A61" s="5">
        <v>58</v>
      </c>
      <c r="B61" s="12">
        <f>B60*(1-Parameters!$B$9)</f>
        <v>106911.3951082214</v>
      </c>
      <c r="C61" s="21"/>
      <c r="D61" s="12">
        <f>B61*Parameters!$B$6</f>
        <v>74837.976575754976</v>
      </c>
      <c r="E61" s="12">
        <f t="shared" si="16"/>
        <v>18513.228009754326</v>
      </c>
      <c r="F61" s="12">
        <f t="shared" si="18"/>
        <v>93351.204585509302</v>
      </c>
      <c r="G61" s="12">
        <f>Parameters!$B$25*Demand_Volatility!B62</f>
        <v>75036</v>
      </c>
      <c r="H61" s="12">
        <f t="shared" si="19"/>
        <v>75036</v>
      </c>
      <c r="I61" s="12">
        <f>MIN(Parameters!$B$13,MAX(0,E61+D61-H61))</f>
        <v>18315.204585509302</v>
      </c>
      <c r="J61" s="12">
        <f t="shared" si="20"/>
        <v>0</v>
      </c>
      <c r="K61" s="12">
        <f>(H61*Parameters!$B$20*Parameters!$B$24)+(J61*Parameters!$B$20*Parameters!$B$24*(1-Parameters!$B$22))</f>
        <v>448415136</v>
      </c>
      <c r="M61" s="12">
        <f>B61*Parameters!$B$7</f>
        <v>32073.418532466421</v>
      </c>
      <c r="N61" s="12">
        <f t="shared" si="17"/>
        <v>12606.987428527231</v>
      </c>
      <c r="O61" s="12">
        <f t="shared" si="13"/>
        <v>44680.405960993652</v>
      </c>
      <c r="P61" s="12">
        <f>Parameters!$B$26*Demand_Volatility!C62</f>
        <v>32064</v>
      </c>
      <c r="Q61" s="12">
        <f t="shared" si="21"/>
        <v>32064</v>
      </c>
      <c r="R61" s="12">
        <f>MIN(Parameters!$C$13,MAX(0,N61+M61-Q61))</f>
        <v>12616.405960993652</v>
      </c>
      <c r="S61" s="12">
        <f t="shared" si="22"/>
        <v>0</v>
      </c>
      <c r="T61" s="12">
        <f>(Q61*Parameters!$B$21)+(S61*Parameters!$B$21*(1-Parameters!$B$23))</f>
        <v>102604800</v>
      </c>
      <c r="V61" s="12">
        <f t="shared" si="23"/>
        <v>551019936</v>
      </c>
      <c r="W61" s="26">
        <f>W60*(1+Parameters!$B$36)</f>
        <v>1.0549375027869254</v>
      </c>
      <c r="X61" s="12">
        <f>Parameters!$B$30*W61</f>
        <v>258459688.18279675</v>
      </c>
      <c r="Y61" s="12">
        <f>(Parameters!$B$15+Parameters!$B$16*I61)*W61</f>
        <v>4992605.8586864546</v>
      </c>
      <c r="Z61" s="12">
        <f>(Parameters!$C$15+Parameters!$C$16*R61)*Base_Scenario!W61</f>
        <v>1915144.2491463064</v>
      </c>
      <c r="AA61" s="12">
        <f t="shared" si="14"/>
        <v>265367438.29062951</v>
      </c>
      <c r="AB61" s="12">
        <f t="shared" si="24"/>
        <v>285652497.70937049</v>
      </c>
      <c r="AC61" s="6">
        <f>(1+Parameters!$B$39)^-Base_Scenario!A61</f>
        <v>0.89914811010345574</v>
      </c>
      <c r="AD61" s="12">
        <f t="shared" si="25"/>
        <v>256843903.46171221</v>
      </c>
      <c r="AF61" s="12">
        <f t="shared" si="26"/>
        <v>0</v>
      </c>
      <c r="AG61" s="12">
        <f t="shared" si="29"/>
        <v>0</v>
      </c>
      <c r="AH61" s="12">
        <f t="shared" si="27"/>
        <v>0</v>
      </c>
      <c r="AI61" s="12">
        <f t="shared" si="28"/>
        <v>0</v>
      </c>
    </row>
    <row r="62" spans="1:35" x14ac:dyDescent="0.35">
      <c r="A62" s="5">
        <v>59</v>
      </c>
      <c r="B62" s="12">
        <f>B61*(1-Parameters!$B$9)</f>
        <v>106694.99441928897</v>
      </c>
      <c r="C62" s="21"/>
      <c r="D62" s="12">
        <f>B62*Parameters!$B$6</f>
        <v>74686.496093502268</v>
      </c>
      <c r="E62" s="12">
        <f t="shared" si="16"/>
        <v>18315.204585509302</v>
      </c>
      <c r="F62" s="12">
        <f t="shared" si="18"/>
        <v>93001.70067901157</v>
      </c>
      <c r="G62" s="12">
        <f>Parameters!$B$25*Demand_Volatility!B63</f>
        <v>84832.799999999988</v>
      </c>
      <c r="H62" s="12">
        <f t="shared" si="19"/>
        <v>84832.799999999988</v>
      </c>
      <c r="I62" s="12">
        <f>MIN(Parameters!$B$13,MAX(0,E62+D62-H62))</f>
        <v>8168.9006790115818</v>
      </c>
      <c r="J62" s="12">
        <f t="shared" si="20"/>
        <v>0</v>
      </c>
      <c r="K62" s="12">
        <f>(H62*Parameters!$B$20*Parameters!$B$24)+(J62*Parameters!$B$20*Parameters!$B$24*(1-Parameters!$B$22))</f>
        <v>506960812.79999995</v>
      </c>
      <c r="M62" s="12">
        <f>B62*Parameters!$B$7</f>
        <v>32008.498325786688</v>
      </c>
      <c r="N62" s="12">
        <f t="shared" si="17"/>
        <v>12616.405960993652</v>
      </c>
      <c r="O62" s="12">
        <f t="shared" si="13"/>
        <v>44624.904286780336</v>
      </c>
      <c r="P62" s="12">
        <f>Parameters!$B$26*Demand_Volatility!C63</f>
        <v>31020.800000000003</v>
      </c>
      <c r="Q62" s="12">
        <f t="shared" si="21"/>
        <v>31020.800000000003</v>
      </c>
      <c r="R62" s="12">
        <f>MIN(Parameters!$C$13,MAX(0,N62+M62-Q62))</f>
        <v>13604.104286780333</v>
      </c>
      <c r="S62" s="12">
        <f t="shared" si="22"/>
        <v>0</v>
      </c>
      <c r="T62" s="12">
        <f>(Q62*Parameters!$B$21)+(S62*Parameters!$B$21*(1-Parameters!$B$23))</f>
        <v>99266560.000000015</v>
      </c>
      <c r="V62" s="12">
        <f t="shared" si="23"/>
        <v>606227372.79999995</v>
      </c>
      <c r="W62" s="26">
        <f>W61*(1+Parameters!$B$36)</f>
        <v>1.0559277860217806</v>
      </c>
      <c r="X62" s="12">
        <f>Parameters!$B$30*W62</f>
        <v>258702307.57533625</v>
      </c>
      <c r="Y62" s="12">
        <f>(Parameters!$B$15+Parameters!$B$16*I62)*W62</f>
        <v>4568741.9124159431</v>
      </c>
      <c r="Z62" s="12">
        <f>(Parameters!$C$15+Parameters!$C$16*R62)*Base_Scenario!W62</f>
        <v>1943015.4720414053</v>
      </c>
      <c r="AA62" s="12">
        <f t="shared" si="14"/>
        <v>265214064.9597936</v>
      </c>
      <c r="AB62" s="12">
        <f t="shared" si="24"/>
        <v>341013307.84020638</v>
      </c>
      <c r="AC62" s="6">
        <f>(1+Parameters!$B$39)^-Base_Scenario!A62</f>
        <v>0.89750158166856442</v>
      </c>
      <c r="AD62" s="12">
        <f t="shared" si="25"/>
        <v>306059983.1566143</v>
      </c>
      <c r="AF62" s="12">
        <f t="shared" si="26"/>
        <v>0</v>
      </c>
      <c r="AG62" s="12">
        <f t="shared" si="29"/>
        <v>0</v>
      </c>
      <c r="AH62" s="12">
        <f t="shared" si="27"/>
        <v>0</v>
      </c>
      <c r="AI62" s="12">
        <f t="shared" si="28"/>
        <v>0</v>
      </c>
    </row>
    <row r="63" spans="1:35" x14ac:dyDescent="0.35">
      <c r="A63" s="5">
        <v>60</v>
      </c>
      <c r="B63" s="12">
        <f>B62*(1-Parameters!$B$9)</f>
        <v>106479.03174969135</v>
      </c>
      <c r="C63" s="21"/>
      <c r="D63" s="12">
        <f>B63*Parameters!$B$6</f>
        <v>74535.322224783944</v>
      </c>
      <c r="E63" s="12">
        <f t="shared" si="16"/>
        <v>8168.9006790115818</v>
      </c>
      <c r="F63" s="12">
        <f t="shared" si="18"/>
        <v>82704.222903795526</v>
      </c>
      <c r="G63" s="12">
        <f>Parameters!$B$25*Demand_Volatility!B64</f>
        <v>80223</v>
      </c>
      <c r="H63" s="12">
        <f t="shared" si="19"/>
        <v>80223</v>
      </c>
      <c r="I63" s="12">
        <f>MIN(Parameters!$B$13,MAX(0,E63+D63-H63))</f>
        <v>2481.2229037955258</v>
      </c>
      <c r="J63" s="12">
        <f t="shared" si="20"/>
        <v>0</v>
      </c>
      <c r="K63" s="12">
        <f>(H63*Parameters!$B$20*Parameters!$B$24)+(J63*Parameters!$B$20*Parameters!$B$24*(1-Parameters!$B$22))</f>
        <v>479412648</v>
      </c>
      <c r="M63" s="12">
        <f>B63*Parameters!$B$7</f>
        <v>31943.709524907405</v>
      </c>
      <c r="N63" s="12">
        <f t="shared" si="17"/>
        <v>13604.104286780333</v>
      </c>
      <c r="O63" s="12">
        <f t="shared" si="13"/>
        <v>45547.813811687738</v>
      </c>
      <c r="P63" s="12">
        <f>Parameters!$B$26*Demand_Volatility!C64</f>
        <v>33011.200000000004</v>
      </c>
      <c r="Q63" s="12">
        <f t="shared" si="21"/>
        <v>33011.200000000004</v>
      </c>
      <c r="R63" s="12">
        <f>MIN(Parameters!$C$13,MAX(0,N63+M63-Q63))</f>
        <v>12536.613811687734</v>
      </c>
      <c r="S63" s="12">
        <f t="shared" si="22"/>
        <v>0</v>
      </c>
      <c r="T63" s="12">
        <f>(Q63*Parameters!$B$21)+(S63*Parameters!$B$21*(1-Parameters!$B$23))</f>
        <v>105635840.00000001</v>
      </c>
      <c r="V63" s="12">
        <f t="shared" si="23"/>
        <v>585048488</v>
      </c>
      <c r="W63" s="26">
        <f>W62*(1+Parameters!$B$36)</f>
        <v>1.0569189988480878</v>
      </c>
      <c r="X63" s="12">
        <f>Parameters!$B$30*W63</f>
        <v>258945154.71778151</v>
      </c>
      <c r="Y63" s="12">
        <f>(Parameters!$B$15+Parameters!$B$16*I63)*W63</f>
        <v>4332574.060488292</v>
      </c>
      <c r="Z63" s="12">
        <f>(Parameters!$C$15+Parameters!$C$16*R63)*Base_Scenario!W63</f>
        <v>1916633.1312419844</v>
      </c>
      <c r="AA63" s="12">
        <f t="shared" si="14"/>
        <v>265194361.90951177</v>
      </c>
      <c r="AB63" s="12">
        <f t="shared" si="24"/>
        <v>319854126.0904882</v>
      </c>
      <c r="AC63" s="6">
        <f>(1+Parameters!$B$39)^-Base_Scenario!A63</f>
        <v>0.8958580683719537</v>
      </c>
      <c r="AD63" s="12">
        <f t="shared" si="25"/>
        <v>286543899.56022406</v>
      </c>
      <c r="AF63" s="12">
        <f t="shared" si="26"/>
        <v>0</v>
      </c>
      <c r="AG63" s="12">
        <f t="shared" si="29"/>
        <v>0</v>
      </c>
      <c r="AH63" s="12">
        <f t="shared" si="27"/>
        <v>0</v>
      </c>
      <c r="AI63" s="12">
        <f t="shared" si="28"/>
        <v>0</v>
      </c>
    </row>
    <row r="64" spans="1:35" x14ac:dyDescent="0.35">
      <c r="A64" s="5">
        <v>61</v>
      </c>
      <c r="B64" s="12">
        <f>B63*(1-Parameters!$B$9)</f>
        <v>106263.50621282816</v>
      </c>
      <c r="C64" s="21"/>
      <c r="D64" s="12">
        <f>B64*Parameters!$B$6</f>
        <v>74384.454348979707</v>
      </c>
      <c r="E64" s="12">
        <f t="shared" si="16"/>
        <v>2481.2229037955258</v>
      </c>
      <c r="F64" s="12">
        <f t="shared" si="18"/>
        <v>76865.677252775233</v>
      </c>
      <c r="G64" s="12">
        <f>Parameters!$B$25*Demand_Volatility!B65</f>
        <v>79419.600000000006</v>
      </c>
      <c r="H64" s="12">
        <f t="shared" si="19"/>
        <v>76865.677252775233</v>
      </c>
      <c r="I64" s="12">
        <f>MIN(Parameters!$B$13,MAX(0,E64+D64-H64))</f>
        <v>0</v>
      </c>
      <c r="J64" s="12">
        <f t="shared" si="20"/>
        <v>0</v>
      </c>
      <c r="K64" s="12">
        <f>(H64*Parameters!$B$20*Parameters!$B$24)+(J64*Parameters!$B$20*Parameters!$B$24*(1-Parameters!$B$22))</f>
        <v>459349287.26258481</v>
      </c>
      <c r="M64" s="12">
        <f>B64*Parameters!$B$7</f>
        <v>31879.051863848446</v>
      </c>
      <c r="N64" s="12">
        <f t="shared" si="17"/>
        <v>12536.613811687734</v>
      </c>
      <c r="O64" s="12">
        <f t="shared" si="13"/>
        <v>44415.665675536176</v>
      </c>
      <c r="P64" s="12">
        <f>Parameters!$B$26*Demand_Volatility!C65</f>
        <v>32313.600000000002</v>
      </c>
      <c r="Q64" s="12">
        <f t="shared" si="21"/>
        <v>32313.600000000002</v>
      </c>
      <c r="R64" s="12">
        <f>MIN(Parameters!$C$13,MAX(0,N64+M64-Q64))</f>
        <v>12102.065675536174</v>
      </c>
      <c r="S64" s="12">
        <f t="shared" si="22"/>
        <v>0</v>
      </c>
      <c r="T64" s="12">
        <f>(Q64*Parameters!$B$21)+(S64*Parameters!$B$21*(1-Parameters!$B$23))</f>
        <v>103403520</v>
      </c>
      <c r="V64" s="12">
        <f t="shared" si="23"/>
        <v>562752807.26258481</v>
      </c>
      <c r="W64" s="26">
        <f>W63*(1+Parameters!$B$36)</f>
        <v>1.0579111421384666</v>
      </c>
      <c r="X64" s="12">
        <f>Parameters!$B$30*W64</f>
        <v>259188229.8239243</v>
      </c>
      <c r="Y64" s="12">
        <f>(Parameters!$B$15+Parameters!$B$16*I64)*W64</f>
        <v>4231644.5685538668</v>
      </c>
      <c r="Z64" s="12">
        <f>(Parameters!$C$15+Parameters!$C$16*R64)*Base_Scenario!W64</f>
        <v>1906939.4662337301</v>
      </c>
      <c r="AA64" s="12">
        <f t="shared" si="14"/>
        <v>265326813.8587119</v>
      </c>
      <c r="AB64" s="12">
        <f t="shared" si="24"/>
        <v>297425993.40387291</v>
      </c>
      <c r="AC64" s="6">
        <f>(1+Parameters!$B$39)^-Base_Scenario!A64</f>
        <v>0.89421756469227442</v>
      </c>
      <c r="AD64" s="12">
        <f t="shared" si="25"/>
        <v>265963547.49779171</v>
      </c>
      <c r="AF64" s="12">
        <f t="shared" si="26"/>
        <v>0</v>
      </c>
      <c r="AG64" s="12">
        <f t="shared" si="29"/>
        <v>0</v>
      </c>
      <c r="AH64" s="12">
        <f t="shared" si="27"/>
        <v>0</v>
      </c>
      <c r="AI64" s="12">
        <f t="shared" si="28"/>
        <v>0</v>
      </c>
    </row>
    <row r="65" spans="1:35" x14ac:dyDescent="0.35">
      <c r="A65" s="5">
        <v>62</v>
      </c>
      <c r="B65" s="12">
        <f>B64*(1-Parameters!$B$9)</f>
        <v>106048.41692389356</v>
      </c>
      <c r="C65" s="21"/>
      <c r="D65" s="12">
        <f>B65*Parameters!$B$6</f>
        <v>74233.891846725484</v>
      </c>
      <c r="E65" s="12">
        <f t="shared" si="16"/>
        <v>0</v>
      </c>
      <c r="F65" s="12">
        <f t="shared" si="18"/>
        <v>74233.891846725484</v>
      </c>
      <c r="G65" s="12">
        <f>Parameters!$B$25*Demand_Volatility!B66</f>
        <v>75168.600000000006</v>
      </c>
      <c r="H65" s="12">
        <f t="shared" si="19"/>
        <v>74233.891846725484</v>
      </c>
      <c r="I65" s="12">
        <f>MIN(Parameters!$B$13,MAX(0,E65+D65-H65))</f>
        <v>0</v>
      </c>
      <c r="J65" s="12">
        <f t="shared" si="20"/>
        <v>0</v>
      </c>
      <c r="K65" s="12">
        <f>(H65*Parameters!$B$20*Parameters!$B$24)+(J65*Parameters!$B$20*Parameters!$B$24*(1-Parameters!$B$22))</f>
        <v>443621737.67603147</v>
      </c>
      <c r="M65" s="12">
        <f>B65*Parameters!$B$7</f>
        <v>31814.525077168066</v>
      </c>
      <c r="N65" s="12">
        <f t="shared" si="17"/>
        <v>12102.065675536174</v>
      </c>
      <c r="O65" s="12">
        <f t="shared" si="13"/>
        <v>43916.590752704244</v>
      </c>
      <c r="P65" s="12">
        <f>Parameters!$B$26*Demand_Volatility!C66</f>
        <v>31750.399999999998</v>
      </c>
      <c r="Q65" s="12">
        <f t="shared" si="21"/>
        <v>31750.399999999998</v>
      </c>
      <c r="R65" s="12">
        <f>MIN(Parameters!$C$13,MAX(0,N65+M65-Q65))</f>
        <v>12166.190752704246</v>
      </c>
      <c r="S65" s="12">
        <f t="shared" si="22"/>
        <v>0</v>
      </c>
      <c r="T65" s="12">
        <f>(Q65*Parameters!$B$21)+(S65*Parameters!$B$21*(1-Parameters!$B$23))</f>
        <v>101601280</v>
      </c>
      <c r="V65" s="12">
        <f t="shared" si="23"/>
        <v>545223017.67603147</v>
      </c>
      <c r="W65" s="26">
        <f>W64*(1+Parameters!$B$36)</f>
        <v>1.0589042167663554</v>
      </c>
      <c r="X65" s="12">
        <f>Parameters!$B$30*W65</f>
        <v>259431533.10775706</v>
      </c>
      <c r="Y65" s="12">
        <f>(Parameters!$B$15+Parameters!$B$16*I65)*W65</f>
        <v>4235616.8670654213</v>
      </c>
      <c r="Z65" s="12">
        <f>(Parameters!$C$15+Parameters!$C$16*R65)*Base_Scenario!W65</f>
        <v>1910427.0924000922</v>
      </c>
      <c r="AA65" s="12">
        <f t="shared" si="14"/>
        <v>265577577.0672226</v>
      </c>
      <c r="AB65" s="12">
        <f t="shared" si="24"/>
        <v>279645440.60880888</v>
      </c>
      <c r="AC65" s="6">
        <f>(1+Parameters!$B$39)^-Base_Scenario!A65</f>
        <v>0.89258006511828758</v>
      </c>
      <c r="AD65" s="12">
        <f t="shared" si="25"/>
        <v>249605945.58864284</v>
      </c>
      <c r="AF65" s="12">
        <f t="shared" si="26"/>
        <v>0</v>
      </c>
      <c r="AG65" s="12">
        <f t="shared" si="29"/>
        <v>0</v>
      </c>
      <c r="AH65" s="12">
        <f t="shared" si="27"/>
        <v>0</v>
      </c>
      <c r="AI65" s="12">
        <f t="shared" si="28"/>
        <v>0</v>
      </c>
    </row>
    <row r="66" spans="1:35" x14ac:dyDescent="0.35">
      <c r="A66" s="5">
        <v>63</v>
      </c>
      <c r="B66" s="12">
        <f>B65*(1-Parameters!$B$9)</f>
        <v>105833.76299987269</v>
      </c>
      <c r="C66" s="21"/>
      <c r="D66" s="12">
        <f>B66*Parameters!$B$6</f>
        <v>74083.63409991088</v>
      </c>
      <c r="E66" s="12">
        <f t="shared" si="16"/>
        <v>0</v>
      </c>
      <c r="F66" s="12">
        <f t="shared" si="18"/>
        <v>74083.63409991088</v>
      </c>
      <c r="G66" s="12">
        <f>Parameters!$B$25*Demand_Volatility!B67</f>
        <v>79700.400000000009</v>
      </c>
      <c r="H66" s="12">
        <f t="shared" si="19"/>
        <v>74083.63409991088</v>
      </c>
      <c r="I66" s="12">
        <f>MIN(Parameters!$B$13,MAX(0,E66+D66-H66))</f>
        <v>0</v>
      </c>
      <c r="J66" s="12">
        <f t="shared" si="20"/>
        <v>0</v>
      </c>
      <c r="K66" s="12">
        <f>(H66*Parameters!$B$20*Parameters!$B$24)+(J66*Parameters!$B$20*Parameters!$B$24*(1-Parameters!$B$22))</f>
        <v>442723797.3810674</v>
      </c>
      <c r="M66" s="12">
        <f>B66*Parameters!$B$7</f>
        <v>31750.128899961805</v>
      </c>
      <c r="N66" s="12">
        <f t="shared" si="17"/>
        <v>12166.190752704246</v>
      </c>
      <c r="O66" s="12">
        <f t="shared" si="13"/>
        <v>43916.319652666047</v>
      </c>
      <c r="P66" s="12">
        <f>Parameters!$B$26*Demand_Volatility!C67</f>
        <v>33260.800000000003</v>
      </c>
      <c r="Q66" s="12">
        <f t="shared" si="21"/>
        <v>33260.800000000003</v>
      </c>
      <c r="R66" s="12">
        <f>MIN(Parameters!$C$13,MAX(0,N66+M66-Q66))</f>
        <v>10655.519652666044</v>
      </c>
      <c r="S66" s="12">
        <f t="shared" si="22"/>
        <v>0</v>
      </c>
      <c r="T66" s="12">
        <f>(Q66*Parameters!$B$21)+(S66*Parameters!$B$21*(1-Parameters!$B$23))</f>
        <v>106434560.00000001</v>
      </c>
      <c r="V66" s="12">
        <f t="shared" si="23"/>
        <v>549158357.3810674</v>
      </c>
      <c r="W66" s="26">
        <f>W65*(1+Parameters!$B$36)</f>
        <v>1.0598982236060126</v>
      </c>
      <c r="X66" s="12">
        <f>Parameters!$B$30*W66</f>
        <v>259675064.78347307</v>
      </c>
      <c r="Y66" s="12">
        <f>(Parameters!$B$15+Parameters!$B$16*I66)*W66</f>
        <v>4239592.8944240501</v>
      </c>
      <c r="Z66" s="12">
        <f>(Parameters!$C$15+Parameters!$C$16*R66)*Base_Scenario!W66</f>
        <v>1872191.4941955111</v>
      </c>
      <c r="AA66" s="12">
        <f t="shared" si="14"/>
        <v>265786849.17209265</v>
      </c>
      <c r="AB66" s="12">
        <f t="shared" si="24"/>
        <v>283371508.20897472</v>
      </c>
      <c r="AC66" s="6">
        <f>(1+Parameters!$B$39)^-Base_Scenario!A66</f>
        <v>0.8909455641488474</v>
      </c>
      <c r="AD66" s="12">
        <f t="shared" si="25"/>
        <v>252468588.24495474</v>
      </c>
      <c r="AF66" s="12">
        <f t="shared" si="26"/>
        <v>0</v>
      </c>
      <c r="AG66" s="12">
        <f t="shared" si="29"/>
        <v>0</v>
      </c>
      <c r="AH66" s="12">
        <f t="shared" si="27"/>
        <v>0</v>
      </c>
      <c r="AI66" s="12">
        <f t="shared" si="28"/>
        <v>0</v>
      </c>
    </row>
    <row r="67" spans="1:35" x14ac:dyDescent="0.35">
      <c r="A67" s="5">
        <v>64</v>
      </c>
      <c r="B67" s="12">
        <f>B66*(1-Parameters!$B$9)</f>
        <v>105619.543559538</v>
      </c>
      <c r="C67" s="21"/>
      <c r="D67" s="12">
        <f>B67*Parameters!$B$6</f>
        <v>73933.680491676598</v>
      </c>
      <c r="E67" s="12">
        <f t="shared" si="16"/>
        <v>0</v>
      </c>
      <c r="F67" s="12">
        <f t="shared" si="18"/>
        <v>73933.680491676598</v>
      </c>
      <c r="G67" s="12">
        <f>Parameters!$B$25*Demand_Volatility!B68</f>
        <v>76611.599999999991</v>
      </c>
      <c r="H67" s="12">
        <f t="shared" si="19"/>
        <v>73933.680491676598</v>
      </c>
      <c r="I67" s="12">
        <f>MIN(Parameters!$B$13,MAX(0,E67+D67-H67))</f>
        <v>0</v>
      </c>
      <c r="J67" s="12">
        <f t="shared" si="20"/>
        <v>0</v>
      </c>
      <c r="K67" s="12">
        <f>(H67*Parameters!$B$20*Parameters!$B$24)+(J67*Parameters!$B$20*Parameters!$B$24*(1-Parameters!$B$22))</f>
        <v>441827674.61825931</v>
      </c>
      <c r="M67" s="12">
        <f>B67*Parameters!$B$7</f>
        <v>31685.863067861399</v>
      </c>
      <c r="N67" s="12">
        <f t="shared" si="17"/>
        <v>10655.519652666044</v>
      </c>
      <c r="O67" s="12">
        <f t="shared" si="13"/>
        <v>42341.382720527443</v>
      </c>
      <c r="P67" s="12">
        <f>Parameters!$B$26*Demand_Volatility!C68</f>
        <v>34640</v>
      </c>
      <c r="Q67" s="12">
        <f t="shared" si="21"/>
        <v>34640</v>
      </c>
      <c r="R67" s="12">
        <f>MIN(Parameters!$C$13,MAX(0,N67+M67-Q67))</f>
        <v>7701.3827205274429</v>
      </c>
      <c r="S67" s="12">
        <f t="shared" si="22"/>
        <v>0</v>
      </c>
      <c r="T67" s="12">
        <f>(Q67*Parameters!$B$21)+(S67*Parameters!$B$21*(1-Parameters!$B$23))</f>
        <v>110848000</v>
      </c>
      <c r="V67" s="12">
        <f t="shared" si="23"/>
        <v>552675674.61825931</v>
      </c>
      <c r="W67" s="26">
        <f>W66*(1+Parameters!$B$36)</f>
        <v>1.0608931635325172</v>
      </c>
      <c r="X67" s="12">
        <f>Parameters!$B$30*W67</f>
        <v>259918825.0654667</v>
      </c>
      <c r="Y67" s="12">
        <f>(Parameters!$B$15+Parameters!$B$16*I67)*W67</f>
        <v>4243572.6541300686</v>
      </c>
      <c r="Z67" s="12">
        <f>(Parameters!$C$15+Parameters!$C$16*R67)*Base_Scenario!W67</f>
        <v>1795598.3522476514</v>
      </c>
      <c r="AA67" s="12">
        <f t="shared" si="14"/>
        <v>265957996.07184443</v>
      </c>
      <c r="AB67" s="12">
        <f t="shared" si="24"/>
        <v>286717678.54641485</v>
      </c>
      <c r="AC67" s="6">
        <f>(1+Parameters!$B$39)^-Base_Scenario!A67</f>
        <v>0.88931405629288052</v>
      </c>
      <c r="AD67" s="12">
        <f t="shared" si="25"/>
        <v>254982061.71899039</v>
      </c>
      <c r="AF67" s="12">
        <f t="shared" si="26"/>
        <v>0</v>
      </c>
      <c r="AG67" s="12">
        <f t="shared" si="29"/>
        <v>0</v>
      </c>
      <c r="AH67" s="12">
        <f t="shared" si="27"/>
        <v>0</v>
      </c>
      <c r="AI67" s="12">
        <f t="shared" si="28"/>
        <v>0</v>
      </c>
    </row>
    <row r="68" spans="1:35" x14ac:dyDescent="0.35">
      <c r="A68" s="5">
        <v>65</v>
      </c>
      <c r="B68" s="12">
        <f>B67*(1-Parameters!$B$9)</f>
        <v>105405.75772344561</v>
      </c>
      <c r="C68" s="21"/>
      <c r="D68" s="12">
        <f>B68*Parameters!$B$6</f>
        <v>73784.030406411926</v>
      </c>
      <c r="E68" s="12">
        <f t="shared" si="16"/>
        <v>0</v>
      </c>
      <c r="F68" s="12">
        <f t="shared" ref="F68:F83" si="30">D68+E68</f>
        <v>73784.030406411926</v>
      </c>
      <c r="G68" s="12">
        <f>Parameters!$B$25*Demand_Volatility!B69</f>
        <v>76245</v>
      </c>
      <c r="H68" s="12">
        <f t="shared" ref="H68:H83" si="31">MIN(F68,G68)</f>
        <v>73784.030406411926</v>
      </c>
      <c r="I68" s="12">
        <f>MIN(Parameters!$B$13,MAX(0,E68+D68-H68))</f>
        <v>0</v>
      </c>
      <c r="J68" s="12">
        <f t="shared" ref="J68:J83" si="32">D68+E68-H68-I68</f>
        <v>0</v>
      </c>
      <c r="K68" s="12">
        <f>(H68*Parameters!$B$20*Parameters!$B$24)+(J68*Parameters!$B$20*Parameters!$B$24*(1-Parameters!$B$22))</f>
        <v>440933365.7087177</v>
      </c>
      <c r="M68" s="12">
        <f>B68*Parameters!$B$7</f>
        <v>31621.727317033681</v>
      </c>
      <c r="N68" s="12">
        <f t="shared" si="17"/>
        <v>7701.3827205274429</v>
      </c>
      <c r="O68" s="12">
        <f t="shared" si="13"/>
        <v>39323.110037561128</v>
      </c>
      <c r="P68" s="12">
        <f>Parameters!$B$26*Demand_Volatility!C69</f>
        <v>32448</v>
      </c>
      <c r="Q68" s="12">
        <f t="shared" ref="Q68:Q83" si="33">MIN(O68,P68)</f>
        <v>32448</v>
      </c>
      <c r="R68" s="12">
        <f>MIN(Parameters!$C$13,MAX(0,N68+M68-Q68))</f>
        <v>6875.1100375611277</v>
      </c>
      <c r="S68" s="12">
        <f t="shared" ref="S68:S83" si="34">M68+N68-Q68-R68</f>
        <v>0</v>
      </c>
      <c r="T68" s="12">
        <f>(Q68*Parameters!$B$21)+(S68*Parameters!$B$21*(1-Parameters!$B$23))</f>
        <v>103833600</v>
      </c>
      <c r="V68" s="12">
        <f t="shared" ref="V68:V83" si="35">K68+T68</f>
        <v>544766965.7087177</v>
      </c>
      <c r="W68" s="26">
        <f>W67*(1+Parameters!$B$36)</f>
        <v>1.0618890374217695</v>
      </c>
      <c r="X68" s="12">
        <f>Parameters!$B$30*W68</f>
        <v>260162814.16833353</v>
      </c>
      <c r="Y68" s="12">
        <f>(Parameters!$B$15+Parameters!$B$16*I68)*W68</f>
        <v>4247556.1496870779</v>
      </c>
      <c r="Z68" s="12">
        <f>(Parameters!$C$15+Parameters!$C$16*R68)*Base_Scenario!W68</f>
        <v>1775348.6556315175</v>
      </c>
      <c r="AA68" s="12">
        <f t="shared" si="14"/>
        <v>266185718.97365212</v>
      </c>
      <c r="AB68" s="12">
        <f t="shared" ref="AB68:AB83" si="36">V68-AA68</f>
        <v>278581246.73506558</v>
      </c>
      <c r="AC68" s="6">
        <f>(1+Parameters!$B$39)^-Base_Scenario!A68</f>
        <v>0.88768553606936973</v>
      </c>
      <c r="AD68" s="12">
        <f t="shared" ref="AD68:AD83" si="37">AB68*AC68</f>
        <v>247292543.34689003</v>
      </c>
      <c r="AF68" s="12">
        <f t="shared" ref="AF68:AF83" si="38">IF(AND(ROUND((D68-H68-I68+E68-J68),0)=0,ROUND((M68-Q68-R68+N68-S68),0)=0),0,1)</f>
        <v>0</v>
      </c>
      <c r="AG68" s="12">
        <f t="shared" si="29"/>
        <v>0</v>
      </c>
      <c r="AH68" s="12">
        <f t="shared" ref="AH68:AH83" si="39">IF(AND(Q68&lt;=P68,H68&lt;=G68),0,1)</f>
        <v>0</v>
      </c>
      <c r="AI68" s="12">
        <f t="shared" ref="AI68:AI83" si="40">IF(AND(Q68&lt;=O68,H68&lt;=F68),0,1)</f>
        <v>0</v>
      </c>
    </row>
    <row r="69" spans="1:35" x14ac:dyDescent="0.35">
      <c r="A69" s="5">
        <v>66</v>
      </c>
      <c r="B69" s="12">
        <f>B68*(1-Parameters!$B$9)</f>
        <v>105192.40461393179</v>
      </c>
      <c r="C69" s="21"/>
      <c r="D69" s="12">
        <f>B69*Parameters!$B$6</f>
        <v>73634.683229752249</v>
      </c>
      <c r="E69" s="12">
        <f t="shared" si="16"/>
        <v>0</v>
      </c>
      <c r="F69" s="12">
        <f t="shared" si="30"/>
        <v>73634.683229752249</v>
      </c>
      <c r="G69" s="12">
        <f>Parameters!$B$25*Demand_Volatility!B70</f>
        <v>78296.400000000009</v>
      </c>
      <c r="H69" s="12">
        <f t="shared" si="31"/>
        <v>73634.683229752249</v>
      </c>
      <c r="I69" s="12">
        <f>MIN(Parameters!$B$13,MAX(0,E69+D69-H69))</f>
        <v>0</v>
      </c>
      <c r="J69" s="12">
        <f t="shared" si="32"/>
        <v>0</v>
      </c>
      <c r="K69" s="12">
        <f>(H69*Parameters!$B$20*Parameters!$B$24)+(J69*Parameters!$B$20*Parameters!$B$24*(1-Parameters!$B$22))</f>
        <v>440040866.98099941</v>
      </c>
      <c r="M69" s="12">
        <f>B69*Parameters!$B$7</f>
        <v>31557.721384179538</v>
      </c>
      <c r="N69" s="12">
        <f t="shared" si="17"/>
        <v>6875.1100375611277</v>
      </c>
      <c r="O69" s="12">
        <f t="shared" ref="O69:O83" si="41">M69+N69</f>
        <v>38432.831421740666</v>
      </c>
      <c r="P69" s="12">
        <f>Parameters!$B$26*Demand_Volatility!C70</f>
        <v>31366.399999999998</v>
      </c>
      <c r="Q69" s="12">
        <f t="shared" si="33"/>
        <v>31366.399999999998</v>
      </c>
      <c r="R69" s="12">
        <f>MIN(Parameters!$C$13,MAX(0,N69+M69-Q69))</f>
        <v>7066.4314217406682</v>
      </c>
      <c r="S69" s="12">
        <f t="shared" si="34"/>
        <v>0</v>
      </c>
      <c r="T69" s="12">
        <f>(Q69*Parameters!$B$21)+(S69*Parameters!$B$21*(1-Parameters!$B$23))</f>
        <v>100372480</v>
      </c>
      <c r="V69" s="12">
        <f t="shared" si="35"/>
        <v>540413346.98099947</v>
      </c>
      <c r="W69" s="26">
        <f>W68*(1+Parameters!$B$36)</f>
        <v>1.0628858461504924</v>
      </c>
      <c r="X69" s="12">
        <f>Parameters!$B$30*W69</f>
        <v>260407032.30687064</v>
      </c>
      <c r="Y69" s="12">
        <f>(Parameters!$B$15+Parameters!$B$16*I69)*W69</f>
        <v>4251543.3846019693</v>
      </c>
      <c r="Z69" s="12">
        <f>(Parameters!$C$15+Parameters!$C$16*R69)*Base_Scenario!W69</f>
        <v>1782099.0177497701</v>
      </c>
      <c r="AA69" s="12">
        <f t="shared" ref="AA69:AA83" si="42">X69+Y69+Z69</f>
        <v>266440674.70922238</v>
      </c>
      <c r="AB69" s="12">
        <f t="shared" si="36"/>
        <v>273972672.27177709</v>
      </c>
      <c r="AC69" s="6">
        <f>(1+Parameters!$B$39)^-Base_Scenario!A69</f>
        <v>0.8860599980073347</v>
      </c>
      <c r="AD69" s="12">
        <f t="shared" si="37"/>
        <v>242756225.44719496</v>
      </c>
      <c r="AF69" s="12">
        <f t="shared" si="38"/>
        <v>0</v>
      </c>
      <c r="AG69" s="12">
        <f t="shared" ref="AG69:AG83" si="43">IF(B69&lt;B68,0,1)</f>
        <v>0</v>
      </c>
      <c r="AH69" s="12">
        <f t="shared" si="39"/>
        <v>0</v>
      </c>
      <c r="AI69" s="12">
        <f t="shared" si="40"/>
        <v>0</v>
      </c>
    </row>
    <row r="70" spans="1:35" x14ac:dyDescent="0.35">
      <c r="A70" s="5">
        <v>67</v>
      </c>
      <c r="B70" s="12">
        <f>B69*(1-Parameters!$B$9)</f>
        <v>104979.48335510927</v>
      </c>
      <c r="C70" s="21"/>
      <c r="D70" s="12">
        <f>B70*Parameters!$B$6</f>
        <v>73485.638348576482</v>
      </c>
      <c r="E70" s="12">
        <f t="shared" ref="E70:E83" si="44">I69</f>
        <v>0</v>
      </c>
      <c r="F70" s="12">
        <f t="shared" si="30"/>
        <v>73485.638348576482</v>
      </c>
      <c r="G70" s="12">
        <f>Parameters!$B$25*Demand_Volatility!B71</f>
        <v>77251.199999999997</v>
      </c>
      <c r="H70" s="12">
        <f t="shared" si="31"/>
        <v>73485.638348576482</v>
      </c>
      <c r="I70" s="12">
        <f>MIN(Parameters!$B$13,MAX(0,E70+D70-H70))</f>
        <v>0</v>
      </c>
      <c r="J70" s="12">
        <f t="shared" si="32"/>
        <v>0</v>
      </c>
      <c r="K70" s="12">
        <f>(H70*Parameters!$B$20*Parameters!$B$24)+(J70*Parameters!$B$20*Parameters!$B$24*(1-Parameters!$B$22))</f>
        <v>439150174.77109307</v>
      </c>
      <c r="M70" s="12">
        <f>B70*Parameters!$B$7</f>
        <v>31493.845006532782</v>
      </c>
      <c r="N70" s="12">
        <f t="shared" ref="N70:N83" si="45">R69</f>
        <v>7066.4314217406682</v>
      </c>
      <c r="O70" s="12">
        <f t="shared" si="41"/>
        <v>38560.27642827345</v>
      </c>
      <c r="P70" s="12">
        <f>Parameters!$B$26*Demand_Volatility!C71</f>
        <v>32969.599999999999</v>
      </c>
      <c r="Q70" s="12">
        <f t="shared" si="33"/>
        <v>32969.599999999999</v>
      </c>
      <c r="R70" s="12">
        <f>MIN(Parameters!$C$13,MAX(0,N70+M70-Q70))</f>
        <v>5590.6764282734512</v>
      </c>
      <c r="S70" s="12">
        <f t="shared" si="34"/>
        <v>0</v>
      </c>
      <c r="T70" s="12">
        <f>(Q70*Parameters!$B$21)+(S70*Parameters!$B$21*(1-Parameters!$B$23))</f>
        <v>105502720</v>
      </c>
      <c r="V70" s="12">
        <f t="shared" si="35"/>
        <v>544652894.77109313</v>
      </c>
      <c r="W70" s="26">
        <f>W69*(1+Parameters!$B$36)</f>
        <v>1.0638835905962316</v>
      </c>
      <c r="X70" s="12">
        <f>Parameters!$B$30*W70</f>
        <v>260651479.69607675</v>
      </c>
      <c r="Y70" s="12">
        <f>(Parameters!$B$15+Parameters!$B$16*I70)*W70</f>
        <v>4255534.3623849265</v>
      </c>
      <c r="Z70" s="12">
        <f>(Parameters!$C$15+Parameters!$C$16*R70)*Base_Scenario!W70</f>
        <v>1744521.1087036792</v>
      </c>
      <c r="AA70" s="12">
        <f t="shared" si="42"/>
        <v>266651535.16716534</v>
      </c>
      <c r="AB70" s="12">
        <f t="shared" si="36"/>
        <v>278001359.60392779</v>
      </c>
      <c r="AC70" s="6">
        <f>(1+Parameters!$B$39)^-Base_Scenario!A70</f>
        <v>0.88443743664581331</v>
      </c>
      <c r="AD70" s="12">
        <f t="shared" si="37"/>
        <v>245874809.87214884</v>
      </c>
      <c r="AF70" s="12">
        <f t="shared" si="38"/>
        <v>0</v>
      </c>
      <c r="AG70" s="12">
        <f t="shared" si="43"/>
        <v>0</v>
      </c>
      <c r="AH70" s="12">
        <f t="shared" si="39"/>
        <v>0</v>
      </c>
      <c r="AI70" s="12">
        <f t="shared" si="40"/>
        <v>0</v>
      </c>
    </row>
    <row r="71" spans="1:35" x14ac:dyDescent="0.35">
      <c r="A71" s="5">
        <v>68</v>
      </c>
      <c r="B71" s="12">
        <f>B70*(1-Parameters!$B$9)</f>
        <v>104766.99307286367</v>
      </c>
      <c r="C71" s="21"/>
      <c r="D71" s="12">
        <f>B71*Parameters!$B$6</f>
        <v>73336.895151004559</v>
      </c>
      <c r="E71" s="12">
        <f t="shared" si="44"/>
        <v>0</v>
      </c>
      <c r="F71" s="12">
        <f t="shared" si="30"/>
        <v>73336.895151004559</v>
      </c>
      <c r="G71" s="12">
        <f>Parameters!$B$25*Demand_Volatility!B72</f>
        <v>79255.8</v>
      </c>
      <c r="H71" s="12">
        <f t="shared" si="31"/>
        <v>73336.895151004559</v>
      </c>
      <c r="I71" s="12">
        <f>MIN(Parameters!$B$13,MAX(0,E71+D71-H71))</f>
        <v>0</v>
      </c>
      <c r="J71" s="12">
        <f t="shared" si="32"/>
        <v>0</v>
      </c>
      <c r="K71" s="12">
        <f>(H71*Parameters!$B$20*Parameters!$B$24)+(J71*Parameters!$B$20*Parameters!$B$24*(1-Parameters!$B$22))</f>
        <v>438261285.42240322</v>
      </c>
      <c r="M71" s="12">
        <f>B71*Parameters!$B$7</f>
        <v>31430.097921859098</v>
      </c>
      <c r="N71" s="12">
        <f t="shared" si="45"/>
        <v>5590.6764282734512</v>
      </c>
      <c r="O71" s="12">
        <f t="shared" si="41"/>
        <v>37020.774350132546</v>
      </c>
      <c r="P71" s="12">
        <f>Parameters!$B$26*Demand_Volatility!C72</f>
        <v>32358.400000000001</v>
      </c>
      <c r="Q71" s="12">
        <f t="shared" si="33"/>
        <v>32358.400000000001</v>
      </c>
      <c r="R71" s="12">
        <f>MIN(Parameters!$C$13,MAX(0,N71+M71-Q71))</f>
        <v>4662.3743501325444</v>
      </c>
      <c r="S71" s="12">
        <f t="shared" si="34"/>
        <v>0</v>
      </c>
      <c r="T71" s="12">
        <f>(Q71*Parameters!$B$21)+(S71*Parameters!$B$21*(1-Parameters!$B$23))</f>
        <v>103546880</v>
      </c>
      <c r="V71" s="12">
        <f t="shared" si="35"/>
        <v>541808165.42240322</v>
      </c>
      <c r="W71" s="26">
        <f>W70*(1+Parameters!$B$36)</f>
        <v>1.0648822716373565</v>
      </c>
      <c r="X71" s="12">
        <f>Parameters!$B$30*W71</f>
        <v>260896156.55115235</v>
      </c>
      <c r="Y71" s="12">
        <f>(Parameters!$B$15+Parameters!$B$16*I71)*W71</f>
        <v>4259529.0865494264</v>
      </c>
      <c r="Z71" s="12">
        <f>(Parameters!$C$15+Parameters!$C$16*R71)*Base_Scenario!W71</f>
        <v>1721445.4021858568</v>
      </c>
      <c r="AA71" s="12">
        <f t="shared" si="42"/>
        <v>266877131.03988764</v>
      </c>
      <c r="AB71" s="12">
        <f t="shared" si="36"/>
        <v>274931034.38251555</v>
      </c>
      <c r="AC71" s="6">
        <f>(1+Parameters!$B$39)^-Base_Scenario!A71</f>
        <v>0.88281784653384343</v>
      </c>
      <c r="AD71" s="12">
        <f t="shared" si="37"/>
        <v>242714023.71889445</v>
      </c>
      <c r="AF71" s="12">
        <f t="shared" si="38"/>
        <v>0</v>
      </c>
      <c r="AG71" s="12">
        <f t="shared" si="43"/>
        <v>0</v>
      </c>
      <c r="AH71" s="12">
        <f t="shared" si="39"/>
        <v>0</v>
      </c>
      <c r="AI71" s="12">
        <f t="shared" si="40"/>
        <v>0</v>
      </c>
    </row>
    <row r="72" spans="1:35" x14ac:dyDescent="0.35">
      <c r="A72" s="5">
        <v>69</v>
      </c>
      <c r="B72" s="12">
        <f>B71*(1-Parameters!$B$9)</f>
        <v>104554.93289484992</v>
      </c>
      <c r="C72" s="21"/>
      <c r="D72" s="12">
        <f>B72*Parameters!$B$6</f>
        <v>73188.453026394942</v>
      </c>
      <c r="E72" s="12">
        <f t="shared" si="44"/>
        <v>0</v>
      </c>
      <c r="F72" s="12">
        <f t="shared" si="30"/>
        <v>73188.453026394942</v>
      </c>
      <c r="G72" s="12">
        <f>Parameters!$B$25*Demand_Volatility!B73</f>
        <v>74552.399999999994</v>
      </c>
      <c r="H72" s="12">
        <f t="shared" si="31"/>
        <v>73188.453026394942</v>
      </c>
      <c r="I72" s="12">
        <f>MIN(Parameters!$B$13,MAX(0,E72+D72-H72))</f>
        <v>0</v>
      </c>
      <c r="J72" s="12">
        <f t="shared" si="32"/>
        <v>0</v>
      </c>
      <c r="K72" s="12">
        <f>(H72*Parameters!$B$20*Parameters!$B$24)+(J72*Parameters!$B$20*Parameters!$B$24*(1-Parameters!$B$22))</f>
        <v>437374195.28573614</v>
      </c>
      <c r="M72" s="12">
        <f>B72*Parameters!$B$7</f>
        <v>31366.479868454975</v>
      </c>
      <c r="N72" s="12">
        <f t="shared" si="45"/>
        <v>4662.3743501325444</v>
      </c>
      <c r="O72" s="12">
        <f t="shared" si="41"/>
        <v>36028.854218587519</v>
      </c>
      <c r="P72" s="12">
        <f>Parameters!$B$26*Demand_Volatility!C73</f>
        <v>33792</v>
      </c>
      <c r="Q72" s="12">
        <f t="shared" si="33"/>
        <v>33792</v>
      </c>
      <c r="R72" s="12">
        <f>MIN(Parameters!$C$13,MAX(0,N72+M72-Q72))</f>
        <v>2236.8542185875194</v>
      </c>
      <c r="S72" s="12">
        <f t="shared" si="34"/>
        <v>0</v>
      </c>
      <c r="T72" s="12">
        <f>(Q72*Parameters!$B$21)+(S72*Parameters!$B$21*(1-Parameters!$B$23))</f>
        <v>108134400</v>
      </c>
      <c r="V72" s="12">
        <f t="shared" si="35"/>
        <v>545508595.28573608</v>
      </c>
      <c r="W72" s="26">
        <f>W71*(1+Parameters!$B$36)</f>
        <v>1.0658818901530609</v>
      </c>
      <c r="X72" s="12">
        <f>Parameters!$B$30*W72</f>
        <v>261141063.08749992</v>
      </c>
      <c r="Y72" s="12">
        <f>(Parameters!$B$15+Parameters!$B$16*I72)*W72</f>
        <v>4263527.5606122436</v>
      </c>
      <c r="Z72" s="12">
        <f>(Parameters!$C$15+Parameters!$C$16*R72)*Base_Scenario!W72</f>
        <v>1658428.3952922141</v>
      </c>
      <c r="AA72" s="12">
        <f t="shared" si="42"/>
        <v>267063019.04340437</v>
      </c>
      <c r="AB72" s="12">
        <f t="shared" si="36"/>
        <v>278445576.24233174</v>
      </c>
      <c r="AC72" s="6">
        <f>(1+Parameters!$B$39)^-Base_Scenario!A72</f>
        <v>0.88120122223044539</v>
      </c>
      <c r="AD72" s="12">
        <f t="shared" si="37"/>
        <v>245366582.1094034</v>
      </c>
      <c r="AF72" s="12">
        <f t="shared" si="38"/>
        <v>0</v>
      </c>
      <c r="AG72" s="12">
        <f t="shared" si="43"/>
        <v>0</v>
      </c>
      <c r="AH72" s="12">
        <f t="shared" si="39"/>
        <v>0</v>
      </c>
      <c r="AI72" s="12">
        <f t="shared" si="40"/>
        <v>0</v>
      </c>
    </row>
    <row r="73" spans="1:35" x14ac:dyDescent="0.35">
      <c r="A73" s="5">
        <v>70</v>
      </c>
      <c r="B73" s="12">
        <f>B72*(1-Parameters!$B$9)</f>
        <v>104343.30195048868</v>
      </c>
      <c r="C73" s="21"/>
      <c r="D73" s="12">
        <f>B73*Parameters!$B$6</f>
        <v>73040.311365342073</v>
      </c>
      <c r="E73" s="12">
        <f t="shared" si="44"/>
        <v>0</v>
      </c>
      <c r="F73" s="12">
        <f t="shared" si="30"/>
        <v>73040.311365342073</v>
      </c>
      <c r="G73" s="12">
        <f>Parameters!$B$25*Demand_Volatility!B74</f>
        <v>78483.600000000006</v>
      </c>
      <c r="H73" s="12">
        <f t="shared" si="31"/>
        <v>73040.311365342073</v>
      </c>
      <c r="I73" s="12">
        <f>MIN(Parameters!$B$13,MAX(0,E73+D73-H73))</f>
        <v>0</v>
      </c>
      <c r="J73" s="12">
        <f t="shared" si="32"/>
        <v>0</v>
      </c>
      <c r="K73" s="12">
        <f>(H73*Parameters!$B$20*Parameters!$B$24)+(J73*Parameters!$B$20*Parameters!$B$24*(1-Parameters!$B$22))</f>
        <v>436488900.71928424</v>
      </c>
      <c r="M73" s="12">
        <f>B73*Parameters!$B$7</f>
        <v>31302.990585146603</v>
      </c>
      <c r="N73" s="12">
        <f t="shared" si="45"/>
        <v>2236.8542185875194</v>
      </c>
      <c r="O73" s="12">
        <f t="shared" si="41"/>
        <v>33539.844803734122</v>
      </c>
      <c r="P73" s="12">
        <f>Parameters!$B$26*Demand_Volatility!C74</f>
        <v>31846.399999999998</v>
      </c>
      <c r="Q73" s="12">
        <f t="shared" si="33"/>
        <v>31846.399999999998</v>
      </c>
      <c r="R73" s="12">
        <f>MIN(Parameters!$C$13,MAX(0,N73+M73-Q73))</f>
        <v>1693.4448037341244</v>
      </c>
      <c r="S73" s="12">
        <f t="shared" si="34"/>
        <v>0</v>
      </c>
      <c r="T73" s="12">
        <f>(Q73*Parameters!$B$21)+(S73*Parameters!$B$21*(1-Parameters!$B$23))</f>
        <v>101908480</v>
      </c>
      <c r="V73" s="12">
        <f t="shared" si="35"/>
        <v>538397380.7192843</v>
      </c>
      <c r="W73" s="26">
        <f>W72*(1+Parameters!$B$36)</f>
        <v>1.0668824470233644</v>
      </c>
      <c r="X73" s="12">
        <f>Parameters!$B$30*W73</f>
        <v>261386199.5207243</v>
      </c>
      <c r="Y73" s="12">
        <f>(Parameters!$B$15+Parameters!$B$16*I73)*W73</f>
        <v>4267529.7880934579</v>
      </c>
      <c r="Z73" s="12">
        <f>(Parameters!$C$15+Parameters!$C$16*R73)*Base_Scenario!W73</f>
        <v>1645491.3339377183</v>
      </c>
      <c r="AA73" s="12">
        <f t="shared" si="42"/>
        <v>267299220.64275545</v>
      </c>
      <c r="AB73" s="12">
        <f t="shared" si="36"/>
        <v>271098160.07652885</v>
      </c>
      <c r="AC73" s="6">
        <f>(1+Parameters!$B$39)^-Base_Scenario!A73</f>
        <v>0.87958755830460267</v>
      </c>
      <c r="AD73" s="12">
        <f t="shared" si="37"/>
        <v>238454568.68258432</v>
      </c>
      <c r="AF73" s="12">
        <f t="shared" si="38"/>
        <v>0</v>
      </c>
      <c r="AG73" s="12">
        <f t="shared" si="43"/>
        <v>0</v>
      </c>
      <c r="AH73" s="12">
        <f t="shared" si="39"/>
        <v>0</v>
      </c>
      <c r="AI73" s="12">
        <f t="shared" si="40"/>
        <v>0</v>
      </c>
    </row>
    <row r="74" spans="1:35" x14ac:dyDescent="0.35">
      <c r="A74" s="5">
        <v>71</v>
      </c>
      <c r="B74" s="12">
        <f>B73*(1-Parameters!$B$9)</f>
        <v>104132.09937096275</v>
      </c>
      <c r="C74" s="21"/>
      <c r="D74" s="12">
        <f>B74*Parameters!$B$6</f>
        <v>72892.469559673918</v>
      </c>
      <c r="E74" s="12">
        <f t="shared" si="44"/>
        <v>0</v>
      </c>
      <c r="F74" s="12">
        <f t="shared" si="30"/>
        <v>72892.469559673918</v>
      </c>
      <c r="G74" s="12">
        <f>Parameters!$B$25*Demand_Volatility!B75</f>
        <v>80363.399999999994</v>
      </c>
      <c r="H74" s="12">
        <f t="shared" si="31"/>
        <v>72892.469559673918</v>
      </c>
      <c r="I74" s="12">
        <f>MIN(Parameters!$B$13,MAX(0,E74+D74-H74))</f>
        <v>0</v>
      </c>
      <c r="J74" s="12">
        <f t="shared" si="32"/>
        <v>0</v>
      </c>
      <c r="K74" s="12">
        <f>(H74*Parameters!$B$20*Parameters!$B$24)+(J74*Parameters!$B$20*Parameters!$B$24*(1-Parameters!$B$22))</f>
        <v>435605398.08861136</v>
      </c>
      <c r="M74" s="12">
        <f>B74*Parameters!$B$7</f>
        <v>31239.629811288825</v>
      </c>
      <c r="N74" s="12">
        <f t="shared" si="45"/>
        <v>1693.4448037341244</v>
      </c>
      <c r="O74" s="12">
        <f t="shared" si="41"/>
        <v>32933.074615022953</v>
      </c>
      <c r="P74" s="12">
        <f>Parameters!$B$26*Demand_Volatility!C75</f>
        <v>30297.599999999999</v>
      </c>
      <c r="Q74" s="12">
        <f t="shared" si="33"/>
        <v>30297.599999999999</v>
      </c>
      <c r="R74" s="12">
        <f>MIN(Parameters!$C$13,MAX(0,N74+M74-Q74))</f>
        <v>2635.4746150229548</v>
      </c>
      <c r="S74" s="12">
        <f t="shared" si="34"/>
        <v>0</v>
      </c>
      <c r="T74" s="12">
        <f>(Q74*Parameters!$B$21)+(S74*Parameters!$B$21*(1-Parameters!$B$23))</f>
        <v>96952320</v>
      </c>
      <c r="V74" s="12">
        <f t="shared" si="35"/>
        <v>532557718.08861136</v>
      </c>
      <c r="W74" s="26">
        <f>W73*(1+Parameters!$B$36)</f>
        <v>1.0678839431291123</v>
      </c>
      <c r="X74" s="12">
        <f>Parameters!$B$30*W74</f>
        <v>261631566.06663251</v>
      </c>
      <c r="Y74" s="12">
        <f>(Parameters!$B$15+Parameters!$B$16*I74)*W74</f>
        <v>4271535.772516449</v>
      </c>
      <c r="Z74" s="12">
        <f>(Parameters!$C$15+Parameters!$C$16*R74)*Base_Scenario!W74</f>
        <v>1672185.440291353</v>
      </c>
      <c r="AA74" s="12">
        <f t="shared" si="42"/>
        <v>267575287.27944031</v>
      </c>
      <c r="AB74" s="12">
        <f t="shared" si="36"/>
        <v>264982430.80917105</v>
      </c>
      <c r="AC74" s="6">
        <f>(1+Parameters!$B$39)^-Base_Scenario!A74</f>
        <v>0.87797684933524434</v>
      </c>
      <c r="AD74" s="12">
        <f t="shared" si="37"/>
        <v>232648439.73103037</v>
      </c>
      <c r="AF74" s="12">
        <f t="shared" si="38"/>
        <v>0</v>
      </c>
      <c r="AG74" s="12">
        <f t="shared" si="43"/>
        <v>0</v>
      </c>
      <c r="AH74" s="12">
        <f t="shared" si="39"/>
        <v>0</v>
      </c>
      <c r="AI74" s="12">
        <f t="shared" si="40"/>
        <v>0</v>
      </c>
    </row>
    <row r="75" spans="1:35" x14ac:dyDescent="0.35">
      <c r="A75" s="5">
        <v>72</v>
      </c>
      <c r="B75" s="12">
        <f>B74*(1-Parameters!$B$9)</f>
        <v>103921.32428921355</v>
      </c>
      <c r="C75" s="21"/>
      <c r="D75" s="12">
        <f>B75*Parameters!$B$6</f>
        <v>72744.927002449476</v>
      </c>
      <c r="E75" s="12">
        <f t="shared" si="44"/>
        <v>0</v>
      </c>
      <c r="F75" s="12">
        <f t="shared" si="30"/>
        <v>72744.927002449476</v>
      </c>
      <c r="G75" s="12">
        <f>Parameters!$B$25*Demand_Volatility!B76</f>
        <v>79926.599999999991</v>
      </c>
      <c r="H75" s="12">
        <f t="shared" si="31"/>
        <v>72744.927002449476</v>
      </c>
      <c r="I75" s="12">
        <f>MIN(Parameters!$B$13,MAX(0,E75+D75-H75))</f>
        <v>0</v>
      </c>
      <c r="J75" s="12">
        <f t="shared" si="32"/>
        <v>0</v>
      </c>
      <c r="K75" s="12">
        <f>(H75*Parameters!$B$20*Parameters!$B$24)+(J75*Parameters!$B$20*Parameters!$B$24*(1-Parameters!$B$22))</f>
        <v>434723683.7666381</v>
      </c>
      <c r="M75" s="12">
        <f>B75*Parameters!$B$7</f>
        <v>31176.397286764062</v>
      </c>
      <c r="N75" s="12">
        <f t="shared" si="45"/>
        <v>2635.4746150229548</v>
      </c>
      <c r="O75" s="12">
        <f t="shared" si="41"/>
        <v>33811.871901787017</v>
      </c>
      <c r="P75" s="12">
        <f>Parameters!$B$26*Demand_Volatility!C76</f>
        <v>32390.400000000001</v>
      </c>
      <c r="Q75" s="12">
        <f t="shared" si="33"/>
        <v>32390.400000000001</v>
      </c>
      <c r="R75" s="12">
        <f>MIN(Parameters!$C$13,MAX(0,N75+M75-Q75))</f>
        <v>1421.4719017870157</v>
      </c>
      <c r="S75" s="12">
        <f t="shared" si="34"/>
        <v>0</v>
      </c>
      <c r="T75" s="12">
        <f>(Q75*Parameters!$B$21)+(S75*Parameters!$B$21*(1-Parameters!$B$23))</f>
        <v>103649280</v>
      </c>
      <c r="V75" s="12">
        <f t="shared" si="35"/>
        <v>538372963.76663804</v>
      </c>
      <c r="W75" s="26">
        <f>W74*(1+Parameters!$B$36)</f>
        <v>1.0688863793519767</v>
      </c>
      <c r="X75" s="12">
        <f>Parameters!$B$30*W75</f>
        <v>261877162.94123429</v>
      </c>
      <c r="Y75" s="12">
        <f>(Parameters!$B$15+Parameters!$B$16*I75)*W75</f>
        <v>4275545.5174079072</v>
      </c>
      <c r="Z75" s="12">
        <f>(Parameters!$C$15+Parameters!$C$16*R75)*Base_Scenario!W75</f>
        <v>1641314.3678892574</v>
      </c>
      <c r="AA75" s="12">
        <f t="shared" si="42"/>
        <v>267794022.82653144</v>
      </c>
      <c r="AB75" s="12">
        <f t="shared" si="36"/>
        <v>270578940.94010663</v>
      </c>
      <c r="AC75" s="6">
        <f>(1+Parameters!$B$39)^-Base_Scenario!A75</f>
        <v>0.87636908991122608</v>
      </c>
      <c r="AD75" s="12">
        <f t="shared" si="37"/>
        <v>237127020.22082463</v>
      </c>
      <c r="AF75" s="12">
        <f t="shared" si="38"/>
        <v>0</v>
      </c>
      <c r="AG75" s="12">
        <f t="shared" si="43"/>
        <v>0</v>
      </c>
      <c r="AH75" s="12">
        <f t="shared" si="39"/>
        <v>0</v>
      </c>
      <c r="AI75" s="12">
        <f t="shared" si="40"/>
        <v>0</v>
      </c>
    </row>
    <row r="76" spans="1:35" x14ac:dyDescent="0.35">
      <c r="A76" s="5">
        <v>73</v>
      </c>
      <c r="B76" s="12">
        <f>B75*(1-Parameters!$B$9)</f>
        <v>103710.97583993746</v>
      </c>
      <c r="C76" s="21"/>
      <c r="D76" s="12">
        <f>B76*Parameters!$B$6</f>
        <v>72597.683087956219</v>
      </c>
      <c r="E76" s="12">
        <f t="shared" si="44"/>
        <v>0</v>
      </c>
      <c r="F76" s="12">
        <f t="shared" si="30"/>
        <v>72597.683087956219</v>
      </c>
      <c r="G76" s="12">
        <f>Parameters!$B$25*Demand_Volatility!B77</f>
        <v>79404</v>
      </c>
      <c r="H76" s="12">
        <f t="shared" si="31"/>
        <v>72597.683087956219</v>
      </c>
      <c r="I76" s="12">
        <f>MIN(Parameters!$B$13,MAX(0,E76+D76-H76))</f>
        <v>0</v>
      </c>
      <c r="J76" s="12">
        <f t="shared" si="32"/>
        <v>0</v>
      </c>
      <c r="K76" s="12">
        <f>(H76*Parameters!$B$20*Parameters!$B$24)+(J76*Parameters!$B$20*Parameters!$B$24*(1-Parameters!$B$22))</f>
        <v>433843754.13362634</v>
      </c>
      <c r="M76" s="12">
        <f>B76*Parameters!$B$7</f>
        <v>31113.292751981237</v>
      </c>
      <c r="N76" s="12">
        <f t="shared" si="45"/>
        <v>1421.4719017870157</v>
      </c>
      <c r="O76" s="12">
        <f t="shared" si="41"/>
        <v>32534.764653768252</v>
      </c>
      <c r="P76" s="12">
        <f>Parameters!$B$26*Demand_Volatility!C77</f>
        <v>30361.599999999999</v>
      </c>
      <c r="Q76" s="12">
        <f t="shared" si="33"/>
        <v>30361.599999999999</v>
      </c>
      <c r="R76" s="12">
        <f>MIN(Parameters!$C$13,MAX(0,N76+M76-Q76))</f>
        <v>2173.1646537682536</v>
      </c>
      <c r="S76" s="12">
        <f t="shared" si="34"/>
        <v>0</v>
      </c>
      <c r="T76" s="12">
        <f>(Q76*Parameters!$B$21)+(S76*Parameters!$B$21*(1-Parameters!$B$23))</f>
        <v>97157120</v>
      </c>
      <c r="V76" s="12">
        <f t="shared" si="35"/>
        <v>531000874.13362634</v>
      </c>
      <c r="W76" s="26">
        <f>W75*(1+Parameters!$B$36)</f>
        <v>1.0698897565744576</v>
      </c>
      <c r="X76" s="12">
        <f>Parameters!$B$30*W76</f>
        <v>262122990.36074212</v>
      </c>
      <c r="Y76" s="12">
        <f>(Parameters!$B$15+Parameters!$B$16*I76)*W76</f>
        <v>4279559.02629783</v>
      </c>
      <c r="Z76" s="12">
        <f>(Parameters!$C$15+Parameters!$C$16*R76)*Base_Scenario!W76</f>
        <v>1662960.7999220947</v>
      </c>
      <c r="AA76" s="12">
        <f t="shared" si="42"/>
        <v>268065510.18696207</v>
      </c>
      <c r="AB76" s="12">
        <f t="shared" si="36"/>
        <v>262935363.94666427</v>
      </c>
      <c r="AC76" s="6">
        <f>(1+Parameters!$B$39)^-Base_Scenario!A76</f>
        <v>0.87476427463131323</v>
      </c>
      <c r="AD76" s="12">
        <f t="shared" si="37"/>
        <v>230006462.91772413</v>
      </c>
      <c r="AF76" s="12">
        <f t="shared" si="38"/>
        <v>0</v>
      </c>
      <c r="AG76" s="12">
        <f t="shared" si="43"/>
        <v>0</v>
      </c>
      <c r="AH76" s="12">
        <f t="shared" si="39"/>
        <v>0</v>
      </c>
      <c r="AI76" s="12">
        <f t="shared" si="40"/>
        <v>0</v>
      </c>
    </row>
    <row r="77" spans="1:35" x14ac:dyDescent="0.35">
      <c r="A77" s="5">
        <v>74</v>
      </c>
      <c r="B77" s="12">
        <f>B76*(1-Parameters!$B$9)</f>
        <v>103501.05315958238</v>
      </c>
      <c r="C77" s="21"/>
      <c r="D77" s="12">
        <f>B77*Parameters!$B$6</f>
        <v>72450.737211707659</v>
      </c>
      <c r="E77" s="12">
        <f t="shared" si="44"/>
        <v>0</v>
      </c>
      <c r="F77" s="12">
        <f t="shared" si="30"/>
        <v>72450.737211707659</v>
      </c>
      <c r="G77" s="12">
        <f>Parameters!$B$25*Demand_Volatility!B78</f>
        <v>74934.600000000006</v>
      </c>
      <c r="H77" s="12">
        <f t="shared" si="31"/>
        <v>72450.737211707659</v>
      </c>
      <c r="I77" s="12">
        <f>MIN(Parameters!$B$13,MAX(0,E77+D77-H77))</f>
        <v>0</v>
      </c>
      <c r="J77" s="12">
        <f t="shared" si="32"/>
        <v>0</v>
      </c>
      <c r="K77" s="12">
        <f>(H77*Parameters!$B$20*Parameters!$B$24)+(J77*Parameters!$B$20*Parameters!$B$24*(1-Parameters!$B$22))</f>
        <v>432965605.57716495</v>
      </c>
      <c r="M77" s="12">
        <f>B77*Parameters!$B$7</f>
        <v>31050.315947874715</v>
      </c>
      <c r="N77" s="12">
        <f t="shared" si="45"/>
        <v>2173.1646537682536</v>
      </c>
      <c r="O77" s="12">
        <f t="shared" si="41"/>
        <v>33223.480601642965</v>
      </c>
      <c r="P77" s="12">
        <f>Parameters!$B$26*Demand_Volatility!C78</f>
        <v>34096</v>
      </c>
      <c r="Q77" s="12">
        <f t="shared" si="33"/>
        <v>33223.480601642965</v>
      </c>
      <c r="R77" s="12">
        <f>MIN(Parameters!$C$13,MAX(0,N77+M77-Q77))</f>
        <v>0</v>
      </c>
      <c r="S77" s="12">
        <f t="shared" si="34"/>
        <v>0</v>
      </c>
      <c r="T77" s="12">
        <f>(Q77*Parameters!$B$21)+(S77*Parameters!$B$21*(1-Parameters!$B$23))</f>
        <v>106315137.92525749</v>
      </c>
      <c r="V77" s="12">
        <f t="shared" si="35"/>
        <v>539280743.50242245</v>
      </c>
      <c r="W77" s="26">
        <f>W76*(1+Parameters!$B$36)</f>
        <v>1.0708940756798833</v>
      </c>
      <c r="X77" s="12">
        <f>Parameters!$B$30*W77</f>
        <v>262369048.54157141</v>
      </c>
      <c r="Y77" s="12">
        <f>(Parameters!$B$15+Parameters!$B$16*I77)*W77</f>
        <v>4283576.3027195334</v>
      </c>
      <c r="Z77" s="12">
        <f>(Parameters!$C$15+Parameters!$C$16*R77)*Base_Scenario!W77</f>
        <v>1606341.1135198248</v>
      </c>
      <c r="AA77" s="12">
        <f t="shared" si="42"/>
        <v>268258965.95781076</v>
      </c>
      <c r="AB77" s="12">
        <f t="shared" si="36"/>
        <v>271021777.54461169</v>
      </c>
      <c r="AC77" s="6">
        <f>(1+Parameters!$B$39)^-Base_Scenario!A77</f>
        <v>0.8731623981041613</v>
      </c>
      <c r="AD77" s="12">
        <f t="shared" si="37"/>
        <v>236646025.21930566</v>
      </c>
      <c r="AF77" s="12">
        <f t="shared" si="38"/>
        <v>0</v>
      </c>
      <c r="AG77" s="12">
        <f t="shared" si="43"/>
        <v>0</v>
      </c>
      <c r="AH77" s="12">
        <f t="shared" si="39"/>
        <v>0</v>
      </c>
      <c r="AI77" s="12">
        <f t="shared" si="40"/>
        <v>0</v>
      </c>
    </row>
    <row r="78" spans="1:35" x14ac:dyDescent="0.35">
      <c r="A78" s="5">
        <v>75</v>
      </c>
      <c r="B78" s="12">
        <f>B77*(1-Parameters!$B$9)</f>
        <v>103291.55538634413</v>
      </c>
      <c r="C78" s="21"/>
      <c r="D78" s="12">
        <f>B78*Parameters!$B$6</f>
        <v>72304.088770440881</v>
      </c>
      <c r="E78" s="12">
        <f t="shared" si="44"/>
        <v>0</v>
      </c>
      <c r="F78" s="12">
        <f t="shared" si="30"/>
        <v>72304.088770440881</v>
      </c>
      <c r="G78" s="12">
        <f>Parameters!$B$25*Demand_Volatility!B79</f>
        <v>76486.8</v>
      </c>
      <c r="H78" s="12">
        <f t="shared" si="31"/>
        <v>72304.088770440881</v>
      </c>
      <c r="I78" s="12">
        <f>MIN(Parameters!$B$13,MAX(0,E78+D78-H78))</f>
        <v>0</v>
      </c>
      <c r="J78" s="12">
        <f t="shared" si="32"/>
        <v>0</v>
      </c>
      <c r="K78" s="12">
        <f>(H78*Parameters!$B$20*Parameters!$B$24)+(J78*Parameters!$B$20*Parameters!$B$24*(1-Parameters!$B$22))</f>
        <v>432089234.49215472</v>
      </c>
      <c r="M78" s="12">
        <f>B78*Parameters!$B$7</f>
        <v>30987.466615903239</v>
      </c>
      <c r="N78" s="12">
        <f t="shared" si="45"/>
        <v>0</v>
      </c>
      <c r="O78" s="12">
        <f t="shared" si="41"/>
        <v>30987.466615903239</v>
      </c>
      <c r="P78" s="12">
        <f>Parameters!$B$26*Demand_Volatility!C79</f>
        <v>32083.199999999997</v>
      </c>
      <c r="Q78" s="12">
        <f t="shared" si="33"/>
        <v>30987.466615903239</v>
      </c>
      <c r="R78" s="12">
        <f>MIN(Parameters!$C$13,MAX(0,N78+M78-Q78))</f>
        <v>0</v>
      </c>
      <c r="S78" s="12">
        <f t="shared" si="34"/>
        <v>0</v>
      </c>
      <c r="T78" s="12">
        <f>(Q78*Parameters!$B$21)+(S78*Parameters!$B$21*(1-Parameters!$B$23))</f>
        <v>99159893.170890361</v>
      </c>
      <c r="V78" s="12">
        <f t="shared" si="35"/>
        <v>531249127.66304505</v>
      </c>
      <c r="W78" s="26">
        <f>W77*(1+Parameters!$B$36)</f>
        <v>1.0718993375524111</v>
      </c>
      <c r="X78" s="12">
        <f>Parameters!$B$30*W78</f>
        <v>262615337.70034072</v>
      </c>
      <c r="Y78" s="12">
        <f>(Parameters!$B$15+Parameters!$B$16*I78)*W78</f>
        <v>4287597.3502096441</v>
      </c>
      <c r="Z78" s="12">
        <f>(Parameters!$C$15+Parameters!$C$16*R78)*Base_Scenario!W78</f>
        <v>1607849.0063286165</v>
      </c>
      <c r="AA78" s="12">
        <f t="shared" si="42"/>
        <v>268510784.05687898</v>
      </c>
      <c r="AB78" s="12">
        <f t="shared" si="36"/>
        <v>262738343.60616606</v>
      </c>
      <c r="AC78" s="6">
        <f>(1+Parameters!$B$39)^-Base_Scenario!A78</f>
        <v>0.87156345494829912</v>
      </c>
      <c r="AD78" s="12">
        <f t="shared" si="37"/>
        <v>228993138.50078344</v>
      </c>
      <c r="AF78" s="12">
        <f t="shared" si="38"/>
        <v>0</v>
      </c>
      <c r="AG78" s="12">
        <f t="shared" si="43"/>
        <v>0</v>
      </c>
      <c r="AH78" s="12">
        <f t="shared" si="39"/>
        <v>0</v>
      </c>
      <c r="AI78" s="12">
        <f t="shared" si="40"/>
        <v>0</v>
      </c>
    </row>
    <row r="79" spans="1:35" x14ac:dyDescent="0.35">
      <c r="A79" s="5">
        <v>76</v>
      </c>
      <c r="B79" s="12">
        <f>B78*(1-Parameters!$B$9)</f>
        <v>103082.48166016291</v>
      </c>
      <c r="C79" s="21"/>
      <c r="D79" s="12">
        <f>B79*Parameters!$B$6</f>
        <v>72157.737162114034</v>
      </c>
      <c r="E79" s="12">
        <f t="shared" si="44"/>
        <v>0</v>
      </c>
      <c r="F79" s="12">
        <f t="shared" si="30"/>
        <v>72157.737162114034</v>
      </c>
      <c r="G79" s="12">
        <f>Parameters!$B$25*Demand_Volatility!B80</f>
        <v>82204.200000000012</v>
      </c>
      <c r="H79" s="12">
        <f t="shared" si="31"/>
        <v>72157.737162114034</v>
      </c>
      <c r="I79" s="12">
        <f>MIN(Parameters!$B$13,MAX(0,E79+D79-H79))</f>
        <v>0</v>
      </c>
      <c r="J79" s="12">
        <f t="shared" si="32"/>
        <v>0</v>
      </c>
      <c r="K79" s="12">
        <f>(H79*Parameters!$B$20*Parameters!$B$24)+(J79*Parameters!$B$20*Parameters!$B$24*(1-Parameters!$B$22))</f>
        <v>431214637.28079343</v>
      </c>
      <c r="M79" s="12">
        <f>B79*Parameters!$B$7</f>
        <v>30924.744498048873</v>
      </c>
      <c r="N79" s="12">
        <f t="shared" si="45"/>
        <v>0</v>
      </c>
      <c r="O79" s="12">
        <f t="shared" si="41"/>
        <v>30924.744498048873</v>
      </c>
      <c r="P79" s="12">
        <f>Parameters!$B$26*Demand_Volatility!C80</f>
        <v>31289.599999999999</v>
      </c>
      <c r="Q79" s="12">
        <f t="shared" si="33"/>
        <v>30924.744498048873</v>
      </c>
      <c r="R79" s="12">
        <f>MIN(Parameters!$C$13,MAX(0,N79+M79-Q79))</f>
        <v>0</v>
      </c>
      <c r="S79" s="12">
        <f t="shared" si="34"/>
        <v>0</v>
      </c>
      <c r="T79" s="12">
        <f>(Q79*Parameters!$B$21)+(S79*Parameters!$B$21*(1-Parameters!$B$23))</f>
        <v>98959182.39375639</v>
      </c>
      <c r="V79" s="12">
        <f t="shared" si="35"/>
        <v>530173819.67454982</v>
      </c>
      <c r="W79" s="26">
        <f>W78*(1+Parameters!$B$36)</f>
        <v>1.0729055430770287</v>
      </c>
      <c r="X79" s="12">
        <f>Parameters!$B$30*W79</f>
        <v>262861858.05387202</v>
      </c>
      <c r="Y79" s="12">
        <f>(Parameters!$B$15+Parameters!$B$16*I79)*W79</f>
        <v>4291622.1723081144</v>
      </c>
      <c r="Z79" s="12">
        <f>(Parameters!$C$15+Parameters!$C$16*R79)*Base_Scenario!W79</f>
        <v>1609358.314615543</v>
      </c>
      <c r="AA79" s="12">
        <f t="shared" si="42"/>
        <v>268762838.54079568</v>
      </c>
      <c r="AB79" s="12">
        <f t="shared" si="36"/>
        <v>261410981.13375413</v>
      </c>
      <c r="AC79" s="6">
        <f>(1+Parameters!$B$39)^-Base_Scenario!A79</f>
        <v>0.869967439792109</v>
      </c>
      <c r="AD79" s="12">
        <f t="shared" si="37"/>
        <v>227419041.99047539</v>
      </c>
      <c r="AF79" s="12">
        <f t="shared" si="38"/>
        <v>0</v>
      </c>
      <c r="AG79" s="12">
        <f t="shared" si="43"/>
        <v>0</v>
      </c>
      <c r="AH79" s="12">
        <f t="shared" si="39"/>
        <v>0</v>
      </c>
      <c r="AI79" s="12">
        <f t="shared" si="40"/>
        <v>0</v>
      </c>
    </row>
    <row r="80" spans="1:35" x14ac:dyDescent="0.35">
      <c r="A80" s="5">
        <v>77</v>
      </c>
      <c r="B80" s="12">
        <f>B79*(1-Parameters!$B$9)</f>
        <v>102873.83112271978</v>
      </c>
      <c r="C80" s="21"/>
      <c r="D80" s="12">
        <f>B80*Parameters!$B$6</f>
        <v>72011.681785903842</v>
      </c>
      <c r="E80" s="12">
        <f t="shared" si="44"/>
        <v>0</v>
      </c>
      <c r="F80" s="12">
        <f t="shared" si="30"/>
        <v>72011.681785903842</v>
      </c>
      <c r="G80" s="12">
        <f>Parameters!$B$25*Demand_Volatility!B81</f>
        <v>81775.199999999997</v>
      </c>
      <c r="H80" s="12">
        <f t="shared" si="31"/>
        <v>72011.681785903842</v>
      </c>
      <c r="I80" s="12">
        <f>MIN(Parameters!$B$13,MAX(0,E80+D80-H80))</f>
        <v>0</v>
      </c>
      <c r="J80" s="12">
        <f t="shared" si="32"/>
        <v>0</v>
      </c>
      <c r="K80" s="12">
        <f>(H80*Parameters!$B$20*Parameters!$B$24)+(J80*Parameters!$B$20*Parameters!$B$24*(1-Parameters!$B$22))</f>
        <v>430341810.35256135</v>
      </c>
      <c r="M80" s="12">
        <f>B80*Parameters!$B$7</f>
        <v>30862.149336815935</v>
      </c>
      <c r="N80" s="12">
        <f t="shared" si="45"/>
        <v>0</v>
      </c>
      <c r="O80" s="12">
        <f t="shared" si="41"/>
        <v>30862.149336815935</v>
      </c>
      <c r="P80" s="12">
        <f>Parameters!$B$26*Demand_Volatility!C81</f>
        <v>31062.400000000001</v>
      </c>
      <c r="Q80" s="12">
        <f t="shared" si="33"/>
        <v>30862.149336815935</v>
      </c>
      <c r="R80" s="12">
        <f>MIN(Parameters!$C$13,MAX(0,N80+M80-Q80))</f>
        <v>0</v>
      </c>
      <c r="S80" s="12">
        <f t="shared" si="34"/>
        <v>0</v>
      </c>
      <c r="T80" s="12">
        <f>(Q80*Parameters!$B$21)+(S80*Parameters!$B$21*(1-Parameters!$B$23))</f>
        <v>98758877.877811</v>
      </c>
      <c r="V80" s="12">
        <f t="shared" si="35"/>
        <v>529100688.23037237</v>
      </c>
      <c r="W80" s="26">
        <f>W79*(1+Parameters!$B$36)</f>
        <v>1.0739126931395542</v>
      </c>
      <c r="X80" s="12">
        <f>Parameters!$B$30*W80</f>
        <v>263108609.81919077</v>
      </c>
      <c r="Y80" s="12">
        <f>(Parameters!$B$15+Parameters!$B$16*I80)*W80</f>
        <v>4295650.7725582169</v>
      </c>
      <c r="Z80" s="12">
        <f>(Parameters!$C$15+Parameters!$C$16*R80)*Base_Scenario!W80</f>
        <v>1610869.0397093312</v>
      </c>
      <c r="AA80" s="12">
        <f t="shared" si="42"/>
        <v>269015129.63145834</v>
      </c>
      <c r="AB80" s="12">
        <f t="shared" si="36"/>
        <v>260085558.59891403</v>
      </c>
      <c r="AC80" s="6">
        <f>(1+Parameters!$B$39)^-Base_Scenario!A80</f>
        <v>0.86837434727381124</v>
      </c>
      <c r="AD80" s="12">
        <f t="shared" si="37"/>
        <v>225851627.18367654</v>
      </c>
      <c r="AF80" s="12">
        <f t="shared" si="38"/>
        <v>0</v>
      </c>
      <c r="AG80" s="12">
        <f t="shared" si="43"/>
        <v>0</v>
      </c>
      <c r="AH80" s="12">
        <f t="shared" si="39"/>
        <v>0</v>
      </c>
      <c r="AI80" s="12">
        <f t="shared" si="40"/>
        <v>0</v>
      </c>
    </row>
    <row r="81" spans="1:35" x14ac:dyDescent="0.35">
      <c r="A81" s="5">
        <v>78</v>
      </c>
      <c r="B81" s="12">
        <f>B80*(1-Parameters!$B$9)</f>
        <v>102665.60291743315</v>
      </c>
      <c r="C81" s="21"/>
      <c r="D81" s="12">
        <f>B81*Parameters!$B$6</f>
        <v>71865.922042203194</v>
      </c>
      <c r="E81" s="12">
        <f t="shared" si="44"/>
        <v>0</v>
      </c>
      <c r="F81" s="12">
        <f t="shared" si="30"/>
        <v>71865.922042203194</v>
      </c>
      <c r="G81" s="12">
        <f>Parameters!$B$25*Demand_Volatility!B82</f>
        <v>74731.8</v>
      </c>
      <c r="H81" s="12">
        <f t="shared" si="31"/>
        <v>71865.922042203194</v>
      </c>
      <c r="I81" s="12">
        <f>MIN(Parameters!$B$13,MAX(0,E81+D81-H81))</f>
        <v>0</v>
      </c>
      <c r="J81" s="12">
        <f t="shared" si="32"/>
        <v>0</v>
      </c>
      <c r="K81" s="12">
        <f>(H81*Parameters!$B$20*Parameters!$B$24)+(J81*Parameters!$B$20*Parameters!$B$24*(1-Parameters!$B$22))</f>
        <v>429470750.12420624</v>
      </c>
      <c r="M81" s="12">
        <f>B81*Parameters!$B$7</f>
        <v>30799.680875229944</v>
      </c>
      <c r="N81" s="12">
        <f t="shared" si="45"/>
        <v>0</v>
      </c>
      <c r="O81" s="12">
        <f t="shared" si="41"/>
        <v>30799.680875229944</v>
      </c>
      <c r="P81" s="12">
        <f>Parameters!$B$26*Demand_Volatility!C82</f>
        <v>31788.799999999999</v>
      </c>
      <c r="Q81" s="12">
        <f t="shared" si="33"/>
        <v>30799.680875229944</v>
      </c>
      <c r="R81" s="12">
        <f>MIN(Parameters!$C$13,MAX(0,N81+M81-Q81))</f>
        <v>0</v>
      </c>
      <c r="S81" s="12">
        <f t="shared" si="34"/>
        <v>0</v>
      </c>
      <c r="T81" s="12">
        <f>(Q81*Parameters!$B$21)+(S81*Parameters!$B$21*(1-Parameters!$B$23))</f>
        <v>98558978.800735816</v>
      </c>
      <c r="V81" s="12">
        <f t="shared" si="35"/>
        <v>528029728.92494208</v>
      </c>
      <c r="W81" s="26">
        <f>W80*(1+Parameters!$B$36)</f>
        <v>1.0749207886266372</v>
      </c>
      <c r="X81" s="12">
        <f>Parameters!$B$30*W81</f>
        <v>263355593.2135261</v>
      </c>
      <c r="Y81" s="12">
        <f>(Parameters!$B$15+Parameters!$B$16*I81)*W81</f>
        <v>4299683.1545065492</v>
      </c>
      <c r="Z81" s="12">
        <f>(Parameters!$C$15+Parameters!$C$16*R81)*Base_Scenario!W81</f>
        <v>1612381.1829399557</v>
      </c>
      <c r="AA81" s="12">
        <f t="shared" si="42"/>
        <v>269267657.55097258</v>
      </c>
      <c r="AB81" s="12">
        <f t="shared" si="36"/>
        <v>258762071.3739695</v>
      </c>
      <c r="AC81" s="6">
        <f>(1+Parameters!$B$39)^-Base_Scenario!A81</f>
        <v>0.86678417204144342</v>
      </c>
      <c r="AD81" s="12">
        <f t="shared" si="37"/>
        <v>224290867.79161504</v>
      </c>
      <c r="AF81" s="12">
        <f t="shared" si="38"/>
        <v>0</v>
      </c>
      <c r="AG81" s="12">
        <f t="shared" si="43"/>
        <v>0</v>
      </c>
      <c r="AH81" s="12">
        <f t="shared" si="39"/>
        <v>0</v>
      </c>
      <c r="AI81" s="12">
        <f t="shared" si="40"/>
        <v>0</v>
      </c>
    </row>
    <row r="82" spans="1:35" x14ac:dyDescent="0.35">
      <c r="A82" s="5">
        <v>79</v>
      </c>
      <c r="B82" s="12">
        <f>B81*(1-Parameters!$B$9)</f>
        <v>102457.7961894552</v>
      </c>
      <c r="C82" s="21"/>
      <c r="D82" s="12">
        <f>B82*Parameters!$B$6</f>
        <v>71720.457332618636</v>
      </c>
      <c r="E82" s="12">
        <f t="shared" si="44"/>
        <v>0</v>
      </c>
      <c r="F82" s="12">
        <f t="shared" si="30"/>
        <v>71720.457332618636</v>
      </c>
      <c r="G82" s="12">
        <f>Parameters!$B$25*Demand_Volatility!B83</f>
        <v>78413.400000000009</v>
      </c>
      <c r="H82" s="12">
        <f t="shared" si="31"/>
        <v>71720.457332618636</v>
      </c>
      <c r="I82" s="12">
        <f>MIN(Parameters!$B$13,MAX(0,E82+D82-H82))</f>
        <v>0</v>
      </c>
      <c r="J82" s="12">
        <f t="shared" si="32"/>
        <v>0</v>
      </c>
      <c r="K82" s="12">
        <f>(H82*Parameters!$B$20*Parameters!$B$24)+(J82*Parameters!$B$20*Parameters!$B$24*(1-Parameters!$B$22))</f>
        <v>428601453.01972896</v>
      </c>
      <c r="M82" s="12">
        <f>B82*Parameters!$B$7</f>
        <v>30737.338856836559</v>
      </c>
      <c r="N82" s="12">
        <f t="shared" si="45"/>
        <v>0</v>
      </c>
      <c r="O82" s="12">
        <f t="shared" si="41"/>
        <v>30737.338856836559</v>
      </c>
      <c r="P82" s="12">
        <f>Parameters!$B$26*Demand_Volatility!C83</f>
        <v>32662.399999999998</v>
      </c>
      <c r="Q82" s="12">
        <f t="shared" si="33"/>
        <v>30737.338856836559</v>
      </c>
      <c r="R82" s="12">
        <f>MIN(Parameters!$C$13,MAX(0,N82+M82-Q82))</f>
        <v>0</v>
      </c>
      <c r="S82" s="12">
        <f t="shared" si="34"/>
        <v>0</v>
      </c>
      <c r="T82" s="12">
        <f>(Q82*Parameters!$B$21)+(S82*Parameters!$B$21*(1-Parameters!$B$23))</f>
        <v>98359484.341876984</v>
      </c>
      <c r="V82" s="12">
        <f t="shared" si="35"/>
        <v>526960937.36160594</v>
      </c>
      <c r="W82" s="26">
        <f>W81*(1+Parameters!$B$36)</f>
        <v>1.0759298304257598</v>
      </c>
      <c r="X82" s="12">
        <f>Parameters!$B$30*W82</f>
        <v>263602808.45431116</v>
      </c>
      <c r="Y82" s="12">
        <f>(Parameters!$B$15+Parameters!$B$16*I82)*W82</f>
        <v>4303719.3217030391</v>
      </c>
      <c r="Z82" s="12">
        <f>(Parameters!$C$15+Parameters!$C$16*R82)*Base_Scenario!W82</f>
        <v>1613894.7456386397</v>
      </c>
      <c r="AA82" s="12">
        <f t="shared" si="42"/>
        <v>269520422.52165288</v>
      </c>
      <c r="AB82" s="12">
        <f t="shared" si="36"/>
        <v>257440514.83995306</v>
      </c>
      <c r="AC82" s="6">
        <f>(1+Parameters!$B$39)^-Base_Scenario!A82</f>
        <v>0.86519690875284494</v>
      </c>
      <c r="AD82" s="12">
        <f t="shared" si="37"/>
        <v>222736737.62726828</v>
      </c>
      <c r="AF82" s="12">
        <f t="shared" si="38"/>
        <v>0</v>
      </c>
      <c r="AG82" s="12">
        <f t="shared" si="43"/>
        <v>0</v>
      </c>
      <c r="AH82" s="12">
        <f t="shared" si="39"/>
        <v>0</v>
      </c>
      <c r="AI82" s="12">
        <f t="shared" si="40"/>
        <v>0</v>
      </c>
    </row>
    <row r="83" spans="1:35" x14ac:dyDescent="0.35">
      <c r="A83" s="5">
        <v>80</v>
      </c>
      <c r="B83" s="12">
        <f>B82*(1-Parameters!$B$9)</f>
        <v>102250.41008566847</v>
      </c>
      <c r="C83" s="21"/>
      <c r="D83" s="12">
        <f>B83*Parameters!$B$6</f>
        <v>71575.287059967915</v>
      </c>
      <c r="E83" s="12">
        <f t="shared" si="44"/>
        <v>0</v>
      </c>
      <c r="F83" s="12">
        <f t="shared" si="30"/>
        <v>71575.287059967915</v>
      </c>
      <c r="G83" s="12">
        <f>Parameters!$B$25*Demand_Volatility!B84</f>
        <v>71682</v>
      </c>
      <c r="H83" s="12">
        <f t="shared" si="31"/>
        <v>71575.287059967915</v>
      </c>
      <c r="I83" s="12">
        <f>MIN(Parameters!$B$13,MAX(0,E83+D83-H83))</f>
        <v>0</v>
      </c>
      <c r="J83" s="12">
        <f t="shared" si="32"/>
        <v>0</v>
      </c>
      <c r="K83" s="12">
        <f>(H83*Parameters!$B$20*Parameters!$B$24)+(J83*Parameters!$B$20*Parameters!$B$24*(1-Parameters!$B$22))</f>
        <v>427733915.47036821</v>
      </c>
      <c r="M83" s="12">
        <f>B83*Parameters!$B$7</f>
        <v>30675.123025700537</v>
      </c>
      <c r="N83" s="12">
        <f t="shared" si="45"/>
        <v>0</v>
      </c>
      <c r="O83" s="12">
        <f t="shared" si="41"/>
        <v>30675.123025700537</v>
      </c>
      <c r="P83" s="12">
        <f>Parameters!$B$26*Demand_Volatility!C84</f>
        <v>30348.799999999999</v>
      </c>
      <c r="Q83" s="12">
        <f t="shared" si="33"/>
        <v>30348.799999999999</v>
      </c>
      <c r="R83" s="12">
        <f>MIN(Parameters!$C$13,MAX(0,N83+M83-Q83))</f>
        <v>326.32302570053798</v>
      </c>
      <c r="S83" s="12">
        <f t="shared" si="34"/>
        <v>0</v>
      </c>
      <c r="T83" s="12">
        <f>(Q83*Parameters!$B$21)+(S83*Parameters!$B$21*(1-Parameters!$B$23))</f>
        <v>97116160</v>
      </c>
      <c r="V83" s="12">
        <f t="shared" si="35"/>
        <v>524850075.47036821</v>
      </c>
      <c r="W83" s="26">
        <f>W82*(1+Parameters!$B$36)</f>
        <v>1.0769398194252373</v>
      </c>
      <c r="X83" s="12">
        <f>Parameters!$B$30*W83</f>
        <v>263850255.75918314</v>
      </c>
      <c r="Y83" s="12">
        <f>(Parameters!$B$15+Parameters!$B$16*I83)*W83</f>
        <v>4307759.2777009495</v>
      </c>
      <c r="Z83" s="12">
        <f>(Parameters!$C$15+Parameters!$C$16*R83)*Base_Scenario!W83</f>
        <v>1624195.4856471617</v>
      </c>
      <c r="AA83" s="12">
        <f t="shared" si="42"/>
        <v>269782210.52253127</v>
      </c>
      <c r="AB83" s="12">
        <f t="shared" si="36"/>
        <v>255067864.94783694</v>
      </c>
      <c r="AC83" s="6">
        <f>(1+Parameters!$B$39)^-Base_Scenario!A83</f>
        <v>0.86361255207563647</v>
      </c>
      <c r="AD83" s="12">
        <f t="shared" si="37"/>
        <v>220279809.80008525</v>
      </c>
      <c r="AF83" s="12">
        <f t="shared" si="38"/>
        <v>0</v>
      </c>
      <c r="AG83" s="12">
        <f t="shared" si="43"/>
        <v>0</v>
      </c>
      <c r="AH83" s="12">
        <f t="shared" si="39"/>
        <v>0</v>
      </c>
      <c r="AI83" s="12">
        <f t="shared" si="40"/>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C75D-3F55-47B8-A19B-C3A111432B94}">
  <dimension ref="A1:AI83"/>
  <sheetViews>
    <sheetView showGridLines="0" zoomScale="80" zoomScaleNormal="80" workbookViewId="0">
      <pane xSplit="1" ySplit="3" topLeftCell="B4" activePane="bottomRight" state="frozen"/>
      <selection pane="topRight" activeCell="B1" sqref="B1"/>
      <selection pane="bottomLeft" activeCell="A4" sqref="A4"/>
      <selection pane="bottomRight" activeCell="B4" sqref="B4"/>
    </sheetView>
  </sheetViews>
  <sheetFormatPr defaultRowHeight="14.5" x14ac:dyDescent="0.35"/>
  <cols>
    <col min="1" max="1" width="8" customWidth="1"/>
    <col min="2" max="27" width="14" customWidth="1"/>
    <col min="28" max="28" width="18.26953125" customWidth="1"/>
    <col min="29" max="30" width="14.81640625" customWidth="1"/>
    <col min="32" max="36" width="19" customWidth="1"/>
  </cols>
  <sheetData>
    <row r="1" spans="1:35" ht="18" x14ac:dyDescent="0.4">
      <c r="A1" s="1" t="s">
        <v>162</v>
      </c>
      <c r="AF1" s="34" t="s">
        <v>112</v>
      </c>
    </row>
    <row r="2" spans="1:35" s="34" customFormat="1" x14ac:dyDescent="0.35">
      <c r="B2" s="47">
        <f>SUM(B4:B83)</f>
        <v>8871323.3261725027</v>
      </c>
      <c r="D2" s="47">
        <f t="shared" ref="D2:AI2" si="0">SUM(D4:D83)</f>
        <v>6209926.3283207519</v>
      </c>
      <c r="E2" s="47">
        <f t="shared" si="0"/>
        <v>3965522.6423578551</v>
      </c>
      <c r="F2" s="47">
        <f t="shared" si="0"/>
        <v>10175448.970678605</v>
      </c>
      <c r="G2" s="47">
        <f t="shared" si="0"/>
        <v>4336291.0500000007</v>
      </c>
      <c r="H2" s="47">
        <f t="shared" si="0"/>
        <v>4336291.0500000007</v>
      </c>
      <c r="I2" s="47">
        <f t="shared" si="0"/>
        <v>3985522.6423578551</v>
      </c>
      <c r="J2" s="47">
        <f t="shared" si="0"/>
        <v>1853635.2783207525</v>
      </c>
      <c r="K2" s="47">
        <f t="shared" si="0"/>
        <v>34529961889.96817</v>
      </c>
      <c r="M2" s="47">
        <f t="shared" si="0"/>
        <v>2661396.9978517513</v>
      </c>
      <c r="N2" s="47">
        <f t="shared" si="0"/>
        <v>156741.54673524073</v>
      </c>
      <c r="O2" s="47">
        <f t="shared" si="0"/>
        <v>2818138.544586991</v>
      </c>
      <c r="P2" s="47">
        <f t="shared" si="0"/>
        <v>2892109.2800000012</v>
      </c>
      <c r="Q2" s="47">
        <f t="shared" si="0"/>
        <v>2646617.4957415005</v>
      </c>
      <c r="R2" s="47">
        <f t="shared" si="0"/>
        <v>146741.54673524073</v>
      </c>
      <c r="S2" s="47">
        <f t="shared" si="0"/>
        <v>24779.502110251502</v>
      </c>
      <c r="T2" s="47">
        <f t="shared" si="0"/>
        <v>9386951350.2639465</v>
      </c>
      <c r="V2" s="47">
        <f t="shared" si="0"/>
        <v>43916913240.232079</v>
      </c>
      <c r="W2" s="47"/>
      <c r="X2" s="47">
        <f t="shared" si="0"/>
        <v>20735979449.038124</v>
      </c>
      <c r="Y2" s="47">
        <f t="shared" si="0"/>
        <v>507240602.33538985</v>
      </c>
      <c r="Z2" s="47">
        <f t="shared" si="0"/>
        <v>130643155.12993689</v>
      </c>
      <c r="AA2" s="47">
        <f t="shared" si="0"/>
        <v>21373863206.503445</v>
      </c>
      <c r="AB2" s="47">
        <f t="shared" si="0"/>
        <v>22543050033.728668</v>
      </c>
      <c r="AC2" s="47"/>
      <c r="AD2" s="47">
        <f t="shared" si="0"/>
        <v>20846264801.681187</v>
      </c>
      <c r="AF2" s="47">
        <f t="shared" si="0"/>
        <v>0</v>
      </c>
      <c r="AG2" s="47">
        <f t="shared" si="0"/>
        <v>0</v>
      </c>
      <c r="AH2" s="47">
        <f t="shared" si="0"/>
        <v>0</v>
      </c>
      <c r="AI2" s="47">
        <f t="shared" si="0"/>
        <v>0</v>
      </c>
    </row>
    <row r="3" spans="1:35" ht="35" customHeight="1" x14ac:dyDescent="0.35">
      <c r="A3" s="3" t="s">
        <v>38</v>
      </c>
      <c r="B3" s="3" t="s">
        <v>68</v>
      </c>
      <c r="D3" s="3" t="s">
        <v>69</v>
      </c>
      <c r="E3" s="3" t="s">
        <v>153</v>
      </c>
      <c r="F3" s="3" t="s">
        <v>148</v>
      </c>
      <c r="G3" s="3" t="s">
        <v>141</v>
      </c>
      <c r="H3" s="3" t="s">
        <v>151</v>
      </c>
      <c r="I3" s="3" t="s">
        <v>154</v>
      </c>
      <c r="J3" s="3" t="s">
        <v>156</v>
      </c>
      <c r="K3" s="3" t="s">
        <v>72</v>
      </c>
      <c r="M3" s="3" t="s">
        <v>70</v>
      </c>
      <c r="N3" s="3" t="s">
        <v>71</v>
      </c>
      <c r="O3" s="3" t="s">
        <v>149</v>
      </c>
      <c r="P3" s="3" t="s">
        <v>150</v>
      </c>
      <c r="Q3" s="3" t="s">
        <v>152</v>
      </c>
      <c r="R3" s="3" t="s">
        <v>155</v>
      </c>
      <c r="S3" s="3" t="s">
        <v>157</v>
      </c>
      <c r="T3" s="3" t="s">
        <v>73</v>
      </c>
      <c r="V3" s="3" t="s">
        <v>74</v>
      </c>
      <c r="W3" s="24" t="s">
        <v>90</v>
      </c>
      <c r="X3" s="3" t="s">
        <v>75</v>
      </c>
      <c r="Y3" s="3" t="s">
        <v>76</v>
      </c>
      <c r="Z3" s="3" t="s">
        <v>77</v>
      </c>
      <c r="AA3" s="3" t="s">
        <v>78</v>
      </c>
      <c r="AB3" s="3" t="s">
        <v>79</v>
      </c>
      <c r="AC3" s="3" t="s">
        <v>80</v>
      </c>
      <c r="AD3" s="3" t="s">
        <v>81</v>
      </c>
      <c r="AF3" s="3" t="s">
        <v>147</v>
      </c>
      <c r="AG3" s="3" t="s">
        <v>125</v>
      </c>
      <c r="AH3" s="3" t="s">
        <v>126</v>
      </c>
      <c r="AI3" s="24" t="s">
        <v>127</v>
      </c>
    </row>
    <row r="4" spans="1:35" x14ac:dyDescent="0.35">
      <c r="A4" s="5">
        <v>1</v>
      </c>
      <c r="B4" s="25">
        <f>Parameters!$B$5</f>
        <v>120000</v>
      </c>
      <c r="D4" s="12">
        <f>B4*Parameters!$B$6</f>
        <v>84000</v>
      </c>
      <c r="E4" s="25">
        <f>Parameters!$B$14</f>
        <v>30000</v>
      </c>
      <c r="F4" s="12">
        <f t="shared" ref="F4:F35" si="1">D4+E4</f>
        <v>114000</v>
      </c>
      <c r="G4" s="12">
        <f>Parameters!$B$25*Demand_Volatility!B5*Stress_Data!F4</f>
        <v>73171.8</v>
      </c>
      <c r="H4" s="12">
        <f t="shared" ref="H4:H35" si="2">MIN(F4,G4)</f>
        <v>73171.8</v>
      </c>
      <c r="I4" s="12">
        <f>MIN(Parameters!$B$13,MAX(0,E4+D4-H4))</f>
        <v>40828.199999999997</v>
      </c>
      <c r="J4" s="12">
        <f t="shared" ref="J4:J35" si="3">D4+E4-H4-I4</f>
        <v>0</v>
      </c>
      <c r="K4" s="12">
        <f>(H4*Stress_Data!B4*Stress_Data!D4)+(J4*Stress_Data!B4*Stress_Data!D4*(1-Parameters!$B$22))</f>
        <v>437274676.80000007</v>
      </c>
      <c r="M4" s="12">
        <f>B4*Parameters!$B$7</f>
        <v>36000</v>
      </c>
      <c r="N4" s="25">
        <f>Parameters!$C$14</f>
        <v>10000</v>
      </c>
      <c r="O4" s="12">
        <f>M4+N4</f>
        <v>46000</v>
      </c>
      <c r="P4" s="12">
        <f>Parameters!$B$26*Demand_Volatility!C5*(1+Stress_Data!E4)</f>
        <v>34089.599999999999</v>
      </c>
      <c r="Q4" s="12">
        <f t="shared" ref="Q4:Q35" si="4">MIN(O4,P4)</f>
        <v>34089.599999999999</v>
      </c>
      <c r="R4" s="12">
        <f>MIN(Parameters!$C$13,MAX(0,N4+M4-Q4))</f>
        <v>11910.400000000001</v>
      </c>
      <c r="S4" s="12">
        <f t="shared" ref="S4:S35" si="5">M4+N4-Q4-R4</f>
        <v>0</v>
      </c>
      <c r="T4" s="12">
        <f>(Q4*Stress_Data!C4)+(S4*Stress_Data!C4*(1-Parameters!$B$23))</f>
        <v>109086720</v>
      </c>
      <c r="V4" s="12">
        <f t="shared" ref="V4:V35" si="6">K4+T4</f>
        <v>546361396.80000007</v>
      </c>
      <c r="W4" s="32">
        <v>1</v>
      </c>
      <c r="X4" s="12">
        <f>Parameters!$B$30*W4</f>
        <v>245000000</v>
      </c>
      <c r="Y4" s="12">
        <f>(Parameters!$B$15+Parameters!$B$16*I4)*W4</f>
        <v>5633128</v>
      </c>
      <c r="Z4" s="12">
        <f>(Parameters!$C$15+Parameters!$C$16*R4)*Stress_Scenario!W4</f>
        <v>1797760</v>
      </c>
      <c r="AA4" s="12">
        <f>X4+Y4+Z4</f>
        <v>252430888</v>
      </c>
      <c r="AB4" s="12">
        <f t="shared" ref="AB4:AB35" si="7">V4-AA4</f>
        <v>293930508.80000007</v>
      </c>
      <c r="AC4" s="6">
        <f>(1+Parameters!$B$39)^-Stress_Scenario!A4</f>
        <v>0.99816879064039632</v>
      </c>
      <c r="AD4" s="12">
        <f t="shared" ref="AD4:AD67" si="8">AB4*AC4</f>
        <v>293392260.50121242</v>
      </c>
      <c r="AF4" s="12">
        <f t="shared" ref="AF4:AF35" si="9">IF(AND(ROUND((D4-H4-I4+E4-J4),0)=0,ROUND((M4-Q4-R4+N4-S4),0)=0),0,1)</f>
        <v>0</v>
      </c>
      <c r="AG4" s="12">
        <v>0</v>
      </c>
      <c r="AH4" s="12">
        <f t="shared" ref="AH4:AH35" si="10">IF(AND(Q4&lt;=P4,H4&lt;=G4),0,1)</f>
        <v>0</v>
      </c>
      <c r="AI4" s="12">
        <f t="shared" ref="AI4:AI35" si="11">IF(AND(Q4&lt;=O4,H4&lt;=F4),0,1)</f>
        <v>0</v>
      </c>
    </row>
    <row r="5" spans="1:35" x14ac:dyDescent="0.35">
      <c r="A5" s="5">
        <v>2</v>
      </c>
      <c r="B5" s="12">
        <f>B4*(1-Parameters!$B$9)</f>
        <v>119757.10650257995</v>
      </c>
      <c r="C5" s="21"/>
      <c r="D5" s="12">
        <f>B5*Parameters!$B$6</f>
        <v>83829.974551805964</v>
      </c>
      <c r="E5" s="12">
        <f>I4</f>
        <v>40828.199999999997</v>
      </c>
      <c r="F5" s="12">
        <f t="shared" si="1"/>
        <v>124658.17455180596</v>
      </c>
      <c r="G5" s="12">
        <f>Parameters!$B$25*Demand_Volatility!B6*Stress_Data!F5</f>
        <v>79723.8</v>
      </c>
      <c r="H5" s="12">
        <f t="shared" si="2"/>
        <v>79723.8</v>
      </c>
      <c r="I5" s="12">
        <f>MIN(Parameters!$B$13,MAX(0,E5+D5-H5))</f>
        <v>44934.374551805959</v>
      </c>
      <c r="J5" s="12">
        <f t="shared" si="3"/>
        <v>0</v>
      </c>
      <c r="K5" s="12">
        <f>(H5*Stress_Data!B5*Stress_Data!D5)+(J5*Stress_Data!B5*Stress_Data!D5*(1-Parameters!$B$22))</f>
        <v>476429428.80000007</v>
      </c>
      <c r="M5" s="12">
        <f>B5*Parameters!$B$7</f>
        <v>35927.131950773983</v>
      </c>
      <c r="N5" s="12">
        <f>R4</f>
        <v>11910.400000000001</v>
      </c>
      <c r="O5" s="12">
        <f t="shared" ref="O5:O68" si="12">M5+N5</f>
        <v>47837.531950773984</v>
      </c>
      <c r="P5" s="12">
        <f>Parameters!$B$26*Demand_Volatility!C6*(1+Stress_Data!E5)</f>
        <v>31856</v>
      </c>
      <c r="Q5" s="12">
        <f t="shared" si="4"/>
        <v>31856</v>
      </c>
      <c r="R5" s="12">
        <f>MIN(Parameters!$C$13,MAX(0,N5+M5-Q5))</f>
        <v>15000</v>
      </c>
      <c r="S5" s="12">
        <f t="shared" si="5"/>
        <v>981.53195077398414</v>
      </c>
      <c r="T5" s="12">
        <f>(Q5*Stress_Data!C5)+(S5*Stress_Data!C5*(1-Parameters!$B$23))</f>
        <v>103509651.12123838</v>
      </c>
      <c r="V5" s="12">
        <f t="shared" si="6"/>
        <v>579939079.92123842</v>
      </c>
      <c r="W5" s="26">
        <f>W4*(1+IF(A5&lt;10,Parameters!$B$36,IF(A5&lt;=45,Parameters!$B$37,Parameters!$B$38)))</f>
        <v>1.0009387127031117</v>
      </c>
      <c r="X5" s="12">
        <f>Parameters!$B$30*W5</f>
        <v>245229984.61226237</v>
      </c>
      <c r="Y5" s="12">
        <f>(Parameters!$B$15+Parameters!$B$16*I5)*W5</f>
        <v>5802817.0516126109</v>
      </c>
      <c r="Z5" s="12">
        <f>(Parameters!$C$15+Parameters!$C$16*R5)*Stress_Scenario!W5</f>
        <v>1876760.0863183346</v>
      </c>
      <c r="AA5" s="12">
        <f t="shared" ref="AA5:AA68" si="13">X5+Y5+Z5</f>
        <v>252909561.75019333</v>
      </c>
      <c r="AB5" s="12">
        <f t="shared" si="7"/>
        <v>327029518.17104506</v>
      </c>
      <c r="AC5" s="6">
        <f>(1+Parameters!$B$39)^-Stress_Scenario!A5</f>
        <v>0.99634093460851114</v>
      </c>
      <c r="AD5" s="12">
        <f t="shared" si="8"/>
        <v>325832895.77911013</v>
      </c>
      <c r="AF5" s="12">
        <f t="shared" si="9"/>
        <v>0</v>
      </c>
      <c r="AG5" s="12">
        <f t="shared" ref="AG5:AG36" si="14">IF(B5&lt;B4,0,1)</f>
        <v>0</v>
      </c>
      <c r="AH5" s="12">
        <f t="shared" si="10"/>
        <v>0</v>
      </c>
      <c r="AI5" s="12">
        <f t="shared" si="11"/>
        <v>0</v>
      </c>
    </row>
    <row r="6" spans="1:35" x14ac:dyDescent="0.35">
      <c r="A6" s="5">
        <v>3</v>
      </c>
      <c r="B6" s="12">
        <f>B5*(1-Parameters!$B$9)</f>
        <v>119514.70464891897</v>
      </c>
      <c r="C6" s="21"/>
      <c r="D6" s="12">
        <f>B6*Parameters!$B$6</f>
        <v>83660.293254243268</v>
      </c>
      <c r="E6" s="12">
        <f t="shared" ref="E6:E69" si="15">I5</f>
        <v>44934.374551805959</v>
      </c>
      <c r="F6" s="12">
        <f t="shared" si="1"/>
        <v>128594.66780604923</v>
      </c>
      <c r="G6" s="12">
        <f>Parameters!$B$25*Demand_Volatility!B7*Stress_Data!F6</f>
        <v>78834.599999999991</v>
      </c>
      <c r="H6" s="12">
        <f t="shared" si="2"/>
        <v>78834.599999999991</v>
      </c>
      <c r="I6" s="12">
        <f>MIN(Parameters!$B$13,MAX(0,E6+D6-H6))</f>
        <v>49760.067806049236</v>
      </c>
      <c r="J6" s="12">
        <f t="shared" si="3"/>
        <v>0</v>
      </c>
      <c r="K6" s="12">
        <f>(H6*Stress_Data!B6*Stress_Data!D6)+(J6*Stress_Data!B6*Stress_Data!D6*(1-Parameters!$B$22))</f>
        <v>471115569.59999996</v>
      </c>
      <c r="M6" s="12">
        <f>B6*Parameters!$B$7</f>
        <v>35854.411394675692</v>
      </c>
      <c r="N6" s="12">
        <f t="shared" ref="N6:N69" si="16">R5</f>
        <v>15000</v>
      </c>
      <c r="O6" s="12">
        <f t="shared" si="12"/>
        <v>50854.411394675692</v>
      </c>
      <c r="P6" s="12">
        <f>Parameters!$B$26*Demand_Volatility!C7*(1+Stress_Data!E6)</f>
        <v>31190.400000000001</v>
      </c>
      <c r="Q6" s="12">
        <f t="shared" si="4"/>
        <v>31190.400000000001</v>
      </c>
      <c r="R6" s="12">
        <f>MIN(Parameters!$C$13,MAX(0,N6+M6-Q6))</f>
        <v>15000</v>
      </c>
      <c r="S6" s="12">
        <f t="shared" si="5"/>
        <v>4664.0113946756901</v>
      </c>
      <c r="T6" s="12">
        <f>(Q6*Stress_Data!C6)+(S6*Stress_Data!C6*(1-Parameters!$B$23))</f>
        <v>107271698.23148111</v>
      </c>
      <c r="V6" s="12">
        <f t="shared" si="6"/>
        <v>578387267.8314811</v>
      </c>
      <c r="W6" s="26">
        <f>W5*(1+IF(A6&lt;10,Parameters!$B$36,IF(A6&lt;=45,Parameters!$B$37,Parameters!$B$38)))</f>
        <v>1.0018783065877626</v>
      </c>
      <c r="X6" s="12">
        <f>Parameters!$B$30*W6</f>
        <v>245460185.11400184</v>
      </c>
      <c r="Y6" s="12">
        <f>(Parameters!$B$15+Parameters!$B$16*I6)*W6</f>
        <v>6001654.5251197247</v>
      </c>
      <c r="Z6" s="12">
        <f>(Parameters!$C$15+Parameters!$C$16*R6)*Stress_Scenario!W6</f>
        <v>1878521.8248520547</v>
      </c>
      <c r="AA6" s="12">
        <f t="shared" si="13"/>
        <v>253340361.46397361</v>
      </c>
      <c r="AB6" s="12">
        <f t="shared" si="7"/>
        <v>325046906.36750746</v>
      </c>
      <c r="AC6" s="6">
        <f>(1+Parameters!$B$39)^-Stress_Scenario!A6</f>
        <v>0.99451642576369992</v>
      </c>
      <c r="AD6" s="12">
        <f t="shared" si="8"/>
        <v>323264487.52616155</v>
      </c>
      <c r="AF6" s="12">
        <f t="shared" si="9"/>
        <v>0</v>
      </c>
      <c r="AG6" s="12">
        <f t="shared" si="14"/>
        <v>0</v>
      </c>
      <c r="AH6" s="12">
        <f t="shared" si="10"/>
        <v>0</v>
      </c>
      <c r="AI6" s="12">
        <f t="shared" si="11"/>
        <v>0</v>
      </c>
    </row>
    <row r="7" spans="1:35" x14ac:dyDescent="0.35">
      <c r="A7" s="5">
        <v>4</v>
      </c>
      <c r="B7" s="12">
        <f>B6*(1-Parameters!$B$9)</f>
        <v>119272.79344387479</v>
      </c>
      <c r="C7" s="21"/>
      <c r="D7" s="12">
        <f>B7*Parameters!$B$6</f>
        <v>83490.955410712355</v>
      </c>
      <c r="E7" s="12">
        <f t="shared" si="15"/>
        <v>49760.067806049236</v>
      </c>
      <c r="F7" s="12">
        <f t="shared" si="1"/>
        <v>133251.02321676159</v>
      </c>
      <c r="G7" s="12">
        <f>Parameters!$B$25*Demand_Volatility!B8*Stress_Data!F7</f>
        <v>75784.800000000003</v>
      </c>
      <c r="H7" s="12">
        <f t="shared" si="2"/>
        <v>75784.800000000003</v>
      </c>
      <c r="I7" s="12">
        <f>MIN(Parameters!$B$13,MAX(0,E7+D7-H7))</f>
        <v>50000</v>
      </c>
      <c r="J7" s="12">
        <f t="shared" si="3"/>
        <v>7466.2232167615875</v>
      </c>
      <c r="K7" s="12">
        <f>(H7*Stress_Data!B7*Stress_Data!D7)+(J7*Stress_Data!B7*Stress_Data!D7*(1-Parameters!$B$22))</f>
        <v>466275409.78301024</v>
      </c>
      <c r="M7" s="12">
        <f>B7*Parameters!$B$7</f>
        <v>35781.838033162436</v>
      </c>
      <c r="N7" s="12">
        <f t="shared" si="16"/>
        <v>15000</v>
      </c>
      <c r="O7" s="12">
        <f t="shared" si="12"/>
        <v>50781.838033162436</v>
      </c>
      <c r="P7" s="12">
        <f>Parameters!$B$26*Demand_Volatility!C8*(1+Stress_Data!E7)</f>
        <v>34704</v>
      </c>
      <c r="Q7" s="12">
        <f t="shared" si="4"/>
        <v>34704</v>
      </c>
      <c r="R7" s="12">
        <f>MIN(Parameters!$C$13,MAX(0,N7+M7-Q7))</f>
        <v>15000</v>
      </c>
      <c r="S7" s="12">
        <f t="shared" si="5"/>
        <v>1077.8380331624357</v>
      </c>
      <c r="T7" s="12">
        <f>(Q7*Stress_Data!C7)+(S7*Stress_Data!C7*(1-Parameters!$B$23))</f>
        <v>112777340.8530599</v>
      </c>
      <c r="V7" s="12">
        <f t="shared" si="6"/>
        <v>579052750.63607013</v>
      </c>
      <c r="W7" s="26">
        <f>W6*(1+IF(A7&lt;10,Parameters!$B$36,IF(A7&lt;=45,Parameters!$B$37,Parameters!$B$38)))</f>
        <v>1.0028187824811285</v>
      </c>
      <c r="X7" s="12">
        <f>Parameters!$B$30*W7</f>
        <v>245690601.7078765</v>
      </c>
      <c r="Y7" s="12">
        <f>(Parameters!$B$15+Parameters!$B$16*I7)*W7</f>
        <v>6016912.694886771</v>
      </c>
      <c r="Z7" s="12">
        <f>(Parameters!$C$15+Parameters!$C$16*R7)*Stress_Scenario!W7</f>
        <v>1880285.2171521161</v>
      </c>
      <c r="AA7" s="12">
        <f t="shared" si="13"/>
        <v>253587799.6199154</v>
      </c>
      <c r="AB7" s="12">
        <f t="shared" si="7"/>
        <v>325464951.01615477</v>
      </c>
      <c r="AC7" s="6">
        <f>(1+Parameters!$B$39)^-Stress_Scenario!A7</f>
        <v>0.99269525797656144</v>
      </c>
      <c r="AD7" s="12">
        <f t="shared" si="8"/>
        <v>323087513.5113107</v>
      </c>
      <c r="AF7" s="12">
        <f t="shared" si="9"/>
        <v>0</v>
      </c>
      <c r="AG7" s="12">
        <f t="shared" si="14"/>
        <v>0</v>
      </c>
      <c r="AH7" s="12">
        <f t="shared" si="10"/>
        <v>0</v>
      </c>
      <c r="AI7" s="12">
        <f t="shared" si="11"/>
        <v>0</v>
      </c>
    </row>
    <row r="8" spans="1:35" x14ac:dyDescent="0.35">
      <c r="A8" s="5">
        <v>5</v>
      </c>
      <c r="B8" s="12">
        <f>B7*(1-Parameters!$B$9)</f>
        <v>119031.37189431944</v>
      </c>
      <c r="C8" s="21"/>
      <c r="D8" s="12">
        <f>B8*Parameters!$B$6</f>
        <v>83321.960326023604</v>
      </c>
      <c r="E8" s="12">
        <f t="shared" si="15"/>
        <v>50000</v>
      </c>
      <c r="F8" s="12">
        <f t="shared" si="1"/>
        <v>133321.9603260236</v>
      </c>
      <c r="G8" s="12">
        <f>Parameters!$B$25*Demand_Volatility!B9*Stress_Data!F8</f>
        <v>76440</v>
      </c>
      <c r="H8" s="12">
        <f t="shared" si="2"/>
        <v>76440</v>
      </c>
      <c r="I8" s="12">
        <f>MIN(Parameters!$B$13,MAX(0,E8+D8-H8))</f>
        <v>50000</v>
      </c>
      <c r="J8" s="12">
        <f t="shared" si="3"/>
        <v>6881.9603260236036</v>
      </c>
      <c r="K8" s="12">
        <f>(H8*Stress_Data!B8*Stress_Data!D8)+(J8*Stress_Data!B8*Stress_Data!D8*(1-Parameters!$B$22))</f>
        <v>469143418.47249514</v>
      </c>
      <c r="M8" s="12">
        <f>B8*Parameters!$B$7</f>
        <v>35709.411568295829</v>
      </c>
      <c r="N8" s="12">
        <f t="shared" si="16"/>
        <v>15000</v>
      </c>
      <c r="O8" s="12">
        <f t="shared" si="12"/>
        <v>50709.411568295829</v>
      </c>
      <c r="P8" s="12">
        <f>Parameters!$B$26*Demand_Volatility!C9*(1+Stress_Data!E8)</f>
        <v>32384</v>
      </c>
      <c r="Q8" s="12">
        <f t="shared" si="4"/>
        <v>32384</v>
      </c>
      <c r="R8" s="12">
        <f>MIN(Parameters!$C$13,MAX(0,N8+M8-Q8))</f>
        <v>15000</v>
      </c>
      <c r="S8" s="12">
        <f t="shared" si="5"/>
        <v>3325.4115682958291</v>
      </c>
      <c r="T8" s="12">
        <f>(Q8*Stress_Data!C8)+(S8*Stress_Data!C8*(1-Parameters!$B$23))</f>
        <v>108949458.50927332</v>
      </c>
      <c r="V8" s="12">
        <f t="shared" si="6"/>
        <v>578092876.98176849</v>
      </c>
      <c r="W8" s="26">
        <f>W7*(1+IF(A8&lt;10,Parameters!$B$36,IF(A8&lt;=45,Parameters!$B$37,Parameters!$B$38)))</f>
        <v>1.0037601412111625</v>
      </c>
      <c r="X8" s="12">
        <f>Parameters!$B$30*W8</f>
        <v>245921234.59673482</v>
      </c>
      <c r="Y8" s="12">
        <f>(Parameters!$B$15+Parameters!$B$16*I8)*W8</f>
        <v>6022560.8472669749</v>
      </c>
      <c r="Z8" s="12">
        <f>(Parameters!$C$15+Parameters!$C$16*R8)*Stress_Scenario!W8</f>
        <v>1882050.2647709297</v>
      </c>
      <c r="AA8" s="12">
        <f t="shared" si="13"/>
        <v>253825845.70877272</v>
      </c>
      <c r="AB8" s="12">
        <f t="shared" si="7"/>
        <v>324267031.27299577</v>
      </c>
      <c r="AC8" s="6">
        <f>(1+Parameters!$B$39)^-Stress_Scenario!A8</f>
        <v>0.99087742512892063</v>
      </c>
      <c r="AD8" s="12">
        <f t="shared" si="8"/>
        <v>321308881.00198525</v>
      </c>
      <c r="AF8" s="12">
        <f t="shared" si="9"/>
        <v>0</v>
      </c>
      <c r="AG8" s="12">
        <f t="shared" si="14"/>
        <v>0</v>
      </c>
      <c r="AH8" s="12">
        <f t="shared" si="10"/>
        <v>0</v>
      </c>
      <c r="AI8" s="12">
        <f t="shared" si="11"/>
        <v>0</v>
      </c>
    </row>
    <row r="9" spans="1:35" x14ac:dyDescent="0.35">
      <c r="A9" s="5">
        <v>6</v>
      </c>
      <c r="B9" s="12">
        <f>B8*(1-Parameters!$B$9)</f>
        <v>118790.43900913512</v>
      </c>
      <c r="C9" s="21"/>
      <c r="D9" s="12">
        <f>B9*Parameters!$B$6</f>
        <v>83153.307306394578</v>
      </c>
      <c r="E9" s="12">
        <f t="shared" si="15"/>
        <v>50000</v>
      </c>
      <c r="F9" s="12">
        <f t="shared" si="1"/>
        <v>133153.30730639456</v>
      </c>
      <c r="G9" s="12">
        <f>Parameters!$B$25*Demand_Volatility!B10*Stress_Data!F9</f>
        <v>78210.599999999991</v>
      </c>
      <c r="H9" s="12">
        <f t="shared" si="2"/>
        <v>78210.599999999991</v>
      </c>
      <c r="I9" s="12">
        <f>MIN(Parameters!$B$13,MAX(0,E9+D9-H9))</f>
        <v>50000</v>
      </c>
      <c r="J9" s="12">
        <f t="shared" si="3"/>
        <v>4942.7073063945718</v>
      </c>
      <c r="K9" s="12">
        <f>(H9*Stress_Data!B9*Stress_Data!D9)+(J9*Stress_Data!B9*Stress_Data!D9*(1-Parameters!$B$22))</f>
        <v>476247831.25890416</v>
      </c>
      <c r="M9" s="12">
        <f>B9*Parameters!$B$7</f>
        <v>35637.131702740538</v>
      </c>
      <c r="N9" s="12">
        <f t="shared" si="16"/>
        <v>15000</v>
      </c>
      <c r="O9" s="12">
        <f t="shared" si="12"/>
        <v>50637.131702740538</v>
      </c>
      <c r="P9" s="12">
        <f>Parameters!$B$26*Demand_Volatility!C10*(1+Stress_Data!E9)</f>
        <v>31363.200000000001</v>
      </c>
      <c r="Q9" s="12">
        <f t="shared" si="4"/>
        <v>31363.200000000001</v>
      </c>
      <c r="R9" s="12">
        <f>MIN(Parameters!$C$13,MAX(0,N9+M9-Q9))</f>
        <v>15000</v>
      </c>
      <c r="S9" s="12">
        <f t="shared" si="5"/>
        <v>4273.9317027405377</v>
      </c>
      <c r="T9" s="12">
        <f>(Q9*Stress_Data!C9)+(S9*Stress_Data!C9*(1-Parameters!$B$23))</f>
        <v>107200530.72438486</v>
      </c>
      <c r="V9" s="12">
        <f t="shared" si="6"/>
        <v>583448361.983289</v>
      </c>
      <c r="W9" s="26">
        <f>W8*(1+IF(A9&lt;10,Parameters!$B$36,IF(A9&lt;=45,Parameters!$B$37,Parameters!$B$38)))</f>
        <v>1.0047023836065947</v>
      </c>
      <c r="X9" s="12">
        <f>Parameters!$B$30*W9</f>
        <v>246152083.9836157</v>
      </c>
      <c r="Y9" s="12">
        <f>(Parameters!$B$15+Parameters!$B$16*I9)*W9</f>
        <v>6028214.3016395681</v>
      </c>
      <c r="Z9" s="12">
        <f>(Parameters!$C$15+Parameters!$C$16*R9)*Stress_Scenario!W9</f>
        <v>1883816.969262365</v>
      </c>
      <c r="AA9" s="12">
        <f t="shared" si="13"/>
        <v>254064115.25451761</v>
      </c>
      <c r="AB9" s="12">
        <f t="shared" si="7"/>
        <v>329384246.72877139</v>
      </c>
      <c r="AC9" s="6">
        <f>(1+Parameters!$B$39)^-Stress_Scenario!A9</f>
        <v>0.98906292111380434</v>
      </c>
      <c r="AD9" s="12">
        <f t="shared" si="8"/>
        <v>325781745.23842865</v>
      </c>
      <c r="AF9" s="12">
        <f t="shared" si="9"/>
        <v>0</v>
      </c>
      <c r="AG9" s="12">
        <f t="shared" si="14"/>
        <v>0</v>
      </c>
      <c r="AH9" s="12">
        <f t="shared" si="10"/>
        <v>0</v>
      </c>
      <c r="AI9" s="12">
        <f t="shared" si="11"/>
        <v>0</v>
      </c>
    </row>
    <row r="10" spans="1:35" x14ac:dyDescent="0.35">
      <c r="A10" s="5">
        <v>7</v>
      </c>
      <c r="B10" s="12">
        <f>B9*(1-Parameters!$B$9)</f>
        <v>118549.99379921019</v>
      </c>
      <c r="C10" s="21"/>
      <c r="D10" s="12">
        <f>B10*Parameters!$B$6</f>
        <v>82984.99565944713</v>
      </c>
      <c r="E10" s="12">
        <f t="shared" si="15"/>
        <v>50000</v>
      </c>
      <c r="F10" s="12">
        <f t="shared" si="1"/>
        <v>132984.99565944713</v>
      </c>
      <c r="G10" s="12">
        <f>Parameters!$B$25*Demand_Volatility!B11*Stress_Data!F10</f>
        <v>76486.8</v>
      </c>
      <c r="H10" s="12">
        <f t="shared" si="2"/>
        <v>76486.8</v>
      </c>
      <c r="I10" s="12">
        <f>MIN(Parameters!$B$13,MAX(0,E10+D10-H10))</f>
        <v>50000</v>
      </c>
      <c r="J10" s="12">
        <f t="shared" si="3"/>
        <v>6498.1956594471267</v>
      </c>
      <c r="K10" s="12">
        <f>(H10*Stress_Data!B10*Stress_Data!D10)+(J10*Stress_Data!B10*Stress_Data!D10*(1-Parameters!$B$22))</f>
        <v>468735081.97825688</v>
      </c>
      <c r="M10" s="12">
        <f>B10*Parameters!$B$7</f>
        <v>35564.998139763054</v>
      </c>
      <c r="N10" s="12">
        <f t="shared" si="16"/>
        <v>15000</v>
      </c>
      <c r="O10" s="12">
        <f t="shared" si="12"/>
        <v>50564.998139763054</v>
      </c>
      <c r="P10" s="12">
        <f>Parameters!$B$26*Demand_Volatility!C11*(1+Stress_Data!E10)</f>
        <v>30192</v>
      </c>
      <c r="Q10" s="12">
        <f t="shared" si="4"/>
        <v>30192</v>
      </c>
      <c r="R10" s="12">
        <f>MIN(Parameters!$C$13,MAX(0,N10+M10-Q10))</f>
        <v>15000</v>
      </c>
      <c r="S10" s="12">
        <f t="shared" si="5"/>
        <v>5372.9981397630545</v>
      </c>
      <c r="T10" s="12">
        <f>(Q10*Stress_Data!C10)+(S10*Stress_Data!C10*(1-Parameters!$B$23))</f>
        <v>105211197.02362089</v>
      </c>
      <c r="V10" s="12">
        <f t="shared" si="6"/>
        <v>573946279.00187778</v>
      </c>
      <c r="W10" s="26">
        <f>W9*(1+IF(A10&lt;10,Parameters!$B$36,IF(A10&lt;=45,Parameters!$B$37,Parameters!$B$38)))</f>
        <v>1.0056455104969328</v>
      </c>
      <c r="X10" s="12">
        <f>Parameters!$B$30*W10</f>
        <v>246383150.07174855</v>
      </c>
      <c r="Y10" s="12">
        <f>(Parameters!$B$15+Parameters!$B$16*I10)*W10</f>
        <v>6033873.0629815971</v>
      </c>
      <c r="Z10" s="12">
        <f>(Parameters!$C$15+Parameters!$C$16*R10)*Stress_Scenario!W10</f>
        <v>1885585.3321817492</v>
      </c>
      <c r="AA10" s="12">
        <f t="shared" si="13"/>
        <v>254302608.46691191</v>
      </c>
      <c r="AB10" s="12">
        <f t="shared" si="7"/>
        <v>319643670.53496587</v>
      </c>
      <c r="AC10" s="6">
        <f>(1+Parameters!$B$39)^-Stress_Scenario!A10</f>
        <v>0.98725173983542391</v>
      </c>
      <c r="AD10" s="12">
        <f t="shared" si="8"/>
        <v>315568769.86302608</v>
      </c>
      <c r="AF10" s="12">
        <f t="shared" si="9"/>
        <v>0</v>
      </c>
      <c r="AG10" s="12">
        <f t="shared" si="14"/>
        <v>0</v>
      </c>
      <c r="AH10" s="12">
        <f t="shared" si="10"/>
        <v>0</v>
      </c>
      <c r="AI10" s="12">
        <f t="shared" si="11"/>
        <v>0</v>
      </c>
    </row>
    <row r="11" spans="1:35" x14ac:dyDescent="0.35">
      <c r="A11" s="5">
        <v>8</v>
      </c>
      <c r="B11" s="12">
        <f>B10*(1-Parameters!$B$9)</f>
        <v>118310.03527743506</v>
      </c>
      <c r="C11" s="21"/>
      <c r="D11" s="12">
        <f>B11*Parameters!$B$6</f>
        <v>82817.024694204534</v>
      </c>
      <c r="E11" s="12">
        <f t="shared" si="15"/>
        <v>50000</v>
      </c>
      <c r="F11" s="12">
        <f t="shared" si="1"/>
        <v>132817.02469420453</v>
      </c>
      <c r="G11" s="12">
        <f>Parameters!$B$25*Demand_Volatility!B12*Stress_Data!F11</f>
        <v>75020.399999999994</v>
      </c>
      <c r="H11" s="12">
        <f t="shared" si="2"/>
        <v>75020.399999999994</v>
      </c>
      <c r="I11" s="12">
        <f>MIN(Parameters!$B$13,MAX(0,E11+D11-H11))</f>
        <v>50000</v>
      </c>
      <c r="J11" s="12">
        <f t="shared" si="3"/>
        <v>7796.62469420454</v>
      </c>
      <c r="K11" s="12">
        <f>(H11*Stress_Data!B11*Stress_Data!D11)+(J11*Stress_Data!B11*Stress_Data!D11*(1-Parameters!$B$22))</f>
        <v>462299699.15176988</v>
      </c>
      <c r="M11" s="12">
        <f>B11*Parameters!$B$7</f>
        <v>35493.01058323052</v>
      </c>
      <c r="N11" s="12">
        <f t="shared" si="16"/>
        <v>15000</v>
      </c>
      <c r="O11" s="12">
        <f t="shared" si="12"/>
        <v>50493.01058323052</v>
      </c>
      <c r="P11" s="12">
        <f>Parameters!$B$26*Demand_Volatility!C12*(1+Stress_Data!E11)</f>
        <v>33625.599999999999</v>
      </c>
      <c r="Q11" s="12">
        <f t="shared" si="4"/>
        <v>33625.599999999999</v>
      </c>
      <c r="R11" s="12">
        <f>MIN(Parameters!$C$13,MAX(0,N11+M11-Q11))</f>
        <v>15000</v>
      </c>
      <c r="S11" s="12">
        <f t="shared" si="5"/>
        <v>1867.4105832305213</v>
      </c>
      <c r="T11" s="12">
        <f>(Q11*Stress_Data!C11)+(S11*Stress_Data!C11*(1-Parameters!$B$23))</f>
        <v>110589776.93316883</v>
      </c>
      <c r="V11" s="12">
        <f t="shared" si="6"/>
        <v>572889476.08493876</v>
      </c>
      <c r="W11" s="26">
        <f>W10*(1+IF(A11&lt;10,Parameters!$B$36,IF(A11&lt;=45,Parameters!$B$37,Parameters!$B$38)))</f>
        <v>1.0065895227124637</v>
      </c>
      <c r="X11" s="12">
        <f>Parameters!$B$30*W11</f>
        <v>246614433.06455362</v>
      </c>
      <c r="Y11" s="12">
        <f>(Parameters!$B$15+Parameters!$B$16*I11)*W11</f>
        <v>6039537.136274782</v>
      </c>
      <c r="Z11" s="12">
        <f>(Parameters!$C$15+Parameters!$C$16*R11)*Stress_Scenario!W11</f>
        <v>1887355.3550858696</v>
      </c>
      <c r="AA11" s="12">
        <f t="shared" si="13"/>
        <v>254541325.55591428</v>
      </c>
      <c r="AB11" s="12">
        <f t="shared" si="7"/>
        <v>318348150.52902448</v>
      </c>
      <c r="AC11" s="6">
        <f>(1+Parameters!$B$39)^-Stress_Scenario!A11</f>
        <v>0.985443875209152</v>
      </c>
      <c r="AD11" s="12">
        <f t="shared" si="8"/>
        <v>313714235.12298834</v>
      </c>
      <c r="AF11" s="12">
        <f t="shared" si="9"/>
        <v>0</v>
      </c>
      <c r="AG11" s="12">
        <f t="shared" si="14"/>
        <v>0</v>
      </c>
      <c r="AH11" s="12">
        <f t="shared" si="10"/>
        <v>0</v>
      </c>
      <c r="AI11" s="12">
        <f t="shared" si="11"/>
        <v>0</v>
      </c>
    </row>
    <row r="12" spans="1:35" x14ac:dyDescent="0.35">
      <c r="A12" s="5">
        <v>9</v>
      </c>
      <c r="B12" s="12">
        <f>B11*(1-Parameters!$B$9)</f>
        <v>118070.56245869817</v>
      </c>
      <c r="C12" s="21"/>
      <c r="D12" s="12">
        <f>B12*Parameters!$B$6</f>
        <v>82649.393721088709</v>
      </c>
      <c r="E12" s="12">
        <f t="shared" si="15"/>
        <v>50000</v>
      </c>
      <c r="F12" s="12">
        <f t="shared" si="1"/>
        <v>132649.39372108871</v>
      </c>
      <c r="G12" s="12">
        <f>Parameters!$B$25*Demand_Volatility!B13*Stress_Data!F12</f>
        <v>79996.800000000003</v>
      </c>
      <c r="H12" s="12">
        <f t="shared" si="2"/>
        <v>79996.800000000003</v>
      </c>
      <c r="I12" s="12">
        <f>MIN(Parameters!$B$13,MAX(0,E12+D12-H12))</f>
        <v>50000</v>
      </c>
      <c r="J12" s="12">
        <f t="shared" si="3"/>
        <v>2652.5937210887059</v>
      </c>
      <c r="K12" s="12">
        <f>(H12*Stress_Data!B12*Stress_Data!D12)+(J12*Stress_Data!B12*Stress_Data!D12*(1-Parameters!$B$22))</f>
        <v>482816446.82316792</v>
      </c>
      <c r="M12" s="12">
        <f>B12*Parameters!$B$7</f>
        <v>35421.168737609449</v>
      </c>
      <c r="N12" s="12">
        <f t="shared" si="16"/>
        <v>15000</v>
      </c>
      <c r="O12" s="12">
        <f t="shared" si="12"/>
        <v>50421.168737609449</v>
      </c>
      <c r="P12" s="12">
        <f>Parameters!$B$26*Demand_Volatility!C13*(1+Stress_Data!E12)</f>
        <v>32204.799999999999</v>
      </c>
      <c r="Q12" s="12">
        <f t="shared" si="4"/>
        <v>32204.799999999999</v>
      </c>
      <c r="R12" s="12">
        <f>MIN(Parameters!$C$13,MAX(0,N12+M12-Q12))</f>
        <v>15000</v>
      </c>
      <c r="S12" s="12">
        <f t="shared" si="5"/>
        <v>3216.3687376094495</v>
      </c>
      <c r="T12" s="12">
        <f>(Q12*Stress_Data!C12)+(S12*Stress_Data!C12*(1-Parameters!$B$23))</f>
        <v>108201549.98017512</v>
      </c>
      <c r="V12" s="12">
        <f t="shared" si="6"/>
        <v>591017996.80334306</v>
      </c>
      <c r="W12" s="26">
        <f>W11*(1+IF(A12&lt;10,Parameters!$B$36,IF(A12&lt;=45,Parameters!$B$37,Parameters!$B$38)))</f>
        <v>1.0075344210842532</v>
      </c>
      <c r="X12" s="12">
        <f>Parameters!$B$30*W12</f>
        <v>246845933.16564202</v>
      </c>
      <c r="Y12" s="12">
        <f>(Parameters!$B$15+Parameters!$B$16*I12)*W12</f>
        <v>6045206.5265055187</v>
      </c>
      <c r="Z12" s="12">
        <f>(Parameters!$C$15+Parameters!$C$16*R12)*Stress_Scenario!W12</f>
        <v>1889127.0395329746</v>
      </c>
      <c r="AA12" s="12">
        <f t="shared" si="13"/>
        <v>254780266.73168054</v>
      </c>
      <c r="AB12" s="12">
        <f t="shared" si="7"/>
        <v>336237730.07166255</v>
      </c>
      <c r="AC12" s="6">
        <f>(1+Parameters!$B$39)^-Stress_Scenario!A12</f>
        <v>0.98363932116150488</v>
      </c>
      <c r="AD12" s="12">
        <f t="shared" si="8"/>
        <v>330736652.55657548</v>
      </c>
      <c r="AF12" s="12">
        <f t="shared" si="9"/>
        <v>0</v>
      </c>
      <c r="AG12" s="12">
        <f t="shared" si="14"/>
        <v>0</v>
      </c>
      <c r="AH12" s="12">
        <f t="shared" si="10"/>
        <v>0</v>
      </c>
      <c r="AI12" s="12">
        <f t="shared" si="11"/>
        <v>0</v>
      </c>
    </row>
    <row r="13" spans="1:35" x14ac:dyDescent="0.35">
      <c r="A13" s="5">
        <v>10</v>
      </c>
      <c r="B13" s="12">
        <f>B12*(1-Parameters!$B$9)</f>
        <v>117831.57435988195</v>
      </c>
      <c r="C13" s="21"/>
      <c r="D13" s="12">
        <f>B13*Parameters!$B$6</f>
        <v>82482.102051917362</v>
      </c>
      <c r="E13" s="12">
        <f t="shared" si="15"/>
        <v>50000</v>
      </c>
      <c r="F13" s="12">
        <f t="shared" si="1"/>
        <v>132482.10205191735</v>
      </c>
      <c r="G13" s="12">
        <f>Parameters!$B$25*Demand_Volatility!B14*Stress_Data!F13</f>
        <v>0</v>
      </c>
      <c r="H13" s="12">
        <f t="shared" si="2"/>
        <v>0</v>
      </c>
      <c r="I13" s="12">
        <f>MIN(Parameters!$B$13,MAX(0,E13+D13-H13))</f>
        <v>50000</v>
      </c>
      <c r="J13" s="12">
        <f t="shared" si="3"/>
        <v>82482.102051917347</v>
      </c>
      <c r="K13" s="12">
        <f>(H13*Stress_Data!B13*Stress_Data!D13)+(J13*Stress_Data!B13*Stress_Data!D13*(1-Parameters!$B$22))</f>
        <v>248535069.9028374</v>
      </c>
      <c r="M13" s="12">
        <f>B13*Parameters!$B$7</f>
        <v>35349.472307964585</v>
      </c>
      <c r="N13" s="12">
        <f t="shared" si="16"/>
        <v>15000</v>
      </c>
      <c r="O13" s="12">
        <f t="shared" si="12"/>
        <v>50349.472307964585</v>
      </c>
      <c r="P13" s="12">
        <f>Parameters!$B$26*Demand_Volatility!C14*(1+Stress_Data!E13)</f>
        <v>41024.000000000007</v>
      </c>
      <c r="Q13" s="12">
        <f t="shared" si="4"/>
        <v>41024.000000000007</v>
      </c>
      <c r="R13" s="12">
        <f>MIN(Parameters!$C$13,MAX(0,N13+M13-Q13))</f>
        <v>9325.4723079645773</v>
      </c>
      <c r="S13" s="12">
        <f t="shared" si="5"/>
        <v>0</v>
      </c>
      <c r="T13" s="12">
        <f>(Q13*Stress_Data!C13)+(S13*Stress_Data!C13*(1-Parameters!$B$23))</f>
        <v>155891200.00000003</v>
      </c>
      <c r="V13" s="12">
        <f t="shared" si="6"/>
        <v>404426269.9028374</v>
      </c>
      <c r="W13" s="26">
        <f>W12*(1+IF(A13&lt;10,Parameters!$B$36,IF(A13&lt;=45,Parameters!$B$37,Parameters!$B$38)))</f>
        <v>1.0092055553660744</v>
      </c>
      <c r="X13" s="12">
        <f>Parameters!$B$30*W13</f>
        <v>247255361.06468821</v>
      </c>
      <c r="Y13" s="12">
        <f>(Parameters!$B$15+Parameters!$B$16*I13)*W13</f>
        <v>6055233.3321964461</v>
      </c>
      <c r="Z13" s="12">
        <f>(Parameters!$C$15+Parameters!$C$16*R13)*Stress_Scenario!W13</f>
        <v>1749091.2945393701</v>
      </c>
      <c r="AA13" s="12">
        <f t="shared" si="13"/>
        <v>255059685.69142401</v>
      </c>
      <c r="AB13" s="12">
        <f t="shared" si="7"/>
        <v>149366584.21141338</v>
      </c>
      <c r="AC13" s="6">
        <f>(1+Parameters!$B$39)^-Stress_Scenario!A13</f>
        <v>0.98183807163011949</v>
      </c>
      <c r="AD13" s="12">
        <f t="shared" si="8"/>
        <v>146653799.00811198</v>
      </c>
      <c r="AF13" s="12">
        <f t="shared" si="9"/>
        <v>0</v>
      </c>
      <c r="AG13" s="12">
        <f t="shared" si="14"/>
        <v>0</v>
      </c>
      <c r="AH13" s="12">
        <f t="shared" si="10"/>
        <v>0</v>
      </c>
      <c r="AI13" s="12">
        <f t="shared" si="11"/>
        <v>0</v>
      </c>
    </row>
    <row r="14" spans="1:35" x14ac:dyDescent="0.35">
      <c r="A14" s="5">
        <v>11</v>
      </c>
      <c r="B14" s="12">
        <f>B13*(1-Parameters!$B$9)</f>
        <v>117593.06999985877</v>
      </c>
      <c r="C14" s="21"/>
      <c r="D14" s="12">
        <f>B14*Parameters!$B$6</f>
        <v>82315.148999901125</v>
      </c>
      <c r="E14" s="12">
        <f t="shared" si="15"/>
        <v>50000</v>
      </c>
      <c r="F14" s="12">
        <f t="shared" si="1"/>
        <v>132315.14899990114</v>
      </c>
      <c r="G14" s="12">
        <f>Parameters!$B$25*Demand_Volatility!B15*Stress_Data!F14</f>
        <v>0</v>
      </c>
      <c r="H14" s="12">
        <f t="shared" si="2"/>
        <v>0</v>
      </c>
      <c r="I14" s="12">
        <f>MIN(Parameters!$B$13,MAX(0,E14+D14-H14))</f>
        <v>50000</v>
      </c>
      <c r="J14" s="12">
        <f t="shared" si="3"/>
        <v>82315.148999901139</v>
      </c>
      <c r="K14" s="12">
        <f>(H14*Stress_Data!B14*Stress_Data!D14)+(J14*Stress_Data!B14*Stress_Data!D14*(1-Parameters!$B$22))</f>
        <v>248032006.96650216</v>
      </c>
      <c r="M14" s="12">
        <f>B14*Parameters!$B$7</f>
        <v>35277.920999957627</v>
      </c>
      <c r="N14" s="12">
        <f t="shared" si="16"/>
        <v>9325.4723079645773</v>
      </c>
      <c r="O14" s="12">
        <f t="shared" si="12"/>
        <v>44603.393307922204</v>
      </c>
      <c r="P14" s="12">
        <f>Parameters!$B$26*Demand_Volatility!C15*(1+Stress_Data!E14)</f>
        <v>42176</v>
      </c>
      <c r="Q14" s="12">
        <f t="shared" si="4"/>
        <v>42176</v>
      </c>
      <c r="R14" s="12">
        <f>MIN(Parameters!$C$13,MAX(0,N14+M14-Q14))</f>
        <v>2427.3933079222043</v>
      </c>
      <c r="S14" s="12">
        <f t="shared" si="5"/>
        <v>0</v>
      </c>
      <c r="T14" s="12">
        <f>(Q14*Stress_Data!C14)+(S14*Stress_Data!C14*(1-Parameters!$B$23))</f>
        <v>160268800</v>
      </c>
      <c r="V14" s="12">
        <f t="shared" si="6"/>
        <v>408300806.96650219</v>
      </c>
      <c r="W14" s="26">
        <f>W13*(1+IF(A14&lt;10,Parameters!$B$36,IF(A14&lt;=45,Parameters!$B$37,Parameters!$B$38)))</f>
        <v>1.0108794614537311</v>
      </c>
      <c r="X14" s="12">
        <f>Parameters!$B$30*W14</f>
        <v>247665468.05616412</v>
      </c>
      <c r="Y14" s="12">
        <f>(Parameters!$B$15+Parameters!$B$16*I14)*W14</f>
        <v>6065276.7687223861</v>
      </c>
      <c r="Z14" s="12">
        <f>(Parameters!$C$15+Parameters!$C$16*R14)*Stress_Scenario!W14</f>
        <v>1577664.2431768163</v>
      </c>
      <c r="AA14" s="12">
        <f t="shared" si="13"/>
        <v>255308409.06806332</v>
      </c>
      <c r="AB14" s="12">
        <f t="shared" si="7"/>
        <v>152992397.89843887</v>
      </c>
      <c r="AC14" s="6">
        <f>(1+Parameters!$B$39)^-Stress_Scenario!A14</f>
        <v>0.98004012056373524</v>
      </c>
      <c r="AD14" s="12">
        <f t="shared" si="8"/>
        <v>149938688.08172098</v>
      </c>
      <c r="AF14" s="12">
        <f t="shared" si="9"/>
        <v>0</v>
      </c>
      <c r="AG14" s="12">
        <f t="shared" si="14"/>
        <v>0</v>
      </c>
      <c r="AH14" s="12">
        <f t="shared" si="10"/>
        <v>0</v>
      </c>
      <c r="AI14" s="12">
        <f t="shared" si="11"/>
        <v>0</v>
      </c>
    </row>
    <row r="15" spans="1:35" x14ac:dyDescent="0.35">
      <c r="A15" s="5">
        <v>12</v>
      </c>
      <c r="B15" s="12">
        <f>B14*(1-Parameters!$B$9)</f>
        <v>117355.04839948688</v>
      </c>
      <c r="C15" s="21"/>
      <c r="D15" s="12">
        <f>B15*Parameters!$B$6</f>
        <v>82148.533879640818</v>
      </c>
      <c r="E15" s="12">
        <f t="shared" si="15"/>
        <v>50000</v>
      </c>
      <c r="F15" s="12">
        <f t="shared" si="1"/>
        <v>132148.5338796408</v>
      </c>
      <c r="G15" s="12">
        <f>Parameters!$B$25*Demand_Volatility!B16*Stress_Data!F15</f>
        <v>0</v>
      </c>
      <c r="H15" s="12">
        <f t="shared" si="2"/>
        <v>0</v>
      </c>
      <c r="I15" s="12">
        <f>MIN(Parameters!$B$13,MAX(0,E15+D15-H15))</f>
        <v>50000</v>
      </c>
      <c r="J15" s="12">
        <f t="shared" si="3"/>
        <v>82148.533879640803</v>
      </c>
      <c r="K15" s="12">
        <f>(H15*Stress_Data!B15*Stress_Data!D15)+(J15*Stress_Data!B15*Stress_Data!D15*(1-Parameters!$B$22))</f>
        <v>247529962.28613371</v>
      </c>
      <c r="M15" s="12">
        <f>B15*Parameters!$B$7</f>
        <v>35206.514519846067</v>
      </c>
      <c r="N15" s="12">
        <f t="shared" si="16"/>
        <v>2427.3933079222043</v>
      </c>
      <c r="O15" s="12">
        <f t="shared" si="12"/>
        <v>37633.907827768271</v>
      </c>
      <c r="P15" s="12">
        <f>Parameters!$B$26*Demand_Volatility!C16*(1+Stress_Data!E15)</f>
        <v>40068</v>
      </c>
      <c r="Q15" s="12">
        <f t="shared" si="4"/>
        <v>37633.907827768271</v>
      </c>
      <c r="R15" s="12">
        <f>MIN(Parameters!$C$13,MAX(0,N15+M15-Q15))</f>
        <v>0</v>
      </c>
      <c r="S15" s="12">
        <f t="shared" si="5"/>
        <v>0</v>
      </c>
      <c r="T15" s="12">
        <f>(Q15*Stress_Data!C15)+(S15*Stress_Data!C15*(1-Parameters!$B$23))</f>
        <v>143008849.74551943</v>
      </c>
      <c r="V15" s="12">
        <f t="shared" si="6"/>
        <v>390538812.03165317</v>
      </c>
      <c r="W15" s="26">
        <f>W14*(1+IF(A15&lt;10,Parameters!$B$36,IF(A15&lt;=45,Parameters!$B$37,Parameters!$B$38)))</f>
        <v>1.0125561439446442</v>
      </c>
      <c r="X15" s="12">
        <f>Parameters!$B$30*W15</f>
        <v>248076255.26643783</v>
      </c>
      <c r="Y15" s="12">
        <f>(Parameters!$B$15+Parameters!$B$16*I15)*W15</f>
        <v>6075336.8636678653</v>
      </c>
      <c r="Z15" s="12">
        <f>(Parameters!$C$15+Parameters!$C$16*R15)*Stress_Scenario!W15</f>
        <v>1518834.2159169663</v>
      </c>
      <c r="AA15" s="12">
        <f t="shared" si="13"/>
        <v>255670426.34602267</v>
      </c>
      <c r="AB15" s="12">
        <f t="shared" si="7"/>
        <v>134868385.6856305</v>
      </c>
      <c r="AC15" s="6">
        <f>(1+Parameters!$B$39)^-Stress_Scenario!A15</f>
        <v>0.97824546192217154</v>
      </c>
      <c r="AD15" s="12">
        <f t="shared" si="8"/>
        <v>131934386.2537372</v>
      </c>
      <c r="AF15" s="12">
        <f t="shared" si="9"/>
        <v>0</v>
      </c>
      <c r="AG15" s="12">
        <f t="shared" si="14"/>
        <v>0</v>
      </c>
      <c r="AH15" s="12">
        <f t="shared" si="10"/>
        <v>0</v>
      </c>
      <c r="AI15" s="12">
        <f t="shared" si="11"/>
        <v>0</v>
      </c>
    </row>
    <row r="16" spans="1:35" x14ac:dyDescent="0.35">
      <c r="A16" s="5">
        <v>13</v>
      </c>
      <c r="B16" s="12">
        <f>B15*(1-Parameters!$B$9)</f>
        <v>117117.50858160647</v>
      </c>
      <c r="C16" s="21"/>
      <c r="D16" s="12">
        <f>B16*Parameters!$B$6</f>
        <v>81982.256007124524</v>
      </c>
      <c r="E16" s="12">
        <f t="shared" si="15"/>
        <v>50000</v>
      </c>
      <c r="F16" s="12">
        <f t="shared" si="1"/>
        <v>131982.25600712452</v>
      </c>
      <c r="G16" s="12">
        <f>Parameters!$B$25*Demand_Volatility!B17*Stress_Data!F16</f>
        <v>0</v>
      </c>
      <c r="H16" s="12">
        <f t="shared" si="2"/>
        <v>0</v>
      </c>
      <c r="I16" s="12">
        <f>MIN(Parameters!$B$13,MAX(0,E16+D16-H16))</f>
        <v>50000</v>
      </c>
      <c r="J16" s="12">
        <f t="shared" si="3"/>
        <v>81982.256007124524</v>
      </c>
      <c r="K16" s="12">
        <f>(H16*Stress_Data!B16*Stress_Data!D16)+(J16*Stress_Data!B16*Stress_Data!D16*(1-Parameters!$B$22))</f>
        <v>247028933.80066767</v>
      </c>
      <c r="M16" s="12">
        <f>B16*Parameters!$B$7</f>
        <v>35135.252574481936</v>
      </c>
      <c r="N16" s="12">
        <f t="shared" si="16"/>
        <v>0</v>
      </c>
      <c r="O16" s="12">
        <f t="shared" si="12"/>
        <v>35135.252574481936</v>
      </c>
      <c r="P16" s="12">
        <f>Parameters!$B$26*Demand_Volatility!C17*(1+Stress_Data!E16)</f>
        <v>39696</v>
      </c>
      <c r="Q16" s="12">
        <f t="shared" si="4"/>
        <v>35135.252574481936</v>
      </c>
      <c r="R16" s="12">
        <f>MIN(Parameters!$C$13,MAX(0,N16+M16-Q16))</f>
        <v>0</v>
      </c>
      <c r="S16" s="12">
        <f t="shared" si="5"/>
        <v>0</v>
      </c>
      <c r="T16" s="12">
        <f>(Q16*Stress_Data!C16)+(S16*Stress_Data!C16*(1-Parameters!$B$23))</f>
        <v>133513959.78303136</v>
      </c>
      <c r="V16" s="12">
        <f t="shared" si="6"/>
        <v>380542893.58369905</v>
      </c>
      <c r="W16" s="26">
        <f>W15*(1+IF(A16&lt;10,Parameters!$B$36,IF(A16&lt;=45,Parameters!$B$37,Parameters!$B$38)))</f>
        <v>1.0142356074438601</v>
      </c>
      <c r="X16" s="12">
        <f>Parameters!$B$30*W16</f>
        <v>248487723.82374573</v>
      </c>
      <c r="Y16" s="12">
        <f>(Parameters!$B$15+Parameters!$B$16*I16)*W16</f>
        <v>6085413.6446631607</v>
      </c>
      <c r="Z16" s="12">
        <f>(Parameters!$C$15+Parameters!$C$16*R16)*Stress_Scenario!W16</f>
        <v>1521353.4111657902</v>
      </c>
      <c r="AA16" s="12">
        <f t="shared" si="13"/>
        <v>256094490.87957469</v>
      </c>
      <c r="AB16" s="12">
        <f t="shared" si="7"/>
        <v>124448402.70412436</v>
      </c>
      <c r="AC16" s="6">
        <f>(1+Parameters!$B$39)^-Stress_Scenario!A16</f>
        <v>0.97645408967630998</v>
      </c>
      <c r="AD16" s="12">
        <f t="shared" si="8"/>
        <v>121518151.77412659</v>
      </c>
      <c r="AF16" s="12">
        <f t="shared" si="9"/>
        <v>0</v>
      </c>
      <c r="AG16" s="12">
        <f t="shared" si="14"/>
        <v>0</v>
      </c>
      <c r="AH16" s="12">
        <f t="shared" si="10"/>
        <v>0</v>
      </c>
      <c r="AI16" s="12">
        <f t="shared" si="11"/>
        <v>0</v>
      </c>
    </row>
    <row r="17" spans="1:35" x14ac:dyDescent="0.35">
      <c r="A17" s="5">
        <v>14</v>
      </c>
      <c r="B17" s="12">
        <f>B16*(1-Parameters!$B$9)</f>
        <v>116880.44957103555</v>
      </c>
      <c r="C17" s="21"/>
      <c r="D17" s="12">
        <f>B17*Parameters!$B$6</f>
        <v>81816.314699724884</v>
      </c>
      <c r="E17" s="12">
        <f t="shared" si="15"/>
        <v>50000</v>
      </c>
      <c r="F17" s="12">
        <f t="shared" si="1"/>
        <v>131816.3146997249</v>
      </c>
      <c r="G17" s="12">
        <f>Parameters!$B$25*Demand_Volatility!B18*Stress_Data!F17</f>
        <v>0</v>
      </c>
      <c r="H17" s="12">
        <f t="shared" si="2"/>
        <v>0</v>
      </c>
      <c r="I17" s="12">
        <f>MIN(Parameters!$B$13,MAX(0,E17+D17-H17))</f>
        <v>50000</v>
      </c>
      <c r="J17" s="12">
        <f t="shared" si="3"/>
        <v>81816.314699724899</v>
      </c>
      <c r="K17" s="12">
        <f>(H17*Stress_Data!B17*Stress_Data!D17)+(J17*Stress_Data!B17*Stress_Data!D17*(1-Parameters!$B$22))</f>
        <v>246528919.45321113</v>
      </c>
      <c r="M17" s="12">
        <f>B17*Parameters!$B$7</f>
        <v>35064.134871310664</v>
      </c>
      <c r="N17" s="12">
        <f t="shared" si="16"/>
        <v>0</v>
      </c>
      <c r="O17" s="12">
        <f t="shared" si="12"/>
        <v>35064.134871310664</v>
      </c>
      <c r="P17" s="12">
        <f>Parameters!$B$26*Demand_Volatility!C18*(1+Stress_Data!E17)</f>
        <v>41068</v>
      </c>
      <c r="Q17" s="12">
        <f t="shared" si="4"/>
        <v>35064.134871310664</v>
      </c>
      <c r="R17" s="12">
        <f>MIN(Parameters!$C$13,MAX(0,N17+M17-Q17))</f>
        <v>0</v>
      </c>
      <c r="S17" s="12">
        <f t="shared" si="5"/>
        <v>0</v>
      </c>
      <c r="T17" s="12">
        <f>(Q17*Stress_Data!C17)+(S17*Stress_Data!C17*(1-Parameters!$B$23))</f>
        <v>133243712.51098052</v>
      </c>
      <c r="V17" s="12">
        <f t="shared" si="6"/>
        <v>379772631.96419168</v>
      </c>
      <c r="W17" s="26">
        <f>W16*(1+IF(A17&lt;10,Parameters!$B$36,IF(A17&lt;=45,Parameters!$B$37,Parameters!$B$38)))</f>
        <v>1.015917856564063</v>
      </c>
      <c r="X17" s="12">
        <f>Parameters!$B$30*W17</f>
        <v>248899874.85819542</v>
      </c>
      <c r="Y17" s="12">
        <f>(Parameters!$B$15+Parameters!$B$16*I17)*W17</f>
        <v>6095507.1393843777</v>
      </c>
      <c r="Z17" s="12">
        <f>(Parameters!$C$15+Parameters!$C$16*R17)*Stress_Scenario!W17</f>
        <v>1523876.7848460944</v>
      </c>
      <c r="AA17" s="12">
        <f t="shared" si="13"/>
        <v>256519258.78242591</v>
      </c>
      <c r="AB17" s="12">
        <f t="shared" si="7"/>
        <v>123253373.18176576</v>
      </c>
      <c r="AC17" s="6">
        <f>(1+Parameters!$B$39)^-Stress_Scenario!A17</f>
        <v>0.97466599780807106</v>
      </c>
      <c r="AD17" s="12">
        <f t="shared" si="8"/>
        <v>120130871.95541628</v>
      </c>
      <c r="AF17" s="12">
        <f t="shared" si="9"/>
        <v>0</v>
      </c>
      <c r="AG17" s="12">
        <f t="shared" si="14"/>
        <v>0</v>
      </c>
      <c r="AH17" s="12">
        <f t="shared" si="10"/>
        <v>0</v>
      </c>
      <c r="AI17" s="12">
        <f t="shared" si="11"/>
        <v>0</v>
      </c>
    </row>
    <row r="18" spans="1:35" x14ac:dyDescent="0.35">
      <c r="A18" s="5">
        <v>15</v>
      </c>
      <c r="B18" s="12">
        <f>B17*(1-Parameters!$B$9)</f>
        <v>116643.87039456608</v>
      </c>
      <c r="C18" s="21"/>
      <c r="D18" s="12">
        <f>B18*Parameters!$B$6</f>
        <v>81650.709276196256</v>
      </c>
      <c r="E18" s="12">
        <f t="shared" si="15"/>
        <v>50000</v>
      </c>
      <c r="F18" s="12">
        <f t="shared" si="1"/>
        <v>131650.70927619626</v>
      </c>
      <c r="G18" s="12">
        <f>Parameters!$B$25*Demand_Volatility!B19*Stress_Data!F18</f>
        <v>0</v>
      </c>
      <c r="H18" s="12">
        <f t="shared" si="2"/>
        <v>0</v>
      </c>
      <c r="I18" s="12">
        <f>MIN(Parameters!$B$13,MAX(0,E18+D18-H18))</f>
        <v>50000</v>
      </c>
      <c r="J18" s="12">
        <f t="shared" si="3"/>
        <v>81650.709276196256</v>
      </c>
      <c r="K18" s="12">
        <f>(H18*Stress_Data!B18*Stress_Data!D18)+(J18*Stress_Data!B18*Stress_Data!D18*(1-Parameters!$B$22))</f>
        <v>246029917.19103459</v>
      </c>
      <c r="M18" s="12">
        <f>B18*Parameters!$B$7</f>
        <v>34993.161118369826</v>
      </c>
      <c r="N18" s="12">
        <f t="shared" si="16"/>
        <v>0</v>
      </c>
      <c r="O18" s="12">
        <f t="shared" si="12"/>
        <v>34993.161118369826</v>
      </c>
      <c r="P18" s="12">
        <f>Parameters!$B$26*Demand_Volatility!C19*(1+Stress_Data!E18)</f>
        <v>39096</v>
      </c>
      <c r="Q18" s="12">
        <f t="shared" si="4"/>
        <v>34993.161118369826</v>
      </c>
      <c r="R18" s="12">
        <f>MIN(Parameters!$C$13,MAX(0,N18+M18-Q18))</f>
        <v>0</v>
      </c>
      <c r="S18" s="12">
        <f t="shared" si="5"/>
        <v>0</v>
      </c>
      <c r="T18" s="12">
        <f>(Q18*Stress_Data!C18)+(S18*Stress_Data!C18*(1-Parameters!$B$23))</f>
        <v>132974012.24980535</v>
      </c>
      <c r="V18" s="12">
        <f t="shared" si="6"/>
        <v>379003929.44083995</v>
      </c>
      <c r="W18" s="26">
        <f>W17*(1+IF(A18&lt;10,Parameters!$B$36,IF(A18&lt;=45,Parameters!$B$37,Parameters!$B$38)))</f>
        <v>1.0176028959255883</v>
      </c>
      <c r="X18" s="12">
        <f>Parameters!$B$30*W18</f>
        <v>249312709.50176913</v>
      </c>
      <c r="Y18" s="12">
        <f>(Parameters!$B$15+Parameters!$B$16*I18)*W18</f>
        <v>6105617.3755535297</v>
      </c>
      <c r="Z18" s="12">
        <f>(Parameters!$C$15+Parameters!$C$16*R18)*Stress_Scenario!W18</f>
        <v>1526404.3438883824</v>
      </c>
      <c r="AA18" s="12">
        <f t="shared" si="13"/>
        <v>256944731.22121102</v>
      </c>
      <c r="AB18" s="12">
        <f t="shared" si="7"/>
        <v>122059198.21962893</v>
      </c>
      <c r="AC18" s="6">
        <f>(1+Parameters!$B$39)^-Stress_Scenario!A18</f>
        <v>0.97288118031039761</v>
      </c>
      <c r="AD18" s="12">
        <f t="shared" si="8"/>
        <v>118749096.83165337</v>
      </c>
      <c r="AF18" s="12">
        <f t="shared" si="9"/>
        <v>0</v>
      </c>
      <c r="AG18" s="12">
        <f t="shared" si="14"/>
        <v>0</v>
      </c>
      <c r="AH18" s="12">
        <f t="shared" si="10"/>
        <v>0</v>
      </c>
      <c r="AI18" s="12">
        <f t="shared" si="11"/>
        <v>0</v>
      </c>
    </row>
    <row r="19" spans="1:35" x14ac:dyDescent="0.35">
      <c r="A19" s="5">
        <v>16</v>
      </c>
      <c r="B19" s="12">
        <f>B18*(1-Parameters!$B$9)</f>
        <v>116407.77008095986</v>
      </c>
      <c r="C19" s="21"/>
      <c r="D19" s="12">
        <f>B19*Parameters!$B$6</f>
        <v>81485.439056671894</v>
      </c>
      <c r="E19" s="12">
        <f t="shared" si="15"/>
        <v>50000</v>
      </c>
      <c r="F19" s="12">
        <f t="shared" si="1"/>
        <v>131485.43905667189</v>
      </c>
      <c r="G19" s="12">
        <f>Parameters!$B$25*Demand_Volatility!B20*Stress_Data!F19</f>
        <v>0</v>
      </c>
      <c r="H19" s="12">
        <f t="shared" si="2"/>
        <v>0</v>
      </c>
      <c r="I19" s="12">
        <f>MIN(Parameters!$B$13,MAX(0,E19+D19-H19))</f>
        <v>50000</v>
      </c>
      <c r="J19" s="12">
        <f t="shared" si="3"/>
        <v>81485.439056671894</v>
      </c>
      <c r="K19" s="12">
        <f>(H19*Stress_Data!B19*Stress_Data!D19)+(J19*Stress_Data!B19*Stress_Data!D19*(1-Parameters!$B$22))</f>
        <v>245531924.9655638</v>
      </c>
      <c r="M19" s="12">
        <f>B19*Parameters!$B$7</f>
        <v>34922.33102428796</v>
      </c>
      <c r="N19" s="12">
        <f t="shared" si="16"/>
        <v>0</v>
      </c>
      <c r="O19" s="12">
        <f t="shared" si="12"/>
        <v>34922.33102428796</v>
      </c>
      <c r="P19" s="12">
        <f>Parameters!$B$26*Demand_Volatility!C20*(1+Stress_Data!E19)</f>
        <v>40008</v>
      </c>
      <c r="Q19" s="12">
        <f t="shared" si="4"/>
        <v>34922.33102428796</v>
      </c>
      <c r="R19" s="12">
        <f>MIN(Parameters!$C$13,MAX(0,N19+M19-Q19))</f>
        <v>0</v>
      </c>
      <c r="S19" s="12">
        <f t="shared" si="5"/>
        <v>0</v>
      </c>
      <c r="T19" s="12">
        <f>(Q19*Stress_Data!C19)+(S19*Stress_Data!C19*(1-Parameters!$B$23))</f>
        <v>132704857.89229424</v>
      </c>
      <c r="V19" s="12">
        <f t="shared" si="6"/>
        <v>378236782.85785806</v>
      </c>
      <c r="W19" s="26">
        <f>W18*(1+IF(A19&lt;10,Parameters!$B$36,IF(A19&lt;=45,Parameters!$B$37,Parameters!$B$38)))</f>
        <v>1.0192907301564345</v>
      </c>
      <c r="X19" s="12">
        <f>Parameters!$B$30*W19</f>
        <v>249726228.88832644</v>
      </c>
      <c r="Y19" s="12">
        <f>(Parameters!$B$15+Parameters!$B$16*I19)*W19</f>
        <v>6115744.3809386063</v>
      </c>
      <c r="Z19" s="12">
        <f>(Parameters!$C$15+Parameters!$C$16*R19)*Stress_Scenario!W19</f>
        <v>1528936.0952346516</v>
      </c>
      <c r="AA19" s="12">
        <f t="shared" si="13"/>
        <v>257370909.36449972</v>
      </c>
      <c r="AB19" s="12">
        <f t="shared" si="7"/>
        <v>120865873.49335834</v>
      </c>
      <c r="AC19" s="6">
        <f>(1+Parameters!$B$39)^-Stress_Scenario!A19</f>
        <v>0.97109963118723075</v>
      </c>
      <c r="AD19" s="12">
        <f t="shared" si="8"/>
        <v>117372805.17252278</v>
      </c>
      <c r="AF19" s="12">
        <f t="shared" si="9"/>
        <v>0</v>
      </c>
      <c r="AG19" s="12">
        <f t="shared" si="14"/>
        <v>0</v>
      </c>
      <c r="AH19" s="12">
        <f t="shared" si="10"/>
        <v>0</v>
      </c>
      <c r="AI19" s="12">
        <f t="shared" si="11"/>
        <v>0</v>
      </c>
    </row>
    <row r="20" spans="1:35" x14ac:dyDescent="0.35">
      <c r="A20" s="5">
        <v>17</v>
      </c>
      <c r="B20" s="12">
        <f>B19*(1-Parameters!$B$9)</f>
        <v>116172.14766094458</v>
      </c>
      <c r="C20" s="21"/>
      <c r="D20" s="12">
        <f>B20*Parameters!$B$6</f>
        <v>81320.503362661198</v>
      </c>
      <c r="E20" s="12">
        <f t="shared" si="15"/>
        <v>50000</v>
      </c>
      <c r="F20" s="12">
        <f t="shared" si="1"/>
        <v>131320.5033626612</v>
      </c>
      <c r="G20" s="12">
        <f>Parameters!$B$25*Demand_Volatility!B21*Stress_Data!F20</f>
        <v>0</v>
      </c>
      <c r="H20" s="12">
        <f t="shared" si="2"/>
        <v>0</v>
      </c>
      <c r="I20" s="12">
        <f>MIN(Parameters!$B$13,MAX(0,E20+D20-H20))</f>
        <v>50000</v>
      </c>
      <c r="J20" s="12">
        <f t="shared" si="3"/>
        <v>81320.503362661198</v>
      </c>
      <c r="K20" s="12">
        <f>(H20*Stress_Data!B20*Stress_Data!D20)+(J20*Stress_Data!B20*Stress_Data!D20*(1-Parameters!$B$22))</f>
        <v>245034940.73237073</v>
      </c>
      <c r="M20" s="12">
        <f>B20*Parameters!$B$7</f>
        <v>34851.644298283376</v>
      </c>
      <c r="N20" s="12">
        <f t="shared" si="16"/>
        <v>0</v>
      </c>
      <c r="O20" s="12">
        <f t="shared" si="12"/>
        <v>34851.644298283376</v>
      </c>
      <c r="P20" s="12">
        <f>Parameters!$B$26*Demand_Volatility!C21*(1+Stress_Data!E20)</f>
        <v>40384</v>
      </c>
      <c r="Q20" s="12">
        <f t="shared" si="4"/>
        <v>34851.644298283376</v>
      </c>
      <c r="R20" s="12">
        <f>MIN(Parameters!$C$13,MAX(0,N20+M20-Q20))</f>
        <v>0</v>
      </c>
      <c r="S20" s="12">
        <f t="shared" si="5"/>
        <v>0</v>
      </c>
      <c r="T20" s="12">
        <f>(Q20*Stress_Data!C20)+(S20*Stress_Data!C20*(1-Parameters!$B$23))</f>
        <v>132436248.33347683</v>
      </c>
      <c r="V20" s="12">
        <f t="shared" si="6"/>
        <v>377471189.06584758</v>
      </c>
      <c r="W20" s="26">
        <f>W19*(1+IF(A20&lt;10,Parameters!$B$36,IF(A20&lt;=45,Parameters!$B$37,Parameters!$B$38)))</f>
        <v>1.0209813638922762</v>
      </c>
      <c r="X20" s="12">
        <f>Parameters!$B$30*W20</f>
        <v>250140434.15360767</v>
      </c>
      <c r="Y20" s="12">
        <f>(Parameters!$B$15+Parameters!$B$16*I20)*W20</f>
        <v>6125888.1833536569</v>
      </c>
      <c r="Z20" s="12">
        <f>(Parameters!$C$15+Parameters!$C$16*R20)*Stress_Scenario!W20</f>
        <v>1531472.0458384142</v>
      </c>
      <c r="AA20" s="12">
        <f t="shared" si="13"/>
        <v>257797794.38279974</v>
      </c>
      <c r="AB20" s="12">
        <f t="shared" si="7"/>
        <v>119673394.68304783</v>
      </c>
      <c r="AC20" s="6">
        <f>(1+Parameters!$B$39)^-Stress_Scenario!A20</f>
        <v>0.96932134445349305</v>
      </c>
      <c r="AD20" s="12">
        <f t="shared" si="8"/>
        <v>116001975.82948543</v>
      </c>
      <c r="AF20" s="12">
        <f t="shared" si="9"/>
        <v>0</v>
      </c>
      <c r="AG20" s="12">
        <f t="shared" si="14"/>
        <v>0</v>
      </c>
      <c r="AH20" s="12">
        <f t="shared" si="10"/>
        <v>0</v>
      </c>
      <c r="AI20" s="12">
        <f t="shared" si="11"/>
        <v>0</v>
      </c>
    </row>
    <row r="21" spans="1:35" x14ac:dyDescent="0.35">
      <c r="A21" s="5">
        <v>18</v>
      </c>
      <c r="B21" s="12">
        <f>B20*(1-Parameters!$B$9)</f>
        <v>115937.00216720987</v>
      </c>
      <c r="C21" s="21"/>
      <c r="D21" s="12">
        <f>B21*Parameters!$B$6</f>
        <v>81155.901517046907</v>
      </c>
      <c r="E21" s="12">
        <f t="shared" si="15"/>
        <v>50000</v>
      </c>
      <c r="F21" s="12">
        <f t="shared" si="1"/>
        <v>131155.90151704691</v>
      </c>
      <c r="G21" s="12">
        <f>Parameters!$B$25*Demand_Volatility!B22*Stress_Data!F21</f>
        <v>0</v>
      </c>
      <c r="H21" s="12">
        <f t="shared" si="2"/>
        <v>0</v>
      </c>
      <c r="I21" s="12">
        <f>MIN(Parameters!$B$13,MAX(0,E21+D21-H21))</f>
        <v>50000</v>
      </c>
      <c r="J21" s="12">
        <f t="shared" si="3"/>
        <v>81155.901517046907</v>
      </c>
      <c r="K21" s="12">
        <f>(H21*Stress_Data!B21*Stress_Data!D21)+(J21*Stress_Data!B21*Stress_Data!D21*(1-Parameters!$B$22))</f>
        <v>244538962.45116577</v>
      </c>
      <c r="M21" s="12">
        <f>B21*Parameters!$B$7</f>
        <v>34781.10065016296</v>
      </c>
      <c r="N21" s="12">
        <f t="shared" si="16"/>
        <v>0</v>
      </c>
      <c r="O21" s="12">
        <f t="shared" si="12"/>
        <v>34781.10065016296</v>
      </c>
      <c r="P21" s="12">
        <f>Parameters!$B$26*Demand_Volatility!C22*(1+Stress_Data!E21)</f>
        <v>40124.000000000007</v>
      </c>
      <c r="Q21" s="12">
        <f t="shared" si="4"/>
        <v>34781.10065016296</v>
      </c>
      <c r="R21" s="12">
        <f>MIN(Parameters!$C$13,MAX(0,N21+M21-Q21))</f>
        <v>0</v>
      </c>
      <c r="S21" s="12">
        <f t="shared" si="5"/>
        <v>0</v>
      </c>
      <c r="T21" s="12">
        <f>(Q21*Stress_Data!C21)+(S21*Stress_Data!C21*(1-Parameters!$B$23))</f>
        <v>132168182.47061925</v>
      </c>
      <c r="V21" s="12">
        <f t="shared" si="6"/>
        <v>376707144.921785</v>
      </c>
      <c r="W21" s="26">
        <f>W20*(1+IF(A21&lt;10,Parameters!$B$36,IF(A21&lt;=45,Parameters!$B$37,Parameters!$B$38)))</f>
        <v>1.0226748017764775</v>
      </c>
      <c r="X21" s="12">
        <f>Parameters!$B$30*W21</f>
        <v>250555326.43523699</v>
      </c>
      <c r="Y21" s="12">
        <f>(Parameters!$B$15+Parameters!$B$16*I21)*W21</f>
        <v>6136048.8106588647</v>
      </c>
      <c r="Z21" s="12">
        <f>(Parameters!$C$15+Parameters!$C$16*R21)*Stress_Scenario!W21</f>
        <v>1534012.2026647162</v>
      </c>
      <c r="AA21" s="12">
        <f t="shared" si="13"/>
        <v>258225387.44856057</v>
      </c>
      <c r="AB21" s="12">
        <f t="shared" si="7"/>
        <v>118481757.47322443</v>
      </c>
      <c r="AC21" s="6">
        <f>(1+Parameters!$B$39)^-Stress_Scenario!A21</f>
        <v>0.96754631413506609</v>
      </c>
      <c r="AD21" s="12">
        <f t="shared" si="8"/>
        <v>114636587.73546311</v>
      </c>
      <c r="AF21" s="12">
        <f t="shared" si="9"/>
        <v>0</v>
      </c>
      <c r="AG21" s="12">
        <f t="shared" si="14"/>
        <v>0</v>
      </c>
      <c r="AH21" s="12">
        <f t="shared" si="10"/>
        <v>0</v>
      </c>
      <c r="AI21" s="12">
        <f t="shared" si="11"/>
        <v>0</v>
      </c>
    </row>
    <row r="22" spans="1:35" x14ac:dyDescent="0.35">
      <c r="A22" s="5">
        <v>19</v>
      </c>
      <c r="B22" s="12">
        <f>B21*(1-Parameters!$B$9)</f>
        <v>115702.33263440328</v>
      </c>
      <c r="C22" s="21"/>
      <c r="D22" s="12">
        <f>B22*Parameters!$B$6</f>
        <v>80991.632844082298</v>
      </c>
      <c r="E22" s="12">
        <f t="shared" si="15"/>
        <v>50000</v>
      </c>
      <c r="F22" s="12">
        <f t="shared" si="1"/>
        <v>130991.6328440823</v>
      </c>
      <c r="G22" s="12">
        <f>Parameters!$B$25*Demand_Volatility!B23*Stress_Data!F22</f>
        <v>0</v>
      </c>
      <c r="H22" s="12">
        <f t="shared" si="2"/>
        <v>0</v>
      </c>
      <c r="I22" s="12">
        <f>MIN(Parameters!$B$13,MAX(0,E22+D22-H22))</f>
        <v>50000</v>
      </c>
      <c r="J22" s="12">
        <f t="shared" si="3"/>
        <v>80991.632844082298</v>
      </c>
      <c r="K22" s="12">
        <f>(H22*Stress_Data!B22*Stress_Data!D22)+(J22*Stress_Data!B22*Stress_Data!D22*(1-Parameters!$B$22))</f>
        <v>244043988.08578885</v>
      </c>
      <c r="M22" s="12">
        <f>B22*Parameters!$B$7</f>
        <v>34710.699790320985</v>
      </c>
      <c r="N22" s="12">
        <f t="shared" si="16"/>
        <v>0</v>
      </c>
      <c r="O22" s="12">
        <f t="shared" si="12"/>
        <v>34710.699790320985</v>
      </c>
      <c r="P22" s="12">
        <f>Parameters!$B$26*Demand_Volatility!C23*(1+Stress_Data!E22)</f>
        <v>43108</v>
      </c>
      <c r="Q22" s="12">
        <f t="shared" si="4"/>
        <v>34710.699790320985</v>
      </c>
      <c r="R22" s="12">
        <f>MIN(Parameters!$C$13,MAX(0,N22+M22-Q22))</f>
        <v>0</v>
      </c>
      <c r="S22" s="12">
        <f t="shared" si="5"/>
        <v>0</v>
      </c>
      <c r="T22" s="12">
        <f>(Q22*Stress_Data!C22)+(S22*Stress_Data!C22*(1-Parameters!$B$23))</f>
        <v>131900659.20321974</v>
      </c>
      <c r="V22" s="12">
        <f t="shared" si="6"/>
        <v>375944647.28900862</v>
      </c>
      <c r="W22" s="26">
        <f>W21*(1+IF(A22&lt;10,Parameters!$B$36,IF(A22&lt;=45,Parameters!$B$37,Parameters!$B$38)))</f>
        <v>1.0243710484601036</v>
      </c>
      <c r="X22" s="12">
        <f>Parameters!$B$30*W22</f>
        <v>250970906.8727254</v>
      </c>
      <c r="Y22" s="12">
        <f>(Parameters!$B$15+Parameters!$B$16*I22)*W22</f>
        <v>6146226.2907606214</v>
      </c>
      <c r="Z22" s="12">
        <f>(Parameters!$C$15+Parameters!$C$16*R22)*Stress_Scenario!W22</f>
        <v>1536556.5726901554</v>
      </c>
      <c r="AA22" s="12">
        <f t="shared" si="13"/>
        <v>258653689.73617616</v>
      </c>
      <c r="AB22" s="12">
        <f t="shared" si="7"/>
        <v>117290957.55283245</v>
      </c>
      <c r="AC22" s="6">
        <f>(1+Parameters!$B$39)^-Stress_Scenario!A22</f>
        <v>0.96577453426877191</v>
      </c>
      <c r="AD22" s="12">
        <f t="shared" si="8"/>
        <v>113276619.90452506</v>
      </c>
      <c r="AF22" s="12">
        <f t="shared" si="9"/>
        <v>0</v>
      </c>
      <c r="AG22" s="12">
        <f t="shared" si="14"/>
        <v>0</v>
      </c>
      <c r="AH22" s="12">
        <f t="shared" si="10"/>
        <v>0</v>
      </c>
      <c r="AI22" s="12">
        <f t="shared" si="11"/>
        <v>0</v>
      </c>
    </row>
    <row r="23" spans="1:35" x14ac:dyDescent="0.35">
      <c r="A23" s="5">
        <v>20</v>
      </c>
      <c r="B23" s="12">
        <f>B22*(1-Parameters!$B$9)</f>
        <v>115468.13809912639</v>
      </c>
      <c r="C23" s="21"/>
      <c r="D23" s="12">
        <f>B23*Parameters!$B$6</f>
        <v>80827.696669388461</v>
      </c>
      <c r="E23" s="12">
        <f t="shared" si="15"/>
        <v>50000</v>
      </c>
      <c r="F23" s="12">
        <f t="shared" si="1"/>
        <v>130827.69666938846</v>
      </c>
      <c r="G23" s="12">
        <f>Parameters!$B$25*Demand_Volatility!B24*Stress_Data!F23</f>
        <v>0</v>
      </c>
      <c r="H23" s="12">
        <f t="shared" si="2"/>
        <v>0</v>
      </c>
      <c r="I23" s="12">
        <f>MIN(Parameters!$B$13,MAX(0,E23+D23-H23))</f>
        <v>50000</v>
      </c>
      <c r="J23" s="12">
        <f t="shared" si="3"/>
        <v>80827.696669388461</v>
      </c>
      <c r="K23" s="12">
        <f>(H23*Stress_Data!B23*Stress_Data!D23)+(J23*Stress_Data!B23*Stress_Data!D23*(1-Parameters!$B$22))</f>
        <v>243550015.60420135</v>
      </c>
      <c r="M23" s="12">
        <f>B23*Parameters!$B$7</f>
        <v>34640.441429737912</v>
      </c>
      <c r="N23" s="12">
        <f t="shared" si="16"/>
        <v>0</v>
      </c>
      <c r="O23" s="12">
        <f t="shared" si="12"/>
        <v>34640.441429737912</v>
      </c>
      <c r="P23" s="12">
        <f>Parameters!$B$26*Demand_Volatility!C24*(1+Stress_Data!E23)</f>
        <v>39484</v>
      </c>
      <c r="Q23" s="12">
        <f t="shared" si="4"/>
        <v>34640.441429737912</v>
      </c>
      <c r="R23" s="12">
        <f>MIN(Parameters!$C$13,MAX(0,N23+M23-Q23))</f>
        <v>0</v>
      </c>
      <c r="S23" s="12">
        <f t="shared" si="5"/>
        <v>0</v>
      </c>
      <c r="T23" s="12">
        <f>(Q23*Stress_Data!C23)+(S23*Stress_Data!C23*(1-Parameters!$B$23))</f>
        <v>131633677.43300407</v>
      </c>
      <c r="V23" s="12">
        <f t="shared" si="6"/>
        <v>375183693.0372054</v>
      </c>
      <c r="W23" s="26">
        <f>W22*(1+IF(A23&lt;10,Parameters!$B$36,IF(A23&lt;=45,Parameters!$B$37,Parameters!$B$38)))</f>
        <v>1.0260701086019344</v>
      </c>
      <c r="X23" s="12">
        <f>Parameters!$B$30*W23</f>
        <v>251387176.60747391</v>
      </c>
      <c r="Y23" s="12">
        <f>(Parameters!$B$15+Parameters!$B$16*I23)*W23</f>
        <v>6156420.6516116066</v>
      </c>
      <c r="Z23" s="12">
        <f>(Parameters!$C$15+Parameters!$C$16*R23)*Stress_Scenario!W23</f>
        <v>1539105.1629029016</v>
      </c>
      <c r="AA23" s="12">
        <f t="shared" si="13"/>
        <v>259082702.4219884</v>
      </c>
      <c r="AB23" s="12">
        <f t="shared" si="7"/>
        <v>116100990.615217</v>
      </c>
      <c r="AC23" s="6">
        <f>(1+Parameters!$B$39)^-Stress_Scenario!A23</f>
        <v>0.96400599890235172</v>
      </c>
      <c r="AD23" s="12">
        <f t="shared" si="8"/>
        <v>111922051.43157482</v>
      </c>
      <c r="AF23" s="12">
        <f t="shared" si="9"/>
        <v>0</v>
      </c>
      <c r="AG23" s="12">
        <f t="shared" si="14"/>
        <v>0</v>
      </c>
      <c r="AH23" s="12">
        <f t="shared" si="10"/>
        <v>0</v>
      </c>
      <c r="AI23" s="12">
        <f t="shared" si="11"/>
        <v>0</v>
      </c>
    </row>
    <row r="24" spans="1:35" x14ac:dyDescent="0.35">
      <c r="A24" s="5">
        <v>21</v>
      </c>
      <c r="B24" s="12">
        <f>B23*(1-Parameters!$B$9)</f>
        <v>115234.41759993073</v>
      </c>
      <c r="C24" s="21"/>
      <c r="D24" s="12">
        <f>B24*Parameters!$B$6</f>
        <v>80664.092319951509</v>
      </c>
      <c r="E24" s="12">
        <f t="shared" si="15"/>
        <v>50000</v>
      </c>
      <c r="F24" s="12">
        <f t="shared" si="1"/>
        <v>130664.09231995151</v>
      </c>
      <c r="G24" s="12">
        <f>Parameters!$B$25*Demand_Volatility!B25*Stress_Data!F24</f>
        <v>0</v>
      </c>
      <c r="H24" s="12">
        <f t="shared" si="2"/>
        <v>0</v>
      </c>
      <c r="I24" s="12">
        <f>MIN(Parameters!$B$13,MAX(0,E24+D24-H24))</f>
        <v>50000</v>
      </c>
      <c r="J24" s="12">
        <f t="shared" si="3"/>
        <v>80664.092319951509</v>
      </c>
      <c r="K24" s="12">
        <f>(H24*Stress_Data!B24*Stress_Data!D24)+(J24*Stress_Data!B24*Stress_Data!D24*(1-Parameters!$B$22))</f>
        <v>243057042.97847793</v>
      </c>
      <c r="M24" s="12">
        <f>B24*Parameters!$B$7</f>
        <v>34570.325279979217</v>
      </c>
      <c r="N24" s="12">
        <f t="shared" si="16"/>
        <v>0</v>
      </c>
      <c r="O24" s="12">
        <f t="shared" si="12"/>
        <v>34570.325279979217</v>
      </c>
      <c r="P24" s="12">
        <f>Parameters!$B$26*Demand_Volatility!C25*(1+Stress_Data!E24)</f>
        <v>40000</v>
      </c>
      <c r="Q24" s="12">
        <f t="shared" si="4"/>
        <v>34570.325279979217</v>
      </c>
      <c r="R24" s="12">
        <f>MIN(Parameters!$C$13,MAX(0,N24+M24-Q24))</f>
        <v>0</v>
      </c>
      <c r="S24" s="12">
        <f t="shared" si="5"/>
        <v>0</v>
      </c>
      <c r="T24" s="12">
        <f>(Q24*Stress_Data!C24)+(S24*Stress_Data!C24*(1-Parameters!$B$23))</f>
        <v>131367236.06392102</v>
      </c>
      <c r="V24" s="12">
        <f t="shared" si="6"/>
        <v>374424279.04239893</v>
      </c>
      <c r="W24" s="26">
        <f>W23*(1+IF(A24&lt;10,Parameters!$B$36,IF(A24&lt;=45,Parameters!$B$37,Parameters!$B$38)))</f>
        <v>1.0277719868684767</v>
      </c>
      <c r="X24" s="12">
        <f>Parameters!$B$30*W24</f>
        <v>251804136.7827768</v>
      </c>
      <c r="Y24" s="12">
        <f>(Parameters!$B$15+Parameters!$B$16*I24)*W24</f>
        <v>6166631.9212108599</v>
      </c>
      <c r="Z24" s="12">
        <f>(Parameters!$C$15+Parameters!$C$16*R24)*Stress_Scenario!W24</f>
        <v>1541657.980302715</v>
      </c>
      <c r="AA24" s="12">
        <f t="shared" si="13"/>
        <v>259512426.68429038</v>
      </c>
      <c r="AB24" s="12">
        <f t="shared" si="7"/>
        <v>114911852.35810855</v>
      </c>
      <c r="AC24" s="6">
        <f>(1+Parameters!$B$39)^-Stress_Scenario!A24</f>
        <v>0.96224070209444779</v>
      </c>
      <c r="AD24" s="12">
        <f t="shared" si="8"/>
        <v>110572861.4920399</v>
      </c>
      <c r="AF24" s="12">
        <f t="shared" si="9"/>
        <v>0</v>
      </c>
      <c r="AG24" s="12">
        <f t="shared" si="14"/>
        <v>0</v>
      </c>
      <c r="AH24" s="12">
        <f t="shared" si="10"/>
        <v>0</v>
      </c>
      <c r="AI24" s="12">
        <f t="shared" si="11"/>
        <v>0</v>
      </c>
    </row>
    <row r="25" spans="1:35" x14ac:dyDescent="0.35">
      <c r="A25" s="5">
        <v>22</v>
      </c>
      <c r="B25" s="12">
        <f>B24*(1-Parameters!$B$9)</f>
        <v>115001.17017731398</v>
      </c>
      <c r="C25" s="21"/>
      <c r="D25" s="12">
        <f>B25*Parameters!$B$6</f>
        <v>80500.819124119778</v>
      </c>
      <c r="E25" s="12">
        <f t="shared" si="15"/>
        <v>50000</v>
      </c>
      <c r="F25" s="12">
        <f t="shared" si="1"/>
        <v>130500.81912411978</v>
      </c>
      <c r="G25" s="12">
        <f>Parameters!$B$25*Demand_Volatility!B26*Stress_Data!F25</f>
        <v>0</v>
      </c>
      <c r="H25" s="12">
        <f t="shared" si="2"/>
        <v>0</v>
      </c>
      <c r="I25" s="12">
        <f>MIN(Parameters!$B$13,MAX(0,E25+D25-H25))</f>
        <v>50000</v>
      </c>
      <c r="J25" s="12">
        <f t="shared" si="3"/>
        <v>80500.819124119778</v>
      </c>
      <c r="K25" s="12">
        <f>(H25*Stress_Data!B25*Stress_Data!D25)+(J25*Stress_Data!B25*Stress_Data!D25*(1-Parameters!$B$22))</f>
        <v>242565068.1847977</v>
      </c>
      <c r="M25" s="12">
        <f>B25*Parameters!$B$7</f>
        <v>34500.351053194194</v>
      </c>
      <c r="N25" s="12">
        <f t="shared" si="16"/>
        <v>0</v>
      </c>
      <c r="O25" s="12">
        <f t="shared" si="12"/>
        <v>34500.351053194194</v>
      </c>
      <c r="P25" s="12">
        <f>Parameters!$B$26*Demand_Volatility!C26*(1+Stress_Data!E25)</f>
        <v>41887.999999999993</v>
      </c>
      <c r="Q25" s="12">
        <f t="shared" si="4"/>
        <v>34500.351053194194</v>
      </c>
      <c r="R25" s="12">
        <f>MIN(Parameters!$C$13,MAX(0,N25+M25-Q25))</f>
        <v>0</v>
      </c>
      <c r="S25" s="12">
        <f t="shared" si="5"/>
        <v>0</v>
      </c>
      <c r="T25" s="12">
        <f>(Q25*Stress_Data!C25)+(S25*Stress_Data!C25*(1-Parameters!$B$23))</f>
        <v>131101334.00213793</v>
      </c>
      <c r="V25" s="12">
        <f t="shared" si="6"/>
        <v>373666402.18693566</v>
      </c>
      <c r="W25" s="26">
        <f>W24*(1+IF(A25&lt;10,Parameters!$B$36,IF(A25&lt;=45,Parameters!$B$37,Parameters!$B$38)))</f>
        <v>1.0294766879339778</v>
      </c>
      <c r="X25" s="12">
        <f>Parameters!$B$30*W25</f>
        <v>252221788.54382458</v>
      </c>
      <c r="Y25" s="12">
        <f>(Parameters!$B$15+Parameters!$B$16*I25)*W25</f>
        <v>6176860.1276038671</v>
      </c>
      <c r="Z25" s="12">
        <f>(Parameters!$C$15+Parameters!$C$16*R25)*Stress_Scenario!W25</f>
        <v>1544215.0319009668</v>
      </c>
      <c r="AA25" s="12">
        <f t="shared" si="13"/>
        <v>259942863.70332941</v>
      </c>
      <c r="AB25" s="12">
        <f t="shared" si="7"/>
        <v>113723538.48360625</v>
      </c>
      <c r="AC25" s="6">
        <f>(1+Parameters!$B$39)^-Stress_Scenario!A25</f>
        <v>0.96047863791458055</v>
      </c>
      <c r="AD25" s="12">
        <f t="shared" si="8"/>
        <v>109229029.34156051</v>
      </c>
      <c r="AF25" s="12">
        <f t="shared" si="9"/>
        <v>0</v>
      </c>
      <c r="AG25" s="12">
        <f t="shared" si="14"/>
        <v>0</v>
      </c>
      <c r="AH25" s="12">
        <f t="shared" si="10"/>
        <v>0</v>
      </c>
      <c r="AI25" s="12">
        <f t="shared" si="11"/>
        <v>0</v>
      </c>
    </row>
    <row r="26" spans="1:35" x14ac:dyDescent="0.35">
      <c r="A26" s="5">
        <v>23</v>
      </c>
      <c r="B26" s="12">
        <f>B25*(1-Parameters!$B$9)</f>
        <v>114768.39487371592</v>
      </c>
      <c r="C26" s="21"/>
      <c r="D26" s="12">
        <f>B26*Parameters!$B$6</f>
        <v>80337.876411601144</v>
      </c>
      <c r="E26" s="12">
        <f t="shared" si="15"/>
        <v>50000</v>
      </c>
      <c r="F26" s="12">
        <f t="shared" si="1"/>
        <v>130337.87641160114</v>
      </c>
      <c r="G26" s="12">
        <f>Parameters!$B$25*Demand_Volatility!B27*Stress_Data!F26</f>
        <v>0</v>
      </c>
      <c r="H26" s="12">
        <f t="shared" si="2"/>
        <v>0</v>
      </c>
      <c r="I26" s="12">
        <f>MIN(Parameters!$B$13,MAX(0,E26+D26-H26))</f>
        <v>50000</v>
      </c>
      <c r="J26" s="12">
        <f t="shared" si="3"/>
        <v>80337.876411601144</v>
      </c>
      <c r="K26" s="12">
        <f>(H26*Stress_Data!B26*Stress_Data!D26)+(J26*Stress_Data!B26*Stress_Data!D26*(1-Parameters!$B$22))</f>
        <v>242074089.20343661</v>
      </c>
      <c r="M26" s="12">
        <f>B26*Parameters!$B$7</f>
        <v>34430.518462114778</v>
      </c>
      <c r="N26" s="12">
        <f t="shared" si="16"/>
        <v>0</v>
      </c>
      <c r="O26" s="12">
        <f t="shared" si="12"/>
        <v>34430.518462114778</v>
      </c>
      <c r="P26" s="12">
        <f>Parameters!$B$26*Demand_Volatility!C27*(1+Stress_Data!E26)</f>
        <v>39820</v>
      </c>
      <c r="Q26" s="12">
        <f t="shared" si="4"/>
        <v>34430.518462114778</v>
      </c>
      <c r="R26" s="12">
        <f>MIN(Parameters!$C$13,MAX(0,N26+M26-Q26))</f>
        <v>0</v>
      </c>
      <c r="S26" s="12">
        <f t="shared" si="5"/>
        <v>0</v>
      </c>
      <c r="T26" s="12">
        <f>(Q26*Stress_Data!C26)+(S26*Stress_Data!C26*(1-Parameters!$B$23))</f>
        <v>130835970.15603615</v>
      </c>
      <c r="V26" s="12">
        <f t="shared" si="6"/>
        <v>372910059.35947275</v>
      </c>
      <c r="W26" s="26">
        <f>W25*(1+IF(A26&lt;10,Parameters!$B$36,IF(A26&lt;=45,Parameters!$B$37,Parameters!$B$38)))</f>
        <v>1.0311842164804377</v>
      </c>
      <c r="X26" s="12">
        <f>Parameters!$B$30*W26</f>
        <v>252640133.03770724</v>
      </c>
      <c r="Y26" s="12">
        <f>(Parameters!$B$15+Parameters!$B$16*I26)*W26</f>
        <v>6187105.298882626</v>
      </c>
      <c r="Z26" s="12">
        <f>(Parameters!$C$15+Parameters!$C$16*R26)*Stress_Scenario!W26</f>
        <v>1546776.3247206565</v>
      </c>
      <c r="AA26" s="12">
        <f t="shared" si="13"/>
        <v>260374014.66131052</v>
      </c>
      <c r="AB26" s="12">
        <f t="shared" si="7"/>
        <v>112536044.69816223</v>
      </c>
      <c r="AC26" s="6">
        <f>(1+Parameters!$B$39)^-Stress_Scenario!A26</f>
        <v>0.95871980044313199</v>
      </c>
      <c r="AD26" s="12">
        <f t="shared" si="8"/>
        <v>107890534.31568147</v>
      </c>
      <c r="AF26" s="12">
        <f t="shared" si="9"/>
        <v>0</v>
      </c>
      <c r="AG26" s="12">
        <f t="shared" si="14"/>
        <v>0</v>
      </c>
      <c r="AH26" s="12">
        <f t="shared" si="10"/>
        <v>0</v>
      </c>
      <c r="AI26" s="12">
        <f t="shared" si="11"/>
        <v>0</v>
      </c>
    </row>
    <row r="27" spans="1:35" x14ac:dyDescent="0.35">
      <c r="A27" s="5">
        <v>24</v>
      </c>
      <c r="B27" s="12">
        <f>B26*(1-Parameters!$B$9)</f>
        <v>114536.09073351457</v>
      </c>
      <c r="C27" s="21"/>
      <c r="D27" s="12">
        <f>B27*Parameters!$B$6</f>
        <v>80175.263513460202</v>
      </c>
      <c r="E27" s="12">
        <f t="shared" si="15"/>
        <v>50000</v>
      </c>
      <c r="F27" s="12">
        <f t="shared" si="1"/>
        <v>130175.2635134602</v>
      </c>
      <c r="G27" s="12">
        <f>Parameters!$B$25*Demand_Volatility!B28*Stress_Data!F27</f>
        <v>0</v>
      </c>
      <c r="H27" s="12">
        <f t="shared" si="2"/>
        <v>0</v>
      </c>
      <c r="I27" s="12">
        <f>MIN(Parameters!$B$13,MAX(0,E27+D27-H27))</f>
        <v>50000</v>
      </c>
      <c r="J27" s="12">
        <f t="shared" si="3"/>
        <v>80175.263513460202</v>
      </c>
      <c r="K27" s="12">
        <f>(H27*Stress_Data!B27*Stress_Data!D27)+(J27*Stress_Data!B27*Stress_Data!D27*(1-Parameters!$B$22))</f>
        <v>241584104.01875833</v>
      </c>
      <c r="M27" s="12">
        <f>B27*Parameters!$B$7</f>
        <v>34360.827220054372</v>
      </c>
      <c r="N27" s="12">
        <f t="shared" si="16"/>
        <v>0</v>
      </c>
      <c r="O27" s="12">
        <f t="shared" si="12"/>
        <v>34360.827220054372</v>
      </c>
      <c r="P27" s="12">
        <f>Parameters!$B$26*Demand_Volatility!C28*(1+Stress_Data!E27)</f>
        <v>41036</v>
      </c>
      <c r="Q27" s="12">
        <f t="shared" si="4"/>
        <v>34360.827220054372</v>
      </c>
      <c r="R27" s="12">
        <f>MIN(Parameters!$C$13,MAX(0,N27+M27-Q27))</f>
        <v>0</v>
      </c>
      <c r="S27" s="12">
        <f t="shared" si="5"/>
        <v>0</v>
      </c>
      <c r="T27" s="12">
        <f>(Q27*Stress_Data!C27)+(S27*Stress_Data!C27*(1-Parameters!$B$23))</f>
        <v>130571143.43620661</v>
      </c>
      <c r="V27" s="12">
        <f t="shared" si="6"/>
        <v>372155247.45496494</v>
      </c>
      <c r="W27" s="26">
        <f>W26*(1+IF(A27&lt;10,Parameters!$B$36,IF(A27&lt;=45,Parameters!$B$37,Parameters!$B$38)))</f>
        <v>1.0328945771976219</v>
      </c>
      <c r="X27" s="12">
        <f>Parameters!$B$30*W27</f>
        <v>253059171.41341737</v>
      </c>
      <c r="Y27" s="12">
        <f>(Parameters!$B$15+Parameters!$B$16*I27)*W27</f>
        <v>6197367.4631857313</v>
      </c>
      <c r="Z27" s="12">
        <f>(Parameters!$C$15+Parameters!$C$16*R27)*Stress_Scenario!W27</f>
        <v>1549341.8657964328</v>
      </c>
      <c r="AA27" s="12">
        <f t="shared" si="13"/>
        <v>260805880.74239954</v>
      </c>
      <c r="AB27" s="12">
        <f t="shared" si="7"/>
        <v>111349366.71256539</v>
      </c>
      <c r="AC27" s="6">
        <f>(1+Parameters!$B$39)^-Stress_Scenario!A27</f>
        <v>0.95696418377132286</v>
      </c>
      <c r="AD27" s="12">
        <f t="shared" si="8"/>
        <v>106557355.82954384</v>
      </c>
      <c r="AF27" s="12">
        <f t="shared" si="9"/>
        <v>0</v>
      </c>
      <c r="AG27" s="12">
        <f t="shared" si="14"/>
        <v>0</v>
      </c>
      <c r="AH27" s="12">
        <f t="shared" si="10"/>
        <v>0</v>
      </c>
      <c r="AI27" s="12">
        <f t="shared" si="11"/>
        <v>0</v>
      </c>
    </row>
    <row r="28" spans="1:35" x14ac:dyDescent="0.35">
      <c r="A28" s="5">
        <v>25</v>
      </c>
      <c r="B28" s="12">
        <f>B27*(1-Parameters!$B$9)</f>
        <v>114304.25680302222</v>
      </c>
      <c r="C28" s="21"/>
      <c r="D28" s="12">
        <f>B28*Parameters!$B$6</f>
        <v>80012.979762115545</v>
      </c>
      <c r="E28" s="12">
        <f t="shared" si="15"/>
        <v>50000</v>
      </c>
      <c r="F28" s="12">
        <f t="shared" si="1"/>
        <v>130012.97976211554</v>
      </c>
      <c r="G28" s="12">
        <f>Parameters!$B$25*Demand_Volatility!B29*Stress_Data!F28</f>
        <v>0</v>
      </c>
      <c r="H28" s="12">
        <f t="shared" si="2"/>
        <v>0</v>
      </c>
      <c r="I28" s="12">
        <f>MIN(Parameters!$B$13,MAX(0,E28+D28-H28))</f>
        <v>50000</v>
      </c>
      <c r="J28" s="12">
        <f t="shared" si="3"/>
        <v>80012.979762115545</v>
      </c>
      <c r="K28" s="12">
        <f>(H28*Stress_Data!B28*Stress_Data!D28)+(J28*Stress_Data!B28*Stress_Data!D28*(1-Parameters!$B$22))</f>
        <v>241095110.61920661</v>
      </c>
      <c r="M28" s="12">
        <f>B28*Parameters!$B$7</f>
        <v>34291.277040906665</v>
      </c>
      <c r="N28" s="12">
        <f t="shared" si="16"/>
        <v>0</v>
      </c>
      <c r="O28" s="12">
        <f t="shared" si="12"/>
        <v>34291.277040906665</v>
      </c>
      <c r="P28" s="12">
        <f>Parameters!$B$26*Demand_Volatility!C29*(1+Stress_Data!E28)</f>
        <v>41320</v>
      </c>
      <c r="Q28" s="12">
        <f t="shared" si="4"/>
        <v>34291.277040906665</v>
      </c>
      <c r="R28" s="12">
        <f>MIN(Parameters!$C$13,MAX(0,N28+M28-Q28))</f>
        <v>0</v>
      </c>
      <c r="S28" s="12">
        <f t="shared" si="5"/>
        <v>0</v>
      </c>
      <c r="T28" s="12">
        <f>(Q28*Stress_Data!C28)+(S28*Stress_Data!C28*(1-Parameters!$B$23))</f>
        <v>130306852.75544533</v>
      </c>
      <c r="V28" s="12">
        <f t="shared" si="6"/>
        <v>371401963.37465191</v>
      </c>
      <c r="W28" s="26">
        <f>W27*(1+IF(A28&lt;10,Parameters!$B$36,IF(A28&lt;=45,Parameters!$B$37,Parameters!$B$38)))</f>
        <v>1.0346077747830746</v>
      </c>
      <c r="X28" s="12">
        <f>Parameters!$B$30*W28</f>
        <v>253478904.82185328</v>
      </c>
      <c r="Y28" s="12">
        <f>(Parameters!$B$15+Parameters!$B$16*I28)*W28</f>
        <v>6207646.6486984482</v>
      </c>
      <c r="Z28" s="12">
        <f>(Parameters!$C$15+Parameters!$C$16*R28)*Stress_Scenario!W28</f>
        <v>1551911.6621746121</v>
      </c>
      <c r="AA28" s="12">
        <f t="shared" si="13"/>
        <v>261238463.13272634</v>
      </c>
      <c r="AB28" s="12">
        <f t="shared" si="7"/>
        <v>110163500.24192557</v>
      </c>
      <c r="AC28" s="6">
        <f>(1+Parameters!$B$39)^-Stress_Scenario!A28</f>
        <v>0.95521178200119539</v>
      </c>
      <c r="AD28" s="12">
        <f t="shared" si="8"/>
        <v>105229473.37757884</v>
      </c>
      <c r="AF28" s="12">
        <f t="shared" si="9"/>
        <v>0</v>
      </c>
      <c r="AG28" s="12">
        <f t="shared" si="14"/>
        <v>0</v>
      </c>
      <c r="AH28" s="12">
        <f t="shared" si="10"/>
        <v>0</v>
      </c>
      <c r="AI28" s="12">
        <f t="shared" si="11"/>
        <v>0</v>
      </c>
    </row>
    <row r="29" spans="1:35" x14ac:dyDescent="0.35">
      <c r="A29" s="5">
        <v>26</v>
      </c>
      <c r="B29" s="12">
        <f>B28*(1-Parameters!$B$9)</f>
        <v>114072.8921304815</v>
      </c>
      <c r="C29" s="21"/>
      <c r="D29" s="12">
        <f>B29*Parameters!$B$6</f>
        <v>79851.024491337041</v>
      </c>
      <c r="E29" s="12">
        <f t="shared" si="15"/>
        <v>50000</v>
      </c>
      <c r="F29" s="12">
        <f t="shared" si="1"/>
        <v>129851.02449133704</v>
      </c>
      <c r="G29" s="12">
        <f>Parameters!$B$25*Demand_Volatility!B30*Stress_Data!F29</f>
        <v>63435.839999999997</v>
      </c>
      <c r="H29" s="12">
        <f t="shared" si="2"/>
        <v>63435.839999999997</v>
      </c>
      <c r="I29" s="12">
        <f>MIN(Parameters!$B$13,MAX(0,E29+D29-H29))</f>
        <v>50000</v>
      </c>
      <c r="J29" s="12">
        <f t="shared" si="3"/>
        <v>16415.184491337044</v>
      </c>
      <c r="K29" s="12">
        <f>(H29*Stress_Data!B29*Stress_Data!D29)+(J29*Stress_Data!B29*Stress_Data!D29*(1-Parameters!$B$22))</f>
        <v>475241468.45513248</v>
      </c>
      <c r="M29" s="12">
        <f>B29*Parameters!$B$7</f>
        <v>34221.867639144446</v>
      </c>
      <c r="N29" s="12">
        <f t="shared" si="16"/>
        <v>0</v>
      </c>
      <c r="O29" s="12">
        <f t="shared" si="12"/>
        <v>34221.867639144446</v>
      </c>
      <c r="P29" s="12">
        <f>Parameters!$B$26*Demand_Volatility!C30*(1+Stress_Data!E29)</f>
        <v>36541.120000000003</v>
      </c>
      <c r="Q29" s="12">
        <f t="shared" si="4"/>
        <v>34221.867639144446</v>
      </c>
      <c r="R29" s="12">
        <f>MIN(Parameters!$C$13,MAX(0,N29+M29-Q29))</f>
        <v>0</v>
      </c>
      <c r="S29" s="12">
        <f t="shared" si="5"/>
        <v>0</v>
      </c>
      <c r="T29" s="12">
        <f>(Q29*Stress_Data!C29)+(S29*Stress_Data!C29*(1-Parameters!$B$23))</f>
        <v>119776536.73700556</v>
      </c>
      <c r="V29" s="12">
        <f t="shared" si="6"/>
        <v>595018005.19213808</v>
      </c>
      <c r="W29" s="26">
        <f>W28*(1+IF(A29&lt;10,Parameters!$B$36,IF(A29&lt;=45,Parameters!$B$37,Parameters!$B$38)))</f>
        <v>1.036323813942132</v>
      </c>
      <c r="X29" s="12">
        <f>Parameters!$B$30*W29</f>
        <v>253899334.41582236</v>
      </c>
      <c r="Y29" s="12">
        <f>(Parameters!$B$15+Parameters!$B$16*I29)*W29</f>
        <v>6217942.8836527923</v>
      </c>
      <c r="Z29" s="12">
        <f>(Parameters!$C$15+Parameters!$C$16*R29)*Stress_Scenario!W29</f>
        <v>1554485.7209131981</v>
      </c>
      <c r="AA29" s="12">
        <f t="shared" si="13"/>
        <v>261671763.02038836</v>
      </c>
      <c r="AB29" s="12">
        <f t="shared" si="7"/>
        <v>333346242.17174971</v>
      </c>
      <c r="AC29" s="6">
        <f>(1+Parameters!$B$39)^-Stress_Scenario!A29</f>
        <v>0.9534625892455908</v>
      </c>
      <c r="AD29" s="12">
        <f t="shared" si="8"/>
        <v>317833171.17636424</v>
      </c>
      <c r="AF29" s="12">
        <f t="shared" si="9"/>
        <v>0</v>
      </c>
      <c r="AG29" s="12">
        <f t="shared" si="14"/>
        <v>0</v>
      </c>
      <c r="AH29" s="12">
        <f t="shared" si="10"/>
        <v>0</v>
      </c>
      <c r="AI29" s="12">
        <f t="shared" si="11"/>
        <v>0</v>
      </c>
    </row>
    <row r="30" spans="1:35" x14ac:dyDescent="0.35">
      <c r="A30" s="5">
        <v>27</v>
      </c>
      <c r="B30" s="12">
        <f>B29*(1-Parameters!$B$9)</f>
        <v>113841.99576606156</v>
      </c>
      <c r="C30" s="21"/>
      <c r="D30" s="12">
        <f>B30*Parameters!$B$6</f>
        <v>79689.397036243085</v>
      </c>
      <c r="E30" s="12">
        <f t="shared" si="15"/>
        <v>50000</v>
      </c>
      <c r="F30" s="12">
        <f t="shared" si="1"/>
        <v>129689.39703624308</v>
      </c>
      <c r="G30" s="12">
        <f>Parameters!$B$25*Demand_Volatility!B31*Stress_Data!F30</f>
        <v>65530.92</v>
      </c>
      <c r="H30" s="12">
        <f t="shared" si="2"/>
        <v>65530.92</v>
      </c>
      <c r="I30" s="12">
        <f>MIN(Parameters!$B$13,MAX(0,E30+D30-H30))</f>
        <v>50000</v>
      </c>
      <c r="J30" s="12">
        <f t="shared" si="3"/>
        <v>14158.477036243086</v>
      </c>
      <c r="K30" s="12">
        <f>(H30*Stress_Data!B30*Stress_Data!D30)+(J30*Stress_Data!B30*Stress_Data!D30*(1-Parameters!$B$22))</f>
        <v>485099875.54678857</v>
      </c>
      <c r="M30" s="12">
        <f>B30*Parameters!$B$7</f>
        <v>34152.59872981847</v>
      </c>
      <c r="N30" s="12">
        <f t="shared" si="16"/>
        <v>0</v>
      </c>
      <c r="O30" s="12">
        <f t="shared" si="12"/>
        <v>34152.59872981847</v>
      </c>
      <c r="P30" s="12">
        <f>Parameters!$B$26*Demand_Volatility!C31*(1+Stress_Data!E30)</f>
        <v>34063.040000000001</v>
      </c>
      <c r="Q30" s="12">
        <f t="shared" si="4"/>
        <v>34063.040000000001</v>
      </c>
      <c r="R30" s="12">
        <f>MIN(Parameters!$C$13,MAX(0,N30+M30-Q30))</f>
        <v>89.558729818469146</v>
      </c>
      <c r="S30" s="12">
        <f t="shared" si="5"/>
        <v>0</v>
      </c>
      <c r="T30" s="12">
        <f>(Q30*Stress_Data!C30)+(S30*Stress_Data!C30*(1-Parameters!$B$23))</f>
        <v>119220640</v>
      </c>
      <c r="V30" s="12">
        <f t="shared" si="6"/>
        <v>604320515.54678857</v>
      </c>
      <c r="W30" s="26">
        <f>W29*(1+IF(A30&lt;10,Parameters!$B$36,IF(A30&lt;=45,Parameters!$B$37,Parameters!$B$38)))</f>
        <v>1.0380426993879341</v>
      </c>
      <c r="X30" s="12">
        <f>Parameters!$B$30*W30</f>
        <v>254320461.35004386</v>
      </c>
      <c r="Y30" s="12">
        <f>(Parameters!$B$15+Parameters!$B$16*I30)*W30</f>
        <v>6228256.1963276053</v>
      </c>
      <c r="Z30" s="12">
        <f>(Parameters!$C$15+Parameters!$C$16*R30)*Stress_Scenario!W30</f>
        <v>1559388.1937232642</v>
      </c>
      <c r="AA30" s="12">
        <f t="shared" si="13"/>
        <v>262108105.74009472</v>
      </c>
      <c r="AB30" s="12">
        <f t="shared" si="7"/>
        <v>342212409.80669385</v>
      </c>
      <c r="AC30" s="6">
        <f>(1+Parameters!$B$39)^-Stress_Scenario!A30</f>
        <v>0.95171659962813249</v>
      </c>
      <c r="AD30" s="12">
        <f t="shared" si="8"/>
        <v>325689231.01177567</v>
      </c>
      <c r="AF30" s="12">
        <f t="shared" si="9"/>
        <v>0</v>
      </c>
      <c r="AG30" s="12">
        <f t="shared" si="14"/>
        <v>0</v>
      </c>
      <c r="AH30" s="12">
        <f t="shared" si="10"/>
        <v>0</v>
      </c>
      <c r="AI30" s="12">
        <f t="shared" si="11"/>
        <v>0</v>
      </c>
    </row>
    <row r="31" spans="1:35" x14ac:dyDescent="0.35">
      <c r="A31" s="5">
        <v>28</v>
      </c>
      <c r="B31" s="12">
        <f>B30*(1-Parameters!$B$9)</f>
        <v>113611.56676185409</v>
      </c>
      <c r="C31" s="21"/>
      <c r="D31" s="12">
        <f>B31*Parameters!$B$6</f>
        <v>79528.096733297862</v>
      </c>
      <c r="E31" s="12">
        <f t="shared" si="15"/>
        <v>50000</v>
      </c>
      <c r="F31" s="12">
        <f t="shared" si="1"/>
        <v>129528.09673329786</v>
      </c>
      <c r="G31" s="12">
        <f>Parameters!$B$25*Demand_Volatility!B32*Stress_Data!F31</f>
        <v>68554.2</v>
      </c>
      <c r="H31" s="12">
        <f t="shared" si="2"/>
        <v>68554.2</v>
      </c>
      <c r="I31" s="12">
        <f>MIN(Parameters!$B$13,MAX(0,E31+D31-H31))</f>
        <v>50000</v>
      </c>
      <c r="J31" s="12">
        <f t="shared" si="3"/>
        <v>10973.896733297865</v>
      </c>
      <c r="K31" s="12">
        <f>(H31*Stress_Data!B31*Stress_Data!D31)+(J31*Stress_Data!B31*Stress_Data!D31*(1-Parameters!$B$22))</f>
        <v>499475957.42696601</v>
      </c>
      <c r="M31" s="12">
        <f>B31*Parameters!$B$7</f>
        <v>34083.470028556228</v>
      </c>
      <c r="N31" s="12">
        <f t="shared" si="16"/>
        <v>89.558729818469146</v>
      </c>
      <c r="O31" s="12">
        <f t="shared" si="12"/>
        <v>34173.028758374698</v>
      </c>
      <c r="P31" s="12">
        <f>Parameters!$B$26*Demand_Volatility!C32*(1+Stress_Data!E31)</f>
        <v>35956.80000000001</v>
      </c>
      <c r="Q31" s="12">
        <f t="shared" si="4"/>
        <v>34173.028758374698</v>
      </c>
      <c r="R31" s="12">
        <f>MIN(Parameters!$C$13,MAX(0,N31+M31-Q31))</f>
        <v>0</v>
      </c>
      <c r="S31" s="12">
        <f t="shared" si="5"/>
        <v>0</v>
      </c>
      <c r="T31" s="12">
        <f>(Q31*Stress_Data!C31)+(S31*Stress_Data!C31*(1-Parameters!$B$23))</f>
        <v>119605600.65431145</v>
      </c>
      <c r="V31" s="12">
        <f t="shared" si="6"/>
        <v>619081558.08127749</v>
      </c>
      <c r="W31" s="26">
        <f>W30*(1+IF(A31&lt;10,Parameters!$B$36,IF(A31&lt;=45,Parameters!$B$37,Parameters!$B$38)))</f>
        <v>1.0397644358414386</v>
      </c>
      <c r="X31" s="12">
        <f>Parameters!$B$30*W31</f>
        <v>254742286.78115246</v>
      </c>
      <c r="Y31" s="12">
        <f>(Parameters!$B$15+Parameters!$B$16*I31)*W31</f>
        <v>6238586.615048632</v>
      </c>
      <c r="Z31" s="12">
        <f>(Parameters!$C$15+Parameters!$C$16*R31)*Stress_Scenario!W31</f>
        <v>1559646.653762158</v>
      </c>
      <c r="AA31" s="12">
        <f t="shared" si="13"/>
        <v>262540520.04996324</v>
      </c>
      <c r="AB31" s="12">
        <f t="shared" si="7"/>
        <v>356541038.03131425</v>
      </c>
      <c r="AC31" s="6">
        <f>(1+Parameters!$B$39)^-Stress_Scenario!A31</f>
        <v>0.94997380728320302</v>
      </c>
      <c r="AD31" s="12">
        <f t="shared" si="8"/>
        <v>338704647.35131288</v>
      </c>
      <c r="AF31" s="12">
        <f t="shared" si="9"/>
        <v>0</v>
      </c>
      <c r="AG31" s="12">
        <f t="shared" si="14"/>
        <v>0</v>
      </c>
      <c r="AH31" s="12">
        <f t="shared" si="10"/>
        <v>0</v>
      </c>
      <c r="AI31" s="12">
        <f t="shared" si="11"/>
        <v>0</v>
      </c>
    </row>
    <row r="32" spans="1:35" x14ac:dyDescent="0.35">
      <c r="A32" s="5">
        <v>29</v>
      </c>
      <c r="B32" s="12">
        <f>B31*(1-Parameters!$B$9)</f>
        <v>113381.60417186943</v>
      </c>
      <c r="C32" s="21"/>
      <c r="D32" s="12">
        <f>B32*Parameters!$B$6</f>
        <v>79367.122920308597</v>
      </c>
      <c r="E32" s="12">
        <f t="shared" si="15"/>
        <v>50000</v>
      </c>
      <c r="F32" s="12">
        <f t="shared" si="1"/>
        <v>129367.1229203086</v>
      </c>
      <c r="G32" s="12">
        <f>Parameters!$B$25*Demand_Volatility!B33*Stress_Data!F32</f>
        <v>68666.91</v>
      </c>
      <c r="H32" s="12">
        <f t="shared" si="2"/>
        <v>68666.91</v>
      </c>
      <c r="I32" s="12">
        <f>MIN(Parameters!$B$13,MAX(0,E32+D32-H32))</f>
        <v>50000</v>
      </c>
      <c r="J32" s="12">
        <f t="shared" si="3"/>
        <v>10700.212920308593</v>
      </c>
      <c r="K32" s="12">
        <f>(H32*Stress_Data!B32*Stress_Data!D32)+(J32*Stress_Data!B32*Stress_Data!D32*(1-Parameters!$B$22))</f>
        <v>499688722.38659567</v>
      </c>
      <c r="M32" s="12">
        <f>B32*Parameters!$B$7</f>
        <v>34014.481251560828</v>
      </c>
      <c r="N32" s="12">
        <f t="shared" si="16"/>
        <v>0</v>
      </c>
      <c r="O32" s="12">
        <f t="shared" si="12"/>
        <v>34014.481251560828</v>
      </c>
      <c r="P32" s="12">
        <f>Parameters!$B$26*Demand_Volatility!C33*(1+Stress_Data!E32)</f>
        <v>37234.560000000012</v>
      </c>
      <c r="Q32" s="12">
        <f t="shared" si="4"/>
        <v>34014.481251560828</v>
      </c>
      <c r="R32" s="12">
        <f>MIN(Parameters!$C$13,MAX(0,N32+M32-Q32))</f>
        <v>0</v>
      </c>
      <c r="S32" s="12">
        <f t="shared" si="5"/>
        <v>0</v>
      </c>
      <c r="T32" s="12">
        <f>(Q32*Stress_Data!C32)+(S32*Stress_Data!C32*(1-Parameters!$B$23))</f>
        <v>119050684.3804629</v>
      </c>
      <c r="V32" s="12">
        <f t="shared" si="6"/>
        <v>618739406.76705861</v>
      </c>
      <c r="W32" s="26">
        <f>W31*(1+IF(A32&lt;10,Parameters!$B$36,IF(A32&lt;=45,Parameters!$B$37,Parameters!$B$38)))</f>
        <v>1.0414890280314337</v>
      </c>
      <c r="X32" s="12">
        <f>Parameters!$B$30*W32</f>
        <v>255164811.86770126</v>
      </c>
      <c r="Y32" s="12">
        <f>(Parameters!$B$15+Parameters!$B$16*I32)*W32</f>
        <v>6248934.1681886027</v>
      </c>
      <c r="Z32" s="12">
        <f>(Parameters!$C$15+Parameters!$C$16*R32)*Stress_Scenario!W32</f>
        <v>1562233.5420471507</v>
      </c>
      <c r="AA32" s="12">
        <f t="shared" si="13"/>
        <v>262975979.57793701</v>
      </c>
      <c r="AB32" s="12">
        <f t="shared" si="7"/>
        <v>355763427.1891216</v>
      </c>
      <c r="AC32" s="6">
        <f>(1+Parameters!$B$39)^-Stress_Scenario!A32</f>
        <v>0.9482342063559277</v>
      </c>
      <c r="AD32" s="12">
        <f t="shared" si="8"/>
        <v>337347051.03114158</v>
      </c>
      <c r="AF32" s="12">
        <f t="shared" si="9"/>
        <v>0</v>
      </c>
      <c r="AG32" s="12">
        <f t="shared" si="14"/>
        <v>0</v>
      </c>
      <c r="AH32" s="12">
        <f t="shared" si="10"/>
        <v>0</v>
      </c>
      <c r="AI32" s="12">
        <f t="shared" si="11"/>
        <v>0</v>
      </c>
    </row>
    <row r="33" spans="1:35" x14ac:dyDescent="0.35">
      <c r="A33" s="5">
        <v>30</v>
      </c>
      <c r="B33" s="12">
        <f>B32*(1-Parameters!$B$9)</f>
        <v>113152.10705203275</v>
      </c>
      <c r="C33" s="21"/>
      <c r="D33" s="12">
        <f>B33*Parameters!$B$6</f>
        <v>79206.474936422921</v>
      </c>
      <c r="E33" s="12">
        <f t="shared" si="15"/>
        <v>50000</v>
      </c>
      <c r="F33" s="12">
        <f t="shared" si="1"/>
        <v>129206.47493642292</v>
      </c>
      <c r="G33" s="12">
        <f>Parameters!$B$25*Demand_Volatility!B34*Stress_Data!F33</f>
        <v>64927.59</v>
      </c>
      <c r="H33" s="12">
        <f t="shared" si="2"/>
        <v>64927.59</v>
      </c>
      <c r="I33" s="12">
        <f>MIN(Parameters!$B$13,MAX(0,E33+D33-H33))</f>
        <v>50000</v>
      </c>
      <c r="J33" s="12">
        <f t="shared" si="3"/>
        <v>14278.884936422925</v>
      </c>
      <c r="K33" s="12">
        <f>(H33*Stress_Data!B33*Stress_Data!D33)+(J33*Stress_Data!B33*Stress_Data!D33*(1-Parameters!$B$22))</f>
        <v>481156648.10340363</v>
      </c>
      <c r="M33" s="12">
        <f>B33*Parameters!$B$7</f>
        <v>33945.63211560982</v>
      </c>
      <c r="N33" s="12">
        <f t="shared" si="16"/>
        <v>0</v>
      </c>
      <c r="O33" s="12">
        <f t="shared" si="12"/>
        <v>33945.63211560982</v>
      </c>
      <c r="P33" s="12">
        <f>Parameters!$B$26*Demand_Volatility!C34*(1+Stress_Data!E33)</f>
        <v>36375.680000000008</v>
      </c>
      <c r="Q33" s="12">
        <f t="shared" si="4"/>
        <v>33945.63211560982</v>
      </c>
      <c r="R33" s="12">
        <f>MIN(Parameters!$C$13,MAX(0,N33+M33-Q33))</f>
        <v>0</v>
      </c>
      <c r="S33" s="12">
        <f t="shared" si="5"/>
        <v>0</v>
      </c>
      <c r="T33" s="12">
        <f>(Q33*Stress_Data!C33)+(S33*Stress_Data!C33*(1-Parameters!$B$23))</f>
        <v>118809712.40463437</v>
      </c>
      <c r="V33" s="12">
        <f t="shared" si="6"/>
        <v>599966360.50803804</v>
      </c>
      <c r="W33" s="26">
        <f>W32*(1+IF(A33&lt;10,Parameters!$B$36,IF(A33&lt;=45,Parameters!$B$37,Parameters!$B$38)))</f>
        <v>1.0432164806945505</v>
      </c>
      <c r="X33" s="12">
        <f>Parameters!$B$30*W33</f>
        <v>255588037.77016488</v>
      </c>
      <c r="Y33" s="12">
        <f>(Parameters!$B$15+Parameters!$B$16*I33)*W33</f>
        <v>6259298.8841673033</v>
      </c>
      <c r="Z33" s="12">
        <f>(Parameters!$C$15+Parameters!$C$16*R33)*Stress_Scenario!W33</f>
        <v>1564824.7210418258</v>
      </c>
      <c r="AA33" s="12">
        <f t="shared" si="13"/>
        <v>263412161.37537402</v>
      </c>
      <c r="AB33" s="12">
        <f t="shared" si="7"/>
        <v>336554199.13266402</v>
      </c>
      <c r="AC33" s="6">
        <f>(1+Parameters!$B$39)^-Stress_Scenario!A33</f>
        <v>0.94649779100215192</v>
      </c>
      <c r="AD33" s="12">
        <f t="shared" si="8"/>
        <v>318547806.03156483</v>
      </c>
      <c r="AF33" s="12">
        <f t="shared" si="9"/>
        <v>0</v>
      </c>
      <c r="AG33" s="12">
        <f t="shared" si="14"/>
        <v>0</v>
      </c>
      <c r="AH33" s="12">
        <f t="shared" si="10"/>
        <v>0</v>
      </c>
      <c r="AI33" s="12">
        <f t="shared" si="11"/>
        <v>0</v>
      </c>
    </row>
    <row r="34" spans="1:35" x14ac:dyDescent="0.35">
      <c r="A34" s="5">
        <v>31</v>
      </c>
      <c r="B34" s="12">
        <f>B33*(1-Parameters!$B$9)</f>
        <v>112923.07446018011</v>
      </c>
      <c r="C34" s="21"/>
      <c r="D34" s="12">
        <f>B34*Parameters!$B$6</f>
        <v>79046.152122126077</v>
      </c>
      <c r="E34" s="12">
        <f t="shared" si="15"/>
        <v>50000</v>
      </c>
      <c r="F34" s="12">
        <f t="shared" si="1"/>
        <v>129046.15212212608</v>
      </c>
      <c r="G34" s="12">
        <f>Parameters!$B$25*Demand_Volatility!B35*Stress_Data!F34</f>
        <v>67082.340000000011</v>
      </c>
      <c r="H34" s="12">
        <f t="shared" si="2"/>
        <v>67082.340000000011</v>
      </c>
      <c r="I34" s="12">
        <f>MIN(Parameters!$B$13,MAX(0,E34+D34-H34))</f>
        <v>50000</v>
      </c>
      <c r="J34" s="12">
        <f t="shared" si="3"/>
        <v>11963.812122126066</v>
      </c>
      <c r="K34" s="12">
        <f>(H34*Stress_Data!B34*Stress_Data!D34)+(J34*Stress_Data!B34*Stress_Data!D34*(1-Parameters!$B$22))</f>
        <v>491308154.24190623</v>
      </c>
      <c r="M34" s="12">
        <f>B34*Parameters!$B$7</f>
        <v>33876.922338054035</v>
      </c>
      <c r="N34" s="12">
        <f t="shared" si="16"/>
        <v>0</v>
      </c>
      <c r="O34" s="12">
        <f t="shared" si="12"/>
        <v>33876.922338054035</v>
      </c>
      <c r="P34" s="12">
        <f>Parameters!$B$26*Demand_Volatility!C35*(1+Stress_Data!E34)</f>
        <v>36196.160000000003</v>
      </c>
      <c r="Q34" s="12">
        <f t="shared" si="4"/>
        <v>33876.922338054035</v>
      </c>
      <c r="R34" s="12">
        <f>MIN(Parameters!$C$13,MAX(0,N34+M34-Q34))</f>
        <v>0</v>
      </c>
      <c r="S34" s="12">
        <f t="shared" si="5"/>
        <v>0</v>
      </c>
      <c r="T34" s="12">
        <f>(Q34*Stress_Data!C34)+(S34*Stress_Data!C34*(1-Parameters!$B$23))</f>
        <v>118569228.18318912</v>
      </c>
      <c r="V34" s="12">
        <f t="shared" si="6"/>
        <v>609877382.42509532</v>
      </c>
      <c r="W34" s="26">
        <f>W33*(1+IF(A34&lt;10,Parameters!$B$36,IF(A34&lt;=45,Parameters!$B$37,Parameters!$B$38)))</f>
        <v>1.0449467985752769</v>
      </c>
      <c r="X34" s="12">
        <f>Parameters!$B$30*W34</f>
        <v>256011965.65094286</v>
      </c>
      <c r="Y34" s="12">
        <f>(Parameters!$B$15+Parameters!$B$16*I34)*W34</f>
        <v>6269680.7914516618</v>
      </c>
      <c r="Z34" s="12">
        <f>(Parameters!$C$15+Parameters!$C$16*R34)*Stress_Scenario!W34</f>
        <v>1567420.1978629155</v>
      </c>
      <c r="AA34" s="12">
        <f t="shared" si="13"/>
        <v>263849066.64025745</v>
      </c>
      <c r="AB34" s="12">
        <f t="shared" si="7"/>
        <v>346028315.78483784</v>
      </c>
      <c r="AC34" s="6">
        <f>(1+Parameters!$B$39)^-Stress_Scenario!A34</f>
        <v>0.94476455538842485</v>
      </c>
      <c r="AD34" s="12">
        <f t="shared" si="8"/>
        <v>326915287.91426778</v>
      </c>
      <c r="AF34" s="12">
        <f t="shared" si="9"/>
        <v>0</v>
      </c>
      <c r="AG34" s="12">
        <f t="shared" si="14"/>
        <v>0</v>
      </c>
      <c r="AH34" s="12">
        <f t="shared" si="10"/>
        <v>0</v>
      </c>
      <c r="AI34" s="12">
        <f t="shared" si="11"/>
        <v>0</v>
      </c>
    </row>
    <row r="35" spans="1:35" x14ac:dyDescent="0.35">
      <c r="A35" s="5">
        <v>32</v>
      </c>
      <c r="B35" s="12">
        <f>B34*(1-Parameters!$B$9)</f>
        <v>112694.50545605463</v>
      </c>
      <c r="C35" s="21"/>
      <c r="D35" s="12">
        <f>B35*Parameters!$B$6</f>
        <v>78886.153819238229</v>
      </c>
      <c r="E35" s="12">
        <f t="shared" si="15"/>
        <v>50000</v>
      </c>
      <c r="F35" s="12">
        <f t="shared" si="1"/>
        <v>128886.15381923823</v>
      </c>
      <c r="G35" s="12">
        <f>Parameters!$B$25*Demand_Volatility!B36*Stress_Data!F35</f>
        <v>64397.19</v>
      </c>
      <c r="H35" s="12">
        <f t="shared" si="2"/>
        <v>64397.19</v>
      </c>
      <c r="I35" s="12">
        <f>MIN(Parameters!$B$13,MAX(0,E35+D35-H35))</f>
        <v>50000</v>
      </c>
      <c r="J35" s="12">
        <f t="shared" si="3"/>
        <v>14488.963819238226</v>
      </c>
      <c r="K35" s="12">
        <f>(H35*Stress_Data!B35*Stress_Data!D35)+(J35*Stress_Data!B35*Stress_Data!D35*(1-Parameters!$B$22))</f>
        <v>477907447.82140326</v>
      </c>
      <c r="M35" s="12">
        <f>B35*Parameters!$B$7</f>
        <v>33808.351636816384</v>
      </c>
      <c r="N35" s="12">
        <f t="shared" si="16"/>
        <v>0</v>
      </c>
      <c r="O35" s="12">
        <f t="shared" si="12"/>
        <v>33808.351636816384</v>
      </c>
      <c r="P35" s="12">
        <f>Parameters!$B$26*Demand_Volatility!C36*(1+Stress_Data!E35)</f>
        <v>35133.120000000003</v>
      </c>
      <c r="Q35" s="12">
        <f t="shared" si="4"/>
        <v>33808.351636816384</v>
      </c>
      <c r="R35" s="12">
        <f>MIN(Parameters!$C$13,MAX(0,N35+M35-Q35))</f>
        <v>0</v>
      </c>
      <c r="S35" s="12">
        <f t="shared" si="5"/>
        <v>0</v>
      </c>
      <c r="T35" s="12">
        <f>(Q35*Stress_Data!C35)+(S35*Stress_Data!C35*(1-Parameters!$B$23))</f>
        <v>118329230.72885734</v>
      </c>
      <c r="V35" s="12">
        <f t="shared" si="6"/>
        <v>596236678.55026054</v>
      </c>
      <c r="W35" s="26">
        <f>W34*(1+IF(A35&lt;10,Parameters!$B$36,IF(A35&lt;=45,Parameters!$B$37,Parameters!$B$38)))</f>
        <v>1.0466799864259702</v>
      </c>
      <c r="X35" s="12">
        <f>Parameters!$B$30*W35</f>
        <v>256436596.67436269</v>
      </c>
      <c r="Y35" s="12">
        <f>(Parameters!$B$15+Parameters!$B$16*I35)*W35</f>
        <v>6280079.9185558213</v>
      </c>
      <c r="Z35" s="12">
        <f>(Parameters!$C$15+Parameters!$C$16*R35)*Stress_Scenario!W35</f>
        <v>1570019.9796389553</v>
      </c>
      <c r="AA35" s="12">
        <f t="shared" si="13"/>
        <v>264286696.57255748</v>
      </c>
      <c r="AB35" s="12">
        <f t="shared" si="7"/>
        <v>331949981.97770309</v>
      </c>
      <c r="AC35" s="6">
        <f>(1+Parameters!$B$39)^-Stress_Scenario!A35</f>
        <v>0.94303449369197545</v>
      </c>
      <c r="AD35" s="12">
        <f t="shared" si="8"/>
        <v>313040283.18540359</v>
      </c>
      <c r="AF35" s="12">
        <f t="shared" si="9"/>
        <v>0</v>
      </c>
      <c r="AG35" s="12">
        <f t="shared" si="14"/>
        <v>0</v>
      </c>
      <c r="AH35" s="12">
        <f t="shared" si="10"/>
        <v>0</v>
      </c>
      <c r="AI35" s="12">
        <f t="shared" si="11"/>
        <v>0</v>
      </c>
    </row>
    <row r="36" spans="1:35" x14ac:dyDescent="0.35">
      <c r="A36" s="5">
        <v>33</v>
      </c>
      <c r="B36" s="12">
        <f>B35*(1-Parameters!$B$9)</f>
        <v>112466.3991013026</v>
      </c>
      <c r="C36" s="21"/>
      <c r="D36" s="12">
        <f>B36*Parameters!$B$6</f>
        <v>78726.479370911809</v>
      </c>
      <c r="E36" s="12">
        <f t="shared" si="15"/>
        <v>50000</v>
      </c>
      <c r="F36" s="12">
        <f t="shared" ref="F36:F67" si="17">D36+E36</f>
        <v>128726.47937091181</v>
      </c>
      <c r="G36" s="12">
        <f>Parameters!$B$25*Demand_Volatility!B37*Stress_Data!F36</f>
        <v>66618.239999999991</v>
      </c>
      <c r="H36" s="12">
        <f t="shared" ref="H36:H67" si="18">MIN(F36,G36)</f>
        <v>66618.239999999991</v>
      </c>
      <c r="I36" s="12">
        <f>MIN(Parameters!$B$13,MAX(0,E36+D36-H36))</f>
        <v>50000</v>
      </c>
      <c r="J36" s="12">
        <f t="shared" ref="J36:J67" si="19">D36+E36-H36-I36</f>
        <v>12108.239370911819</v>
      </c>
      <c r="K36" s="12">
        <f>(H36*Stress_Data!B36*Stress_Data!D36)+(J36*Stress_Data!B36*Stress_Data!D36*(1-Parameters!$B$22))</f>
        <v>488382948.51197362</v>
      </c>
      <c r="M36" s="12">
        <f>B36*Parameters!$B$7</f>
        <v>33739.919730390779</v>
      </c>
      <c r="N36" s="12">
        <f t="shared" si="16"/>
        <v>0</v>
      </c>
      <c r="O36" s="12">
        <f t="shared" si="12"/>
        <v>33739.919730390779</v>
      </c>
      <c r="P36" s="12">
        <f>Parameters!$B$26*Demand_Volatility!C37*(1+Stress_Data!E36)</f>
        <v>33932.800000000003</v>
      </c>
      <c r="Q36" s="12">
        <f t="shared" ref="Q36:Q67" si="20">MIN(O36,P36)</f>
        <v>33739.919730390779</v>
      </c>
      <c r="R36" s="12">
        <f>MIN(Parameters!$C$13,MAX(0,N36+M36-Q36))</f>
        <v>0</v>
      </c>
      <c r="S36" s="12">
        <f t="shared" ref="S36:S67" si="21">M36+N36-Q36-R36</f>
        <v>0</v>
      </c>
      <c r="T36" s="12">
        <f>(Q36*Stress_Data!C36)+(S36*Stress_Data!C36*(1-Parameters!$B$23))</f>
        <v>118089719.05636773</v>
      </c>
      <c r="V36" s="12">
        <f t="shared" ref="V36:V67" si="22">K36+T36</f>
        <v>606472667.56834137</v>
      </c>
      <c r="W36" s="26">
        <f>W35*(1+IF(A36&lt;10,Parameters!$B$36,IF(A36&lt;=45,Parameters!$B$37,Parameters!$B$38)))</f>
        <v>1.0484160490068697</v>
      </c>
      <c r="X36" s="12">
        <f>Parameters!$B$30*W36</f>
        <v>256861932.00668308</v>
      </c>
      <c r="Y36" s="12">
        <f>(Parameters!$B$15+Parameters!$B$16*I36)*W36</f>
        <v>6290496.2940412182</v>
      </c>
      <c r="Z36" s="12">
        <f>(Parameters!$C$15+Parameters!$C$16*R36)*Stress_Scenario!W36</f>
        <v>1572624.0735103046</v>
      </c>
      <c r="AA36" s="12">
        <f t="shared" si="13"/>
        <v>264725052.37423462</v>
      </c>
      <c r="AB36" s="12">
        <f t="shared" ref="AB36:AB67" si="23">V36-AA36</f>
        <v>341747615.19410676</v>
      </c>
      <c r="AC36" s="6">
        <f>(1+Parameters!$B$39)^-Stress_Scenario!A36</f>
        <v>0.94130760010069758</v>
      </c>
      <c r="AD36" s="12">
        <f t="shared" si="8"/>
        <v>321689627.4985013</v>
      </c>
      <c r="AF36" s="12">
        <f t="shared" ref="AF36:AF67" si="24">IF(AND(ROUND((D36-H36-I36+E36-J36),0)=0,ROUND((M36-Q36-R36+N36-S36),0)=0),0,1)</f>
        <v>0</v>
      </c>
      <c r="AG36" s="12">
        <f t="shared" si="14"/>
        <v>0</v>
      </c>
      <c r="AH36" s="12">
        <f t="shared" ref="AH36:AH67" si="25">IF(AND(Q36&lt;=P36,H36&lt;=G36),0,1)</f>
        <v>0</v>
      </c>
      <c r="AI36" s="12">
        <f t="shared" ref="AI36:AI67" si="26">IF(AND(Q36&lt;=O36,H36&lt;=F36),0,1)</f>
        <v>0</v>
      </c>
    </row>
    <row r="37" spans="1:35" x14ac:dyDescent="0.35">
      <c r="A37" s="5">
        <v>34</v>
      </c>
      <c r="B37" s="12">
        <f>B36*(1-Parameters!$B$9)</f>
        <v>112238.75445946964</v>
      </c>
      <c r="C37" s="21"/>
      <c r="D37" s="12">
        <f>B37*Parameters!$B$6</f>
        <v>78567.128121628746</v>
      </c>
      <c r="E37" s="12">
        <f t="shared" si="15"/>
        <v>50000</v>
      </c>
      <c r="F37" s="12">
        <f t="shared" si="17"/>
        <v>128567.12812162875</v>
      </c>
      <c r="G37" s="12">
        <f>Parameters!$B$25*Demand_Volatility!B38*Stress_Data!F37</f>
        <v>65617.11</v>
      </c>
      <c r="H37" s="12">
        <f t="shared" si="18"/>
        <v>65617.11</v>
      </c>
      <c r="I37" s="12">
        <f>MIN(Parameters!$B$13,MAX(0,E37+D37-H37))</f>
        <v>50000</v>
      </c>
      <c r="J37" s="12">
        <f t="shared" si="19"/>
        <v>12950.018121628746</v>
      </c>
      <c r="K37" s="12">
        <f>(H37*Stress_Data!B37*Stress_Data!D37)+(J37*Stress_Data!B37*Stress_Data!D37*(1-Parameters!$B$22))</f>
        <v>483178706.51446897</v>
      </c>
      <c r="M37" s="12">
        <f>B37*Parameters!$B$7</f>
        <v>33671.626337840891</v>
      </c>
      <c r="N37" s="12">
        <f t="shared" si="16"/>
        <v>0</v>
      </c>
      <c r="O37" s="12">
        <f t="shared" si="12"/>
        <v>33671.626337840891</v>
      </c>
      <c r="P37" s="12">
        <f>Parameters!$B$26*Demand_Volatility!C38*(1+Stress_Data!E37)</f>
        <v>35031.040000000001</v>
      </c>
      <c r="Q37" s="12">
        <f t="shared" si="20"/>
        <v>33671.626337840891</v>
      </c>
      <c r="R37" s="12">
        <f>MIN(Parameters!$C$13,MAX(0,N37+M37-Q37))</f>
        <v>0</v>
      </c>
      <c r="S37" s="12">
        <f t="shared" si="21"/>
        <v>0</v>
      </c>
      <c r="T37" s="12">
        <f>(Q37*Stress_Data!C37)+(S37*Stress_Data!C37*(1-Parameters!$B$23))</f>
        <v>117850692.18244311</v>
      </c>
      <c r="V37" s="12">
        <f t="shared" si="22"/>
        <v>601029398.69691205</v>
      </c>
      <c r="W37" s="26">
        <f>W36*(1+IF(A37&lt;10,Parameters!$B$36,IF(A37&lt;=45,Parameters!$B$37,Parameters!$B$38)))</f>
        <v>1.0501549910861105</v>
      </c>
      <c r="X37" s="12">
        <f>Parameters!$B$30*W37</f>
        <v>257287972.81609708</v>
      </c>
      <c r="Y37" s="12">
        <f>(Parameters!$B$15+Parameters!$B$16*I37)*W37</f>
        <v>6300929.9465166628</v>
      </c>
      <c r="Z37" s="12">
        <f>(Parameters!$C$15+Parameters!$C$16*R37)*Stress_Scenario!W37</f>
        <v>1575232.4866291657</v>
      </c>
      <c r="AA37" s="12">
        <f t="shared" si="13"/>
        <v>265164135.2492429</v>
      </c>
      <c r="AB37" s="12">
        <f t="shared" si="23"/>
        <v>335865263.44766915</v>
      </c>
      <c r="AC37" s="6">
        <f>(1+Parameters!$B$39)^-Stress_Scenario!A37</f>
        <v>0.93958386881312705</v>
      </c>
      <c r="AD37" s="12">
        <f t="shared" si="8"/>
        <v>315573583.63010114</v>
      </c>
      <c r="AF37" s="12">
        <f t="shared" si="24"/>
        <v>0</v>
      </c>
      <c r="AG37" s="12">
        <f t="shared" ref="AG37:AG69" si="27">IF(B37&lt;B36,0,1)</f>
        <v>0</v>
      </c>
      <c r="AH37" s="12">
        <f t="shared" si="25"/>
        <v>0</v>
      </c>
      <c r="AI37" s="12">
        <f t="shared" si="26"/>
        <v>0</v>
      </c>
    </row>
    <row r="38" spans="1:35" x14ac:dyDescent="0.35">
      <c r="A38" s="5">
        <v>35</v>
      </c>
      <c r="B38" s="12">
        <f>B37*(1-Parameters!$B$9)</f>
        <v>112011.57059599688</v>
      </c>
      <c r="C38" s="21"/>
      <c r="D38" s="12">
        <f>B38*Parameters!$B$6</f>
        <v>78408.099417197809</v>
      </c>
      <c r="E38" s="12">
        <f t="shared" si="15"/>
        <v>50000</v>
      </c>
      <c r="F38" s="12">
        <f t="shared" si="17"/>
        <v>128408.09941719781</v>
      </c>
      <c r="G38" s="12">
        <f>Parameters!$B$25*Demand_Volatility!B39*Stress_Data!F38</f>
        <v>63853.53</v>
      </c>
      <c r="H38" s="12">
        <f t="shared" si="18"/>
        <v>63853.53</v>
      </c>
      <c r="I38" s="12">
        <f>MIN(Parameters!$B$13,MAX(0,E38+D38-H38))</f>
        <v>50000</v>
      </c>
      <c r="J38" s="12">
        <f t="shared" si="19"/>
        <v>14554.56941719781</v>
      </c>
      <c r="K38" s="12">
        <f>(H38*Stress_Data!B38*Stress_Data!D38)+(J38*Stress_Data!B38*Stress_Data!D38*(1-Parameters!$B$22))</f>
        <v>474264750.53650779</v>
      </c>
      <c r="M38" s="12">
        <f>B38*Parameters!$B$7</f>
        <v>33603.47117879906</v>
      </c>
      <c r="N38" s="12">
        <f t="shared" si="16"/>
        <v>0</v>
      </c>
      <c r="O38" s="12">
        <f t="shared" si="12"/>
        <v>33603.47117879906</v>
      </c>
      <c r="P38" s="12">
        <f>Parameters!$B$26*Demand_Volatility!C39*(1+Stress_Data!E38)</f>
        <v>35816.000000000007</v>
      </c>
      <c r="Q38" s="12">
        <f t="shared" si="20"/>
        <v>33603.47117879906</v>
      </c>
      <c r="R38" s="12">
        <f>MIN(Parameters!$C$13,MAX(0,N38+M38-Q38))</f>
        <v>0</v>
      </c>
      <c r="S38" s="12">
        <f t="shared" si="21"/>
        <v>0</v>
      </c>
      <c r="T38" s="12">
        <f>(Q38*Stress_Data!C38)+(S38*Stress_Data!C38*(1-Parameters!$B$23))</f>
        <v>117612149.12579671</v>
      </c>
      <c r="V38" s="12">
        <f t="shared" si="22"/>
        <v>591876899.66230452</v>
      </c>
      <c r="W38" s="26">
        <f>W37*(1+IF(A38&lt;10,Parameters!$B$36,IF(A38&lt;=45,Parameters!$B$37,Parameters!$B$38)))</f>
        <v>1.0518968174397363</v>
      </c>
      <c r="X38" s="12">
        <f>Parameters!$B$30*W38</f>
        <v>257714720.27273539</v>
      </c>
      <c r="Y38" s="12">
        <f>(Parameters!$B$15+Parameters!$B$16*I38)*W38</f>
        <v>6311380.904638418</v>
      </c>
      <c r="Z38" s="12">
        <f>(Parameters!$C$15+Parameters!$C$16*R38)*Stress_Scenario!W38</f>
        <v>1577845.2261596045</v>
      </c>
      <c r="AA38" s="12">
        <f t="shared" si="13"/>
        <v>265603946.4035334</v>
      </c>
      <c r="AB38" s="12">
        <f t="shared" si="23"/>
        <v>326272953.25877112</v>
      </c>
      <c r="AC38" s="6">
        <f>(1+Parameters!$B$39)^-Stress_Scenario!A38</f>
        <v>0.93786329403842383</v>
      </c>
      <c r="AD38" s="12">
        <f t="shared" si="8"/>
        <v>305999426.69891578</v>
      </c>
      <c r="AF38" s="12">
        <f t="shared" si="24"/>
        <v>0</v>
      </c>
      <c r="AG38" s="12">
        <f t="shared" si="27"/>
        <v>0</v>
      </c>
      <c r="AH38" s="12">
        <f t="shared" si="25"/>
        <v>0</v>
      </c>
      <c r="AI38" s="12">
        <f t="shared" si="26"/>
        <v>0</v>
      </c>
    </row>
    <row r="39" spans="1:35" x14ac:dyDescent="0.35">
      <c r="A39" s="5">
        <v>36</v>
      </c>
      <c r="B39" s="12">
        <f>B38*(1-Parameters!$B$9)</f>
        <v>111784.84657821708</v>
      </c>
      <c r="C39" s="21"/>
      <c r="D39" s="12">
        <f>B39*Parameters!$B$6</f>
        <v>78249.392604751949</v>
      </c>
      <c r="E39" s="12">
        <f t="shared" si="15"/>
        <v>50000</v>
      </c>
      <c r="F39" s="12">
        <f t="shared" si="17"/>
        <v>128249.39260475195</v>
      </c>
      <c r="G39" s="12">
        <f>Parameters!$B$25*Demand_Volatility!B40*Stress_Data!F39</f>
        <v>67055.820000000007</v>
      </c>
      <c r="H39" s="12">
        <f t="shared" si="18"/>
        <v>67055.820000000007</v>
      </c>
      <c r="I39" s="12">
        <f>MIN(Parameters!$B$13,MAX(0,E39+D39-H39))</f>
        <v>50000</v>
      </c>
      <c r="J39" s="12">
        <f t="shared" si="19"/>
        <v>11193.572604751942</v>
      </c>
      <c r="K39" s="12">
        <f>(H39*Stress_Data!B39*Stress_Data!D39)+(J39*Stress_Data!B39*Stress_Data!D39*(1-Parameters!$B$22))</f>
        <v>489517375.66447067</v>
      </c>
      <c r="M39" s="12">
        <f>B39*Parameters!$B$7</f>
        <v>33535.453973465126</v>
      </c>
      <c r="N39" s="12">
        <f t="shared" si="16"/>
        <v>0</v>
      </c>
      <c r="O39" s="12">
        <f t="shared" si="12"/>
        <v>33535.453973465126</v>
      </c>
      <c r="P39" s="12">
        <f>Parameters!$B$26*Demand_Volatility!C40*(1+Stress_Data!E39)</f>
        <v>31468.800000000003</v>
      </c>
      <c r="Q39" s="12">
        <f t="shared" si="20"/>
        <v>31468.800000000003</v>
      </c>
      <c r="R39" s="12">
        <f>MIN(Parameters!$C$13,MAX(0,N39+M39-Q39))</f>
        <v>2066.6539734651233</v>
      </c>
      <c r="S39" s="12">
        <f t="shared" si="21"/>
        <v>0</v>
      </c>
      <c r="T39" s="12">
        <f>(Q39*Stress_Data!C39)+(S39*Stress_Data!C39*(1-Parameters!$B$23))</f>
        <v>110140800.00000001</v>
      </c>
      <c r="V39" s="12">
        <f t="shared" si="22"/>
        <v>599658175.66447067</v>
      </c>
      <c r="W39" s="26">
        <f>W38*(1+IF(A39&lt;10,Parameters!$B$36,IF(A39&lt;=45,Parameters!$B$37,Parameters!$B$38)))</f>
        <v>1.0536415328517124</v>
      </c>
      <c r="X39" s="12">
        <f>Parameters!$B$30*W39</f>
        <v>258142175.54866952</v>
      </c>
      <c r="Y39" s="12">
        <f>(Parameters!$B$15+Parameters!$B$16*I39)*W39</f>
        <v>6321849.1971102739</v>
      </c>
      <c r="Z39" s="12">
        <f>(Parameters!$C$15+Parameters!$C$16*R39)*Stress_Scenario!W39</f>
        <v>1634900.1107894655</v>
      </c>
      <c r="AA39" s="12">
        <f t="shared" si="13"/>
        <v>266098924.85656926</v>
      </c>
      <c r="AB39" s="12">
        <f t="shared" si="23"/>
        <v>333559250.80790138</v>
      </c>
      <c r="AC39" s="6">
        <f>(1+Parameters!$B$39)^-Stress_Scenario!A39</f>
        <v>0.93614586999635163</v>
      </c>
      <c r="AD39" s="12">
        <f t="shared" si="8"/>
        <v>312260115.04289412</v>
      </c>
      <c r="AF39" s="12">
        <f t="shared" si="24"/>
        <v>0</v>
      </c>
      <c r="AG39" s="12">
        <f t="shared" si="27"/>
        <v>0</v>
      </c>
      <c r="AH39" s="12">
        <f t="shared" si="25"/>
        <v>0</v>
      </c>
      <c r="AI39" s="12">
        <f t="shared" si="26"/>
        <v>0</v>
      </c>
    </row>
    <row r="40" spans="1:35" x14ac:dyDescent="0.35">
      <c r="A40" s="5">
        <v>37</v>
      </c>
      <c r="B40" s="12">
        <f>B39*(1-Parameters!$B$9)</f>
        <v>111558.58147535086</v>
      </c>
      <c r="C40" s="21"/>
      <c r="D40" s="12">
        <f>B40*Parameters!$B$6</f>
        <v>78091.007032745591</v>
      </c>
      <c r="E40" s="12">
        <f t="shared" si="15"/>
        <v>50000</v>
      </c>
      <c r="F40" s="12">
        <f t="shared" si="17"/>
        <v>128091.00703274559</v>
      </c>
      <c r="G40" s="12">
        <f>Parameters!$B$25*Demand_Volatility!B41*Stress_Data!F40</f>
        <v>66392.820000000007</v>
      </c>
      <c r="H40" s="12">
        <f t="shared" si="18"/>
        <v>66392.820000000007</v>
      </c>
      <c r="I40" s="12">
        <f>MIN(Parameters!$B$13,MAX(0,E40+D40-H40))</f>
        <v>50000</v>
      </c>
      <c r="J40" s="12">
        <f t="shared" si="19"/>
        <v>11698.187032745584</v>
      </c>
      <c r="K40" s="12">
        <f>(H40*Stress_Data!B40*Stress_Data!D40)+(J40*Stress_Data!B40*Stress_Data!D40*(1-Parameters!$B$22))</f>
        <v>485960623.51549423</v>
      </c>
      <c r="M40" s="12">
        <f>B40*Parameters!$B$7</f>
        <v>33467.574442605255</v>
      </c>
      <c r="N40" s="12">
        <f t="shared" si="16"/>
        <v>2066.6539734651233</v>
      </c>
      <c r="O40" s="12">
        <f t="shared" si="12"/>
        <v>35534.228416070378</v>
      </c>
      <c r="P40" s="12">
        <f>Parameters!$B$26*Demand_Volatility!C41*(1+Stress_Data!E40)</f>
        <v>34612.160000000003</v>
      </c>
      <c r="Q40" s="12">
        <f t="shared" si="20"/>
        <v>34612.160000000003</v>
      </c>
      <c r="R40" s="12">
        <f>MIN(Parameters!$C$13,MAX(0,N40+M40-Q40))</f>
        <v>922.06841607037495</v>
      </c>
      <c r="S40" s="12">
        <f t="shared" si="21"/>
        <v>0</v>
      </c>
      <c r="T40" s="12">
        <f>(Q40*Stress_Data!C40)+(S40*Stress_Data!C40*(1-Parameters!$B$23))</f>
        <v>121142560.00000001</v>
      </c>
      <c r="V40" s="12">
        <f t="shared" si="22"/>
        <v>607103183.51549423</v>
      </c>
      <c r="W40" s="26">
        <f>W39*(1+IF(A40&lt;10,Parameters!$B$36,IF(A40&lt;=45,Parameters!$B$37,Parameters!$B$38)))</f>
        <v>1.0553891421139392</v>
      </c>
      <c r="X40" s="12">
        <f>Parameters!$B$30*W40</f>
        <v>258570339.81791511</v>
      </c>
      <c r="Y40" s="12">
        <f>(Parameters!$B$15+Parameters!$B$16*I40)*W40</f>
        <v>6332334.8526836354</v>
      </c>
      <c r="Z40" s="12">
        <f>(Parameters!$C$15+Parameters!$C$16*R40)*Stress_Scenario!W40</f>
        <v>1607412.2380360807</v>
      </c>
      <c r="AA40" s="12">
        <f t="shared" si="13"/>
        <v>266510086.90863481</v>
      </c>
      <c r="AB40" s="12">
        <f t="shared" si="23"/>
        <v>340593096.60685945</v>
      </c>
      <c r="AC40" s="6">
        <f>(1+Parameters!$B$39)^-Stress_Scenario!A40</f>
        <v>0.93443159091726002</v>
      </c>
      <c r="AD40" s="12">
        <f t="shared" si="8"/>
        <v>318260949.11778373</v>
      </c>
      <c r="AF40" s="12">
        <f t="shared" si="24"/>
        <v>0</v>
      </c>
      <c r="AG40" s="12">
        <f t="shared" si="27"/>
        <v>0</v>
      </c>
      <c r="AH40" s="12">
        <f t="shared" si="25"/>
        <v>0</v>
      </c>
      <c r="AI40" s="12">
        <f t="shared" si="26"/>
        <v>0</v>
      </c>
    </row>
    <row r="41" spans="1:35" x14ac:dyDescent="0.35">
      <c r="A41" s="5">
        <v>38</v>
      </c>
      <c r="B41" s="12">
        <f>B40*(1-Parameters!$B$9)</f>
        <v>111332.77435850279</v>
      </c>
      <c r="C41" s="21"/>
      <c r="D41" s="12">
        <f>B41*Parameters!$B$6</f>
        <v>77932.942050951955</v>
      </c>
      <c r="E41" s="12">
        <f t="shared" si="15"/>
        <v>50000</v>
      </c>
      <c r="F41" s="12">
        <f t="shared" si="17"/>
        <v>127932.94205095196</v>
      </c>
      <c r="G41" s="12">
        <f>Parameters!$B$25*Demand_Volatility!B42*Stress_Data!F41</f>
        <v>65670.149999999994</v>
      </c>
      <c r="H41" s="12">
        <f t="shared" si="18"/>
        <v>65670.149999999994</v>
      </c>
      <c r="I41" s="12">
        <f>MIN(Parameters!$B$13,MAX(0,E41+D41-H41))</f>
        <v>50000</v>
      </c>
      <c r="J41" s="12">
        <f t="shared" si="19"/>
        <v>12262.792050951961</v>
      </c>
      <c r="K41" s="12">
        <f>(H41*Stress_Data!B41*Stress_Data!D41)+(J41*Stress_Data!B41*Stress_Data!D41*(1-Parameters!$B$22))</f>
        <v>482114161.90146536</v>
      </c>
      <c r="M41" s="12">
        <f>B41*Parameters!$B$7</f>
        <v>33399.832307550838</v>
      </c>
      <c r="N41" s="12">
        <f t="shared" si="16"/>
        <v>922.06841607037495</v>
      </c>
      <c r="O41" s="12">
        <f t="shared" si="12"/>
        <v>34321.900723621213</v>
      </c>
      <c r="P41" s="12">
        <f>Parameters!$B$26*Demand_Volatility!C42*(1+Stress_Data!E41)</f>
        <v>34418.559999999998</v>
      </c>
      <c r="Q41" s="12">
        <f t="shared" si="20"/>
        <v>34321.900723621213</v>
      </c>
      <c r="R41" s="12">
        <f>MIN(Parameters!$C$13,MAX(0,N41+M41-Q41))</f>
        <v>0</v>
      </c>
      <c r="S41" s="12">
        <f t="shared" si="21"/>
        <v>0</v>
      </c>
      <c r="T41" s="12">
        <f>(Q41*Stress_Data!C41)+(S41*Stress_Data!C41*(1-Parameters!$B$23))</f>
        <v>120126652.53267424</v>
      </c>
      <c r="V41" s="12">
        <f t="shared" si="22"/>
        <v>602240814.43413961</v>
      </c>
      <c r="W41" s="26">
        <f>W40*(1+IF(A41&lt;10,Parameters!$B$36,IF(A41&lt;=45,Parameters!$B$37,Parameters!$B$38)))</f>
        <v>1.0571396500262649</v>
      </c>
      <c r="X41" s="12">
        <f>Parameters!$B$30*W41</f>
        <v>258999214.25643489</v>
      </c>
      <c r="Y41" s="12">
        <f>(Parameters!$B$15+Parameters!$B$16*I41)*W41</f>
        <v>6342837.9001575895</v>
      </c>
      <c r="Z41" s="12">
        <f>(Parameters!$C$15+Parameters!$C$16*R41)*Stress_Scenario!W41</f>
        <v>1585709.4750393974</v>
      </c>
      <c r="AA41" s="12">
        <f t="shared" si="13"/>
        <v>266927761.63163188</v>
      </c>
      <c r="AB41" s="12">
        <f t="shared" si="23"/>
        <v>335313052.80250776</v>
      </c>
      <c r="AC41" s="6">
        <f>(1+Parameters!$B$39)^-Stress_Scenario!A41</f>
        <v>0.9327204510420628</v>
      </c>
      <c r="AD41" s="12">
        <f t="shared" si="8"/>
        <v>312753341.85024607</v>
      </c>
      <c r="AF41" s="12">
        <f t="shared" si="24"/>
        <v>0</v>
      </c>
      <c r="AG41" s="12">
        <f t="shared" si="27"/>
        <v>0</v>
      </c>
      <c r="AH41" s="12">
        <f t="shared" si="25"/>
        <v>0</v>
      </c>
      <c r="AI41" s="12">
        <f t="shared" si="26"/>
        <v>0</v>
      </c>
    </row>
    <row r="42" spans="1:35" x14ac:dyDescent="0.35">
      <c r="A42" s="5">
        <v>39</v>
      </c>
      <c r="B42" s="12">
        <f>B41*(1-Parameters!$B$9)</f>
        <v>111107.42430065767</v>
      </c>
      <c r="C42" s="21"/>
      <c r="D42" s="12">
        <f>B42*Parameters!$B$6</f>
        <v>77775.197010460368</v>
      </c>
      <c r="E42" s="12">
        <f t="shared" si="15"/>
        <v>50000</v>
      </c>
      <c r="F42" s="12">
        <f t="shared" si="17"/>
        <v>127775.19701046037</v>
      </c>
      <c r="G42" s="12">
        <f>Parameters!$B$25*Demand_Volatility!B43*Stress_Data!F42</f>
        <v>64967.369999999995</v>
      </c>
      <c r="H42" s="12">
        <f t="shared" si="18"/>
        <v>64967.369999999995</v>
      </c>
      <c r="I42" s="12">
        <f>MIN(Parameters!$B$13,MAX(0,E42+D42-H42))</f>
        <v>50000</v>
      </c>
      <c r="J42" s="12">
        <f t="shared" si="19"/>
        <v>12807.827010460373</v>
      </c>
      <c r="K42" s="12">
        <f>(H42*Stress_Data!B42*Stress_Data!D42)+(J42*Stress_Data!B42*Stress_Data!D42*(1-Parameters!$B$22))</f>
        <v>478365160.25301611</v>
      </c>
      <c r="M42" s="12">
        <f>B42*Parameters!$B$7</f>
        <v>33332.227290197297</v>
      </c>
      <c r="N42" s="12">
        <f t="shared" si="16"/>
        <v>0</v>
      </c>
      <c r="O42" s="12">
        <f t="shared" si="12"/>
        <v>33332.227290197297</v>
      </c>
      <c r="P42" s="12">
        <f>Parameters!$B$26*Demand_Volatility!C43*(1+Stress_Data!E42)</f>
        <v>35988.480000000003</v>
      </c>
      <c r="Q42" s="12">
        <f t="shared" si="20"/>
        <v>33332.227290197297</v>
      </c>
      <c r="R42" s="12">
        <f>MIN(Parameters!$C$13,MAX(0,N42+M42-Q42))</f>
        <v>0</v>
      </c>
      <c r="S42" s="12">
        <f t="shared" si="21"/>
        <v>0</v>
      </c>
      <c r="T42" s="12">
        <f>(Q42*Stress_Data!C42)+(S42*Stress_Data!C42*(1-Parameters!$B$23))</f>
        <v>116662795.51569054</v>
      </c>
      <c r="V42" s="12">
        <f t="shared" si="22"/>
        <v>595027955.76870668</v>
      </c>
      <c r="W42" s="26">
        <f>W41*(1+IF(A42&lt;10,Parameters!$B$36,IF(A42&lt;=45,Parameters!$B$37,Parameters!$B$38)))</f>
        <v>1.0588930613964989</v>
      </c>
      <c r="X42" s="12">
        <f>Parameters!$B$30*W42</f>
        <v>259428800.04214221</v>
      </c>
      <c r="Y42" s="12">
        <f>(Parameters!$B$15+Parameters!$B$16*I42)*W42</f>
        <v>6353358.3683789931</v>
      </c>
      <c r="Z42" s="12">
        <f>(Parameters!$C$15+Parameters!$C$16*R42)*Stress_Scenario!W42</f>
        <v>1588339.5920947483</v>
      </c>
      <c r="AA42" s="12">
        <f t="shared" si="13"/>
        <v>267370498.00261596</v>
      </c>
      <c r="AB42" s="12">
        <f t="shared" si="23"/>
        <v>327657457.76609075</v>
      </c>
      <c r="AC42" s="6">
        <f>(1+Parameters!$B$39)^-Stress_Scenario!A42</f>
        <v>0.93101244462222088</v>
      </c>
      <c r="AD42" s="12">
        <f t="shared" si="8"/>
        <v>305053170.75351024</v>
      </c>
      <c r="AF42" s="12">
        <f t="shared" si="24"/>
        <v>0</v>
      </c>
      <c r="AG42" s="12">
        <f t="shared" si="27"/>
        <v>0</v>
      </c>
      <c r="AH42" s="12">
        <f t="shared" si="25"/>
        <v>0</v>
      </c>
      <c r="AI42" s="12">
        <f t="shared" si="26"/>
        <v>0</v>
      </c>
    </row>
    <row r="43" spans="1:35" x14ac:dyDescent="0.35">
      <c r="A43" s="5">
        <v>40</v>
      </c>
      <c r="B43" s="12">
        <f>B42*(1-Parameters!$B$9)</f>
        <v>110882.53037667667</v>
      </c>
      <c r="C43" s="21"/>
      <c r="D43" s="12">
        <f>B43*Parameters!$B$6</f>
        <v>77617.771263673669</v>
      </c>
      <c r="E43" s="12">
        <f t="shared" si="15"/>
        <v>50000</v>
      </c>
      <c r="F43" s="12">
        <f t="shared" si="17"/>
        <v>127617.77126367367</v>
      </c>
      <c r="G43" s="12">
        <f>Parameters!$B$25*Demand_Volatility!B44*Stress_Data!F43</f>
        <v>68103.359999999986</v>
      </c>
      <c r="H43" s="12">
        <f t="shared" si="18"/>
        <v>68103.359999999986</v>
      </c>
      <c r="I43" s="12">
        <f>MIN(Parameters!$B$13,MAX(0,E43+D43-H43))</f>
        <v>50000</v>
      </c>
      <c r="J43" s="12">
        <f t="shared" si="19"/>
        <v>9514.4112636736827</v>
      </c>
      <c r="K43" s="12">
        <f>(H43*Stress_Data!B43*Stress_Data!D43)+(J43*Stress_Data!B43*Stress_Data!D43*(1-Parameters!$B$22))</f>
        <v>493297814.85151768</v>
      </c>
      <c r="M43" s="12">
        <f>B43*Parameters!$B$7</f>
        <v>33264.759113002998</v>
      </c>
      <c r="N43" s="12">
        <f t="shared" si="16"/>
        <v>0</v>
      </c>
      <c r="O43" s="12">
        <f t="shared" si="12"/>
        <v>33264.759113002998</v>
      </c>
      <c r="P43" s="12">
        <f>Parameters!$B$26*Demand_Volatility!C44*(1+Stress_Data!E43)</f>
        <v>35481.600000000006</v>
      </c>
      <c r="Q43" s="12">
        <f t="shared" si="20"/>
        <v>33264.759113002998</v>
      </c>
      <c r="R43" s="12">
        <f>MIN(Parameters!$C$13,MAX(0,N43+M43-Q43))</f>
        <v>0</v>
      </c>
      <c r="S43" s="12">
        <f t="shared" si="21"/>
        <v>0</v>
      </c>
      <c r="T43" s="12">
        <f>(Q43*Stress_Data!C43)+(S43*Stress_Data!C43*(1-Parameters!$B$23))</f>
        <v>116426656.89551049</v>
      </c>
      <c r="V43" s="12">
        <f t="shared" si="22"/>
        <v>609724471.74702811</v>
      </c>
      <c r="W43" s="26">
        <f>W42*(1+IF(A43&lt;10,Parameters!$B$36,IF(A43&lt;=45,Parameters!$B$37,Parameters!$B$38)))</f>
        <v>1.0606493810404252</v>
      </c>
      <c r="X43" s="12">
        <f>Parameters!$B$30*W43</f>
        <v>259859098.35490417</v>
      </c>
      <c r="Y43" s="12">
        <f>(Parameters!$B$15+Parameters!$B$16*I43)*W43</f>
        <v>6363896.2862425512</v>
      </c>
      <c r="Z43" s="12">
        <f>(Parameters!$C$15+Parameters!$C$16*R43)*Stress_Scenario!W43</f>
        <v>1590974.0715606378</v>
      </c>
      <c r="AA43" s="12">
        <f t="shared" si="13"/>
        <v>267813968.71270737</v>
      </c>
      <c r="AB43" s="12">
        <f t="shared" si="23"/>
        <v>341910503.03432071</v>
      </c>
      <c r="AC43" s="6">
        <f>(1+Parameters!$B$39)^-Stress_Scenario!A43</f>
        <v>0.92930756591972086</v>
      </c>
      <c r="AD43" s="12">
        <f t="shared" si="8"/>
        <v>317740017.33721191</v>
      </c>
      <c r="AF43" s="12">
        <f t="shared" si="24"/>
        <v>0</v>
      </c>
      <c r="AG43" s="12">
        <f t="shared" si="27"/>
        <v>0</v>
      </c>
      <c r="AH43" s="12">
        <f t="shared" si="25"/>
        <v>0</v>
      </c>
      <c r="AI43" s="12">
        <f t="shared" si="26"/>
        <v>0</v>
      </c>
    </row>
    <row r="44" spans="1:35" x14ac:dyDescent="0.35">
      <c r="A44" s="5">
        <v>41</v>
      </c>
      <c r="B44" s="12">
        <f>B43*(1-Parameters!$B$9)</f>
        <v>110658.09166329354</v>
      </c>
      <c r="C44" s="21"/>
      <c r="D44" s="12">
        <f>B44*Parameters!$B$6</f>
        <v>77460.664164305475</v>
      </c>
      <c r="E44" s="12">
        <f t="shared" si="15"/>
        <v>50000</v>
      </c>
      <c r="F44" s="12">
        <f t="shared" si="17"/>
        <v>127460.66416430548</v>
      </c>
      <c r="G44" s="12">
        <f>Parameters!$B$25*Demand_Volatility!B45*Stress_Data!F44</f>
        <v>65590.59</v>
      </c>
      <c r="H44" s="12">
        <f t="shared" si="18"/>
        <v>65590.59</v>
      </c>
      <c r="I44" s="12">
        <f>MIN(Parameters!$B$13,MAX(0,E44+D44-H44))</f>
        <v>50000</v>
      </c>
      <c r="J44" s="12">
        <f t="shared" si="19"/>
        <v>11870.074164305479</v>
      </c>
      <c r="K44" s="12">
        <f>(H44*Stress_Data!B44*Stress_Data!D44)+(J44*Stress_Data!B44*Stress_Data!D44*(1-Parameters!$B$22))</f>
        <v>480742008.35707545</v>
      </c>
      <c r="M44" s="12">
        <f>B44*Parameters!$B$7</f>
        <v>33197.427498988058</v>
      </c>
      <c r="N44" s="12">
        <f t="shared" si="16"/>
        <v>0</v>
      </c>
      <c r="O44" s="12">
        <f t="shared" si="12"/>
        <v>33197.427498988058</v>
      </c>
      <c r="P44" s="12">
        <f>Parameters!$B$26*Demand_Volatility!C45*(1+Stress_Data!E44)</f>
        <v>36534.080000000009</v>
      </c>
      <c r="Q44" s="12">
        <f t="shared" si="20"/>
        <v>33197.427498988058</v>
      </c>
      <c r="R44" s="12">
        <f>MIN(Parameters!$C$13,MAX(0,N44+M44-Q44))</f>
        <v>0</v>
      </c>
      <c r="S44" s="12">
        <f t="shared" si="21"/>
        <v>0</v>
      </c>
      <c r="T44" s="12">
        <f>(Q44*Stress_Data!C44)+(S44*Stress_Data!C44*(1-Parameters!$B$23))</f>
        <v>116190996.2464582</v>
      </c>
      <c r="V44" s="12">
        <f t="shared" si="22"/>
        <v>596933004.60353363</v>
      </c>
      <c r="W44" s="26">
        <f>W43*(1+IF(A44&lt;10,Parameters!$B$36,IF(A44&lt;=45,Parameters!$B$37,Parameters!$B$38)))</f>
        <v>1.0624086137818154</v>
      </c>
      <c r="X44" s="12">
        <f>Parameters!$B$30*W44</f>
        <v>260290110.37654477</v>
      </c>
      <c r="Y44" s="12">
        <f>(Parameters!$B$15+Parameters!$B$16*I44)*W44</f>
        <v>6374451.6826908924</v>
      </c>
      <c r="Z44" s="12">
        <f>(Parameters!$C$15+Parameters!$C$16*R44)*Stress_Scenario!W44</f>
        <v>1593612.9206727231</v>
      </c>
      <c r="AA44" s="12">
        <f t="shared" si="13"/>
        <v>268258174.97990838</v>
      </c>
      <c r="AB44" s="12">
        <f t="shared" si="23"/>
        <v>328674829.62362528</v>
      </c>
      <c r="AC44" s="6">
        <f>(1+Parameters!$B$39)^-Stress_Scenario!A44</f>
        <v>0.92760580920705826</v>
      </c>
      <c r="AD44" s="12">
        <f t="shared" si="8"/>
        <v>304880681.29901493</v>
      </c>
      <c r="AF44" s="12">
        <f t="shared" si="24"/>
        <v>0</v>
      </c>
      <c r="AG44" s="12">
        <f t="shared" si="27"/>
        <v>0</v>
      </c>
      <c r="AH44" s="12">
        <f t="shared" si="25"/>
        <v>0</v>
      </c>
      <c r="AI44" s="12">
        <f t="shared" si="26"/>
        <v>0</v>
      </c>
    </row>
    <row r="45" spans="1:35" x14ac:dyDescent="0.35">
      <c r="A45" s="5">
        <v>42</v>
      </c>
      <c r="B45" s="12">
        <f>B44*(1-Parameters!$B$9)</f>
        <v>110434.10723911082</v>
      </c>
      <c r="C45" s="21"/>
      <c r="D45" s="12">
        <f>B45*Parameters!$B$6</f>
        <v>77303.875067377565</v>
      </c>
      <c r="E45" s="12">
        <f t="shared" si="15"/>
        <v>50000</v>
      </c>
      <c r="F45" s="12">
        <f t="shared" si="17"/>
        <v>127303.87506737756</v>
      </c>
      <c r="G45" s="12">
        <f>Parameters!$B$25*Demand_Volatility!B46*Stress_Data!F45</f>
        <v>69455.88</v>
      </c>
      <c r="H45" s="12">
        <f t="shared" si="18"/>
        <v>69455.88</v>
      </c>
      <c r="I45" s="12">
        <f>MIN(Parameters!$B$13,MAX(0,E45+D45-H45))</f>
        <v>50000</v>
      </c>
      <c r="J45" s="12">
        <f t="shared" si="19"/>
        <v>7847.9950673775602</v>
      </c>
      <c r="K45" s="12">
        <f>(H45*Stress_Data!B45*Stress_Data!D45)+(J45*Stress_Data!B45*Stress_Data!D45*(1-Parameters!$B$22))</f>
        <v>499225056.27252269</v>
      </c>
      <c r="M45" s="12">
        <f>B45*Parameters!$B$7</f>
        <v>33130.232171733245</v>
      </c>
      <c r="N45" s="12">
        <f t="shared" si="16"/>
        <v>0</v>
      </c>
      <c r="O45" s="12">
        <f t="shared" si="12"/>
        <v>33130.232171733245</v>
      </c>
      <c r="P45" s="12">
        <f>Parameters!$B$26*Demand_Volatility!C46*(1+Stress_Data!E45)</f>
        <v>34914.880000000005</v>
      </c>
      <c r="Q45" s="12">
        <f t="shared" si="20"/>
        <v>33130.232171733245</v>
      </c>
      <c r="R45" s="12">
        <f>MIN(Parameters!$C$13,MAX(0,N45+M45-Q45))</f>
        <v>0</v>
      </c>
      <c r="S45" s="12">
        <f t="shared" si="21"/>
        <v>0</v>
      </c>
      <c r="T45" s="12">
        <f>(Q45*Stress_Data!C45)+(S45*Stress_Data!C45*(1-Parameters!$B$23))</f>
        <v>115955812.60106635</v>
      </c>
      <c r="V45" s="12">
        <f t="shared" si="22"/>
        <v>615180868.87358904</v>
      </c>
      <c r="W45" s="26">
        <f>W44*(1+IF(A45&lt;10,Parameters!$B$36,IF(A45&lt;=45,Parameters!$B$37,Parameters!$B$38)))</f>
        <v>1.0641707644524419</v>
      </c>
      <c r="X45" s="12">
        <f>Parameters!$B$30*W45</f>
        <v>260721837.29084826</v>
      </c>
      <c r="Y45" s="12">
        <f>(Parameters!$B$15+Parameters!$B$16*I45)*W45</f>
        <v>6385024.5867146514</v>
      </c>
      <c r="Z45" s="12">
        <f>(Parameters!$C$15+Parameters!$C$16*R45)*Stress_Scenario!W45</f>
        <v>1596256.1466786629</v>
      </c>
      <c r="AA45" s="12">
        <f t="shared" si="13"/>
        <v>268703118.02424157</v>
      </c>
      <c r="AB45" s="12">
        <f t="shared" si="23"/>
        <v>346477750.84934747</v>
      </c>
      <c r="AC45" s="6">
        <f>(1+Parameters!$B$39)^-Stress_Scenario!A45</f>
        <v>0.92590716876721524</v>
      </c>
      <c r="AD45" s="12">
        <f t="shared" si="8"/>
        <v>320806233.32975191</v>
      </c>
      <c r="AF45" s="12">
        <f t="shared" si="24"/>
        <v>0</v>
      </c>
      <c r="AG45" s="12">
        <f t="shared" si="27"/>
        <v>0</v>
      </c>
      <c r="AH45" s="12">
        <f t="shared" si="25"/>
        <v>0</v>
      </c>
      <c r="AI45" s="12">
        <f t="shared" si="26"/>
        <v>0</v>
      </c>
    </row>
    <row r="46" spans="1:35" x14ac:dyDescent="0.35">
      <c r="A46" s="5">
        <v>43</v>
      </c>
      <c r="B46" s="12">
        <f>B45*(1-Parameters!$B$9)</f>
        <v>110210.57618459608</v>
      </c>
      <c r="C46" s="21"/>
      <c r="D46" s="12">
        <f>B46*Parameters!$B$6</f>
        <v>77147.403329217253</v>
      </c>
      <c r="E46" s="12">
        <f t="shared" si="15"/>
        <v>50000</v>
      </c>
      <c r="F46" s="12">
        <f t="shared" si="17"/>
        <v>127147.40332921725</v>
      </c>
      <c r="G46" s="12">
        <f>Parameters!$B$25*Demand_Volatility!B47*Stress_Data!F46</f>
        <v>64801.619999999995</v>
      </c>
      <c r="H46" s="12">
        <f t="shared" si="18"/>
        <v>64801.619999999995</v>
      </c>
      <c r="I46" s="12">
        <f>MIN(Parameters!$B$13,MAX(0,E46+D46-H46))</f>
        <v>50000</v>
      </c>
      <c r="J46" s="12">
        <f t="shared" si="19"/>
        <v>12345.783329217258</v>
      </c>
      <c r="K46" s="12">
        <f>(H46*Stress_Data!B46*Stress_Data!D46)+(J46*Stress_Data!B46*Stress_Data!D46*(1-Parameters!$B$22))</f>
        <v>476249227.95141548</v>
      </c>
      <c r="M46" s="12">
        <f>B46*Parameters!$B$7</f>
        <v>33063.17285537882</v>
      </c>
      <c r="N46" s="12">
        <f t="shared" si="16"/>
        <v>0</v>
      </c>
      <c r="O46" s="12">
        <f t="shared" si="12"/>
        <v>33063.17285537882</v>
      </c>
      <c r="P46" s="12">
        <f>Parameters!$B$26*Demand_Volatility!C47*(1+Stress_Data!E46)</f>
        <v>34253.120000000003</v>
      </c>
      <c r="Q46" s="12">
        <f t="shared" si="20"/>
        <v>33063.17285537882</v>
      </c>
      <c r="R46" s="12">
        <f>MIN(Parameters!$C$13,MAX(0,N46+M46-Q46))</f>
        <v>0</v>
      </c>
      <c r="S46" s="12">
        <f t="shared" si="21"/>
        <v>0</v>
      </c>
      <c r="T46" s="12">
        <f>(Q46*Stress_Data!C46)+(S46*Stress_Data!C46*(1-Parameters!$B$23))</f>
        <v>115721104.99382587</v>
      </c>
      <c r="V46" s="12">
        <f t="shared" si="22"/>
        <v>591970332.94524133</v>
      </c>
      <c r="W46" s="26">
        <f>W45*(1+IF(A46&lt;10,Parameters!$B$36,IF(A46&lt;=45,Parameters!$B$37,Parameters!$B$38)))</f>
        <v>1.0659358378920911</v>
      </c>
      <c r="X46" s="12">
        <f>Parameters!$B$30*W46</f>
        <v>261154280.28356233</v>
      </c>
      <c r="Y46" s="12">
        <f>(Parameters!$B$15+Parameters!$B$16*I46)*W46</f>
        <v>6395615.0273525463</v>
      </c>
      <c r="Z46" s="12">
        <f>(Parameters!$C$15+Parameters!$C$16*R46)*Stress_Scenario!W46</f>
        <v>1598903.7568381366</v>
      </c>
      <c r="AA46" s="12">
        <f t="shared" si="13"/>
        <v>269148799.06775302</v>
      </c>
      <c r="AB46" s="12">
        <f t="shared" si="23"/>
        <v>322821533.87748832</v>
      </c>
      <c r="AC46" s="6">
        <f>(1+Parameters!$B$39)^-Stress_Scenario!A46</f>
        <v>0.92421163889364466</v>
      </c>
      <c r="AD46" s="12">
        <f t="shared" si="8"/>
        <v>298355418.89507371</v>
      </c>
      <c r="AF46" s="12">
        <f t="shared" si="24"/>
        <v>0</v>
      </c>
      <c r="AG46" s="12">
        <f t="shared" si="27"/>
        <v>0</v>
      </c>
      <c r="AH46" s="12">
        <f t="shared" si="25"/>
        <v>0</v>
      </c>
      <c r="AI46" s="12">
        <f t="shared" si="26"/>
        <v>0</v>
      </c>
    </row>
    <row r="47" spans="1:35" x14ac:dyDescent="0.35">
      <c r="A47" s="5">
        <v>44</v>
      </c>
      <c r="B47" s="12">
        <f>B46*(1-Parameters!$B$9)</f>
        <v>109987.49758207811</v>
      </c>
      <c r="C47" s="21"/>
      <c r="D47" s="12">
        <f>B47*Parameters!$B$6</f>
        <v>76991.248307454676</v>
      </c>
      <c r="E47" s="12">
        <f t="shared" si="15"/>
        <v>50000</v>
      </c>
      <c r="F47" s="12">
        <f t="shared" si="17"/>
        <v>126991.24830745468</v>
      </c>
      <c r="G47" s="12">
        <f>Parameters!$B$25*Demand_Volatility!B48*Stress_Data!F47</f>
        <v>63840.27</v>
      </c>
      <c r="H47" s="12">
        <f t="shared" si="18"/>
        <v>63840.27</v>
      </c>
      <c r="I47" s="12">
        <f>MIN(Parameters!$B$13,MAX(0,E47+D47-H47))</f>
        <v>50000</v>
      </c>
      <c r="J47" s="12">
        <f t="shared" si="19"/>
        <v>13150.978307454679</v>
      </c>
      <c r="K47" s="12">
        <f>(H47*Stress_Data!B47*Stress_Data!D47)+(J47*Stress_Data!B47*Stress_Data!D47*(1-Parameters!$B$22))</f>
        <v>471245237.39802748</v>
      </c>
      <c r="M47" s="12">
        <f>B47*Parameters!$B$7</f>
        <v>32996.249274623435</v>
      </c>
      <c r="N47" s="12">
        <f t="shared" si="16"/>
        <v>0</v>
      </c>
      <c r="O47" s="12">
        <f t="shared" si="12"/>
        <v>32996.249274623435</v>
      </c>
      <c r="P47" s="12">
        <f>Parameters!$B$26*Demand_Volatility!C48*(1+Stress_Data!E47)</f>
        <v>36664.320000000007</v>
      </c>
      <c r="Q47" s="12">
        <f t="shared" si="20"/>
        <v>32996.249274623435</v>
      </c>
      <c r="R47" s="12">
        <f>MIN(Parameters!$C$13,MAX(0,N47+M47-Q47))</f>
        <v>0</v>
      </c>
      <c r="S47" s="12">
        <f t="shared" si="21"/>
        <v>0</v>
      </c>
      <c r="T47" s="12">
        <f>(Q47*Stress_Data!C47)+(S47*Stress_Data!C47*(1-Parameters!$B$23))</f>
        <v>115486872.46118203</v>
      </c>
      <c r="V47" s="12">
        <f t="shared" si="22"/>
        <v>586732109.85920954</v>
      </c>
      <c r="W47" s="26">
        <f>W46*(1+IF(A47&lt;10,Parameters!$B$36,IF(A47&lt;=45,Parameters!$B$37,Parameters!$B$38)))</f>
        <v>1.0677038389485773</v>
      </c>
      <c r="X47" s="12">
        <f>Parameters!$B$30*W47</f>
        <v>261587440.54240146</v>
      </c>
      <c r="Y47" s="12">
        <f>(Parameters!$B$15+Parameters!$B$16*I47)*W47</f>
        <v>6406223.033691464</v>
      </c>
      <c r="Z47" s="12">
        <f>(Parameters!$C$15+Parameters!$C$16*R47)*Stress_Scenario!W47</f>
        <v>1601555.758422866</v>
      </c>
      <c r="AA47" s="12">
        <f t="shared" si="13"/>
        <v>269595219.33451581</v>
      </c>
      <c r="AB47" s="12">
        <f t="shared" si="23"/>
        <v>317136890.52469373</v>
      </c>
      <c r="AC47" s="6">
        <f>(1+Parameters!$B$39)^-Stress_Scenario!A47</f>
        <v>0.92251921389024771</v>
      </c>
      <c r="AD47" s="12">
        <f t="shared" si="8"/>
        <v>292564874.94243801</v>
      </c>
      <c r="AF47" s="12">
        <f t="shared" si="24"/>
        <v>0</v>
      </c>
      <c r="AG47" s="12">
        <f t="shared" si="27"/>
        <v>0</v>
      </c>
      <c r="AH47" s="12">
        <f t="shared" si="25"/>
        <v>0</v>
      </c>
      <c r="AI47" s="12">
        <f t="shared" si="26"/>
        <v>0</v>
      </c>
    </row>
    <row r="48" spans="1:35" x14ac:dyDescent="0.35">
      <c r="A48" s="5">
        <v>45</v>
      </c>
      <c r="B48" s="12">
        <f>B47*(1-Parameters!$B$9)</f>
        <v>109764.8705157432</v>
      </c>
      <c r="C48" s="21"/>
      <c r="D48" s="12">
        <f>B48*Parameters!$B$6</f>
        <v>76835.40936102024</v>
      </c>
      <c r="E48" s="12">
        <f t="shared" si="15"/>
        <v>50000</v>
      </c>
      <c r="F48" s="12">
        <f t="shared" si="17"/>
        <v>126835.40936102024</v>
      </c>
      <c r="G48" s="12">
        <f>Parameters!$B$25*Demand_Volatility!B49*Stress_Data!F48</f>
        <v>68395.08</v>
      </c>
      <c r="H48" s="12">
        <f t="shared" si="18"/>
        <v>68395.08</v>
      </c>
      <c r="I48" s="12">
        <f>MIN(Parameters!$B$13,MAX(0,E48+D48-H48))</f>
        <v>50000</v>
      </c>
      <c r="J48" s="12">
        <f t="shared" si="19"/>
        <v>8440.3293610202381</v>
      </c>
      <c r="K48" s="12">
        <f>(H48*Stress_Data!B48*Stress_Data!D48)+(J48*Stress_Data!B48*Stress_Data!D48*(1-Parameters!$B$22))</f>
        <v>493085747.07534385</v>
      </c>
      <c r="M48" s="12">
        <f>B48*Parameters!$B$7</f>
        <v>32929.461154722958</v>
      </c>
      <c r="N48" s="12">
        <f t="shared" si="16"/>
        <v>0</v>
      </c>
      <c r="O48" s="12">
        <f t="shared" si="12"/>
        <v>32929.461154722958</v>
      </c>
      <c r="P48" s="12">
        <f>Parameters!$B$26*Demand_Volatility!C49*(1+Stress_Data!E48)</f>
        <v>35020.480000000003</v>
      </c>
      <c r="Q48" s="12">
        <f t="shared" si="20"/>
        <v>32929.461154722958</v>
      </c>
      <c r="R48" s="12">
        <f>MIN(Parameters!$C$13,MAX(0,N48+M48-Q48))</f>
        <v>0</v>
      </c>
      <c r="S48" s="12">
        <f t="shared" si="21"/>
        <v>0</v>
      </c>
      <c r="T48" s="12">
        <f>(Q48*Stress_Data!C48)+(S48*Stress_Data!C48*(1-Parameters!$B$23))</f>
        <v>115253114.04153036</v>
      </c>
      <c r="V48" s="12">
        <f t="shared" si="22"/>
        <v>608338861.11687422</v>
      </c>
      <c r="W48" s="26">
        <f>W47*(1+IF(A48&lt;10,Parameters!$B$36,IF(A48&lt;=45,Parameters!$B$37,Parameters!$B$38)))</f>
        <v>1.0694747724777554</v>
      </c>
      <c r="X48" s="12">
        <f>Parameters!$B$30*W48</f>
        <v>262021319.25705007</v>
      </c>
      <c r="Y48" s="12">
        <f>(Parameters!$B$15+Parameters!$B$16*I48)*W48</f>
        <v>6416848.6348665319</v>
      </c>
      <c r="Z48" s="12">
        <f>(Parameters!$C$15+Parameters!$C$16*R48)*Stress_Scenario!W48</f>
        <v>1604212.158716633</v>
      </c>
      <c r="AA48" s="12">
        <f t="shared" si="13"/>
        <v>270042380.05063319</v>
      </c>
      <c r="AB48" s="12">
        <f t="shared" si="23"/>
        <v>338296481.06624103</v>
      </c>
      <c r="AC48" s="6">
        <f>(1+Parameters!$B$39)^-Stress_Scenario!A48</f>
        <v>0.92082988807135779</v>
      </c>
      <c r="AD48" s="12">
        <f t="shared" si="8"/>
        <v>311513510.79516095</v>
      </c>
      <c r="AF48" s="12">
        <f t="shared" si="24"/>
        <v>0</v>
      </c>
      <c r="AG48" s="12">
        <f t="shared" si="27"/>
        <v>0</v>
      </c>
      <c r="AH48" s="12">
        <f t="shared" si="25"/>
        <v>0</v>
      </c>
      <c r="AI48" s="12">
        <f t="shared" si="26"/>
        <v>0</v>
      </c>
    </row>
    <row r="49" spans="1:35" x14ac:dyDescent="0.35">
      <c r="A49" s="5">
        <v>46</v>
      </c>
      <c r="B49" s="12">
        <f>B48*(1-Parameters!$B$9)</f>
        <v>109542.6940716313</v>
      </c>
      <c r="C49" s="21"/>
      <c r="D49" s="12">
        <f>B49*Parameters!$B$6</f>
        <v>76679.885850141902</v>
      </c>
      <c r="E49" s="12">
        <f t="shared" si="15"/>
        <v>50000</v>
      </c>
      <c r="F49" s="12">
        <f t="shared" si="17"/>
        <v>126679.8858501419</v>
      </c>
      <c r="G49" s="12">
        <f>Parameters!$B$25*Demand_Volatility!B50*Stress_Data!F49</f>
        <v>63051.299999999996</v>
      </c>
      <c r="H49" s="12">
        <f t="shared" si="18"/>
        <v>63051.299999999996</v>
      </c>
      <c r="I49" s="12">
        <f>MIN(Parameters!$B$13,MAX(0,E49+D49-H49))</f>
        <v>50000</v>
      </c>
      <c r="J49" s="12">
        <f t="shared" si="19"/>
        <v>13628.585850141906</v>
      </c>
      <c r="K49" s="12">
        <f>(H49*Stress_Data!B49*Stress_Data!D49)+(J49*Stress_Data!B49*Stress_Data!D49*(1-Parameters!$B$22))</f>
        <v>466756416.24905586</v>
      </c>
      <c r="M49" s="12">
        <f>B49*Parameters!$B$7</f>
        <v>32862.808221489388</v>
      </c>
      <c r="N49" s="12">
        <f t="shared" si="16"/>
        <v>0</v>
      </c>
      <c r="O49" s="12">
        <f t="shared" si="12"/>
        <v>32862.808221489388</v>
      </c>
      <c r="P49" s="12">
        <f>Parameters!$B$26*Demand_Volatility!C50*(1+Stress_Data!E49)</f>
        <v>35942.720000000001</v>
      </c>
      <c r="Q49" s="12">
        <f t="shared" si="20"/>
        <v>32862.808221489388</v>
      </c>
      <c r="R49" s="12">
        <f>MIN(Parameters!$C$13,MAX(0,N49+M49-Q49))</f>
        <v>0</v>
      </c>
      <c r="S49" s="12">
        <f t="shared" si="21"/>
        <v>0</v>
      </c>
      <c r="T49" s="12">
        <f>(Q49*Stress_Data!C49)+(S49*Stress_Data!C49*(1-Parameters!$B$23))</f>
        <v>115019828.77521285</v>
      </c>
      <c r="V49" s="12">
        <f t="shared" si="22"/>
        <v>581776245.02426875</v>
      </c>
      <c r="W49" s="26">
        <f>W48*(1+IF(A49&lt;10,Parameters!$B$36,IF(A49&lt;=45,Parameters!$B$37,Parameters!$B$38)))</f>
        <v>1.0706738504626889</v>
      </c>
      <c r="X49" s="12">
        <f>Parameters!$B$30*W49</f>
        <v>262315093.3633588</v>
      </c>
      <c r="Y49" s="12">
        <f>(Parameters!$B$15+Parameters!$B$16*I49)*W49</f>
        <v>6424043.1027761335</v>
      </c>
      <c r="Z49" s="12">
        <f>(Parameters!$C$15+Parameters!$C$16*R49)*Stress_Scenario!W49</f>
        <v>1606010.7756940334</v>
      </c>
      <c r="AA49" s="12">
        <f t="shared" si="13"/>
        <v>270345147.24182892</v>
      </c>
      <c r="AB49" s="12">
        <f t="shared" si="23"/>
        <v>311431097.78243983</v>
      </c>
      <c r="AC49" s="6">
        <f>(1+Parameters!$B$39)^-Stress_Scenario!A49</f>
        <v>0.9191436557617183</v>
      </c>
      <c r="AD49" s="12">
        <f t="shared" si="8"/>
        <v>286249917.73363692</v>
      </c>
      <c r="AF49" s="12">
        <f t="shared" si="24"/>
        <v>0</v>
      </c>
      <c r="AG49" s="12">
        <f t="shared" si="27"/>
        <v>0</v>
      </c>
      <c r="AH49" s="12">
        <f t="shared" si="25"/>
        <v>0</v>
      </c>
      <c r="AI49" s="12">
        <f t="shared" si="26"/>
        <v>0</v>
      </c>
    </row>
    <row r="50" spans="1:35" x14ac:dyDescent="0.35">
      <c r="A50" s="5">
        <v>47</v>
      </c>
      <c r="B50" s="12">
        <f>B49*(1-Parameters!$B$9)</f>
        <v>109320.96733763235</v>
      </c>
      <c r="C50" s="21"/>
      <c r="D50" s="12">
        <f>B50*Parameters!$B$6</f>
        <v>76524.677136342638</v>
      </c>
      <c r="E50" s="12">
        <f t="shared" si="15"/>
        <v>50000</v>
      </c>
      <c r="F50" s="12">
        <f t="shared" si="17"/>
        <v>126524.67713634264</v>
      </c>
      <c r="G50" s="12">
        <f>Parameters!$B$25*Demand_Volatility!B51*Stress_Data!F50</f>
        <v>67360.800000000003</v>
      </c>
      <c r="H50" s="12">
        <f t="shared" si="18"/>
        <v>67360.800000000003</v>
      </c>
      <c r="I50" s="12">
        <f>MIN(Parameters!$B$13,MAX(0,E50+D50-H50))</f>
        <v>50000</v>
      </c>
      <c r="J50" s="12">
        <f t="shared" si="19"/>
        <v>9163.8771363426349</v>
      </c>
      <c r="K50" s="12">
        <f>(H50*Stress_Data!B50*Stress_Data!D50)+(J50*Stress_Data!B50*Stress_Data!D50*(1-Parameters!$B$22))</f>
        <v>487404463.75555623</v>
      </c>
      <c r="M50" s="12">
        <f>B50*Parameters!$B$7</f>
        <v>32796.290201289703</v>
      </c>
      <c r="N50" s="12">
        <f t="shared" si="16"/>
        <v>0</v>
      </c>
      <c r="O50" s="12">
        <f t="shared" si="12"/>
        <v>32796.290201289703</v>
      </c>
      <c r="P50" s="12">
        <f>Parameters!$B$26*Demand_Volatility!C51*(1+Stress_Data!E50)</f>
        <v>36646.720000000001</v>
      </c>
      <c r="Q50" s="12">
        <f t="shared" si="20"/>
        <v>32796.290201289703</v>
      </c>
      <c r="R50" s="12">
        <f>MIN(Parameters!$C$13,MAX(0,N50+M50-Q50))</f>
        <v>0</v>
      </c>
      <c r="S50" s="12">
        <f t="shared" si="21"/>
        <v>0</v>
      </c>
      <c r="T50" s="12">
        <f>(Q50*Stress_Data!C50)+(S50*Stress_Data!C50*(1-Parameters!$B$23))</f>
        <v>114787015.70451397</v>
      </c>
      <c r="V50" s="12">
        <f t="shared" si="22"/>
        <v>602191479.46007013</v>
      </c>
      <c r="W50" s="26">
        <f>W49*(1+IF(A50&lt;10,Parameters!$B$36,IF(A50&lt;=45,Parameters!$B$37,Parameters!$B$38)))</f>
        <v>1.0718742728346533</v>
      </c>
      <c r="X50" s="12">
        <f>Parameters!$B$30*W50</f>
        <v>262609196.84449005</v>
      </c>
      <c r="Y50" s="12">
        <f>(Parameters!$B$15+Parameters!$B$16*I50)*W50</f>
        <v>6431245.6370079201</v>
      </c>
      <c r="Z50" s="12">
        <f>(Parameters!$C$15+Parameters!$C$16*R50)*Stress_Scenario!W50</f>
        <v>1607811.40925198</v>
      </c>
      <c r="AA50" s="12">
        <f t="shared" si="13"/>
        <v>270648253.89074993</v>
      </c>
      <c r="AB50" s="12">
        <f t="shared" si="23"/>
        <v>331543225.5693202</v>
      </c>
      <c r="AC50" s="6">
        <f>(1+Parameters!$B$39)^-Stress_Scenario!A50</f>
        <v>0.91746051129646722</v>
      </c>
      <c r="AD50" s="12">
        <f t="shared" si="8"/>
        <v>304177817.2477085</v>
      </c>
      <c r="AF50" s="12">
        <f t="shared" si="24"/>
        <v>0</v>
      </c>
      <c r="AG50" s="12">
        <f t="shared" si="27"/>
        <v>0</v>
      </c>
      <c r="AH50" s="12">
        <f t="shared" si="25"/>
        <v>0</v>
      </c>
      <c r="AI50" s="12">
        <f t="shared" si="26"/>
        <v>0</v>
      </c>
    </row>
    <row r="51" spans="1:35" x14ac:dyDescent="0.35">
      <c r="A51" s="5">
        <v>48</v>
      </c>
      <c r="B51" s="12">
        <f>B50*(1-Parameters!$B$9)</f>
        <v>109099.68940348251</v>
      </c>
      <c r="C51" s="21"/>
      <c r="D51" s="12">
        <f>B51*Parameters!$B$6</f>
        <v>76369.782582437751</v>
      </c>
      <c r="E51" s="12">
        <f t="shared" si="15"/>
        <v>50000</v>
      </c>
      <c r="F51" s="12">
        <f t="shared" si="17"/>
        <v>126369.78258243775</v>
      </c>
      <c r="G51" s="12">
        <f>Parameters!$B$25*Demand_Volatility!B52*Stress_Data!F51</f>
        <v>65086.710000000006</v>
      </c>
      <c r="H51" s="12">
        <f t="shared" si="18"/>
        <v>65086.710000000006</v>
      </c>
      <c r="I51" s="12">
        <f>MIN(Parameters!$B$13,MAX(0,E51+D51-H51))</f>
        <v>50000</v>
      </c>
      <c r="J51" s="12">
        <f t="shared" si="19"/>
        <v>11283.072582437744</v>
      </c>
      <c r="K51" s="12">
        <f>(H51*Stress_Data!B51*Stress_Data!D51)+(J51*Stress_Data!B51*Stress_Data!D51*(1-Parameters!$B$22))</f>
        <v>476014784.09793222</v>
      </c>
      <c r="M51" s="12">
        <f>B51*Parameters!$B$7</f>
        <v>32729.906821044751</v>
      </c>
      <c r="N51" s="12">
        <f t="shared" si="16"/>
        <v>0</v>
      </c>
      <c r="O51" s="12">
        <f t="shared" si="12"/>
        <v>32729.906821044751</v>
      </c>
      <c r="P51" s="12">
        <f>Parameters!$B$26*Demand_Volatility!C52*(1+Stress_Data!E51)</f>
        <v>35925.120000000003</v>
      </c>
      <c r="Q51" s="12">
        <f t="shared" si="20"/>
        <v>32729.906821044751</v>
      </c>
      <c r="R51" s="12">
        <f>MIN(Parameters!$C$13,MAX(0,N51+M51-Q51))</f>
        <v>0</v>
      </c>
      <c r="S51" s="12">
        <f t="shared" si="21"/>
        <v>0</v>
      </c>
      <c r="T51" s="12">
        <f>(Q51*Stress_Data!C51)+(S51*Stress_Data!C51*(1-Parameters!$B$23))</f>
        <v>114554673.87365663</v>
      </c>
      <c r="V51" s="12">
        <f t="shared" si="22"/>
        <v>590569457.97158885</v>
      </c>
      <c r="W51" s="26">
        <f>W50*(1+IF(A51&lt;10,Parameters!$B$36,IF(A51&lt;=45,Parameters!$B$37,Parameters!$B$38)))</f>
        <v>1.0730760411009539</v>
      </c>
      <c r="X51" s="12">
        <f>Parameters!$B$30*W51</f>
        <v>262903630.06973371</v>
      </c>
      <c r="Y51" s="12">
        <f>(Parameters!$B$15+Parameters!$B$16*I51)*W51</f>
        <v>6438456.2466057232</v>
      </c>
      <c r="Z51" s="12">
        <f>(Parameters!$C$15+Parameters!$C$16*R51)*Stress_Scenario!W51</f>
        <v>1609614.0616514308</v>
      </c>
      <c r="AA51" s="12">
        <f t="shared" si="13"/>
        <v>270951700.37799084</v>
      </c>
      <c r="AB51" s="12">
        <f t="shared" si="23"/>
        <v>319617757.59359801</v>
      </c>
      <c r="AC51" s="6">
        <f>(1+Parameters!$B$39)^-Stress_Scenario!A51</f>
        <v>0.91578044902111422</v>
      </c>
      <c r="AD51" s="12">
        <f t="shared" si="8"/>
        <v>292699693.56418681</v>
      </c>
      <c r="AF51" s="12">
        <f t="shared" si="24"/>
        <v>0</v>
      </c>
      <c r="AG51" s="12">
        <f t="shared" si="27"/>
        <v>0</v>
      </c>
      <c r="AH51" s="12">
        <f t="shared" si="25"/>
        <v>0</v>
      </c>
      <c r="AI51" s="12">
        <f t="shared" si="26"/>
        <v>0</v>
      </c>
    </row>
    <row r="52" spans="1:35" x14ac:dyDescent="0.35">
      <c r="A52" s="5">
        <v>49</v>
      </c>
      <c r="B52" s="12">
        <f>B51*(1-Parameters!$B$9)</f>
        <v>108878.8593607604</v>
      </c>
      <c r="C52" s="21"/>
      <c r="D52" s="12">
        <f>B52*Parameters!$B$6</f>
        <v>76215.201552532279</v>
      </c>
      <c r="E52" s="12">
        <f t="shared" si="15"/>
        <v>50000</v>
      </c>
      <c r="F52" s="12">
        <f t="shared" si="17"/>
        <v>126215.20155253228</v>
      </c>
      <c r="G52" s="12">
        <f>Parameters!$B$25*Demand_Volatility!B53*Stress_Data!F52</f>
        <v>66730.95</v>
      </c>
      <c r="H52" s="12">
        <f t="shared" si="18"/>
        <v>66730.95</v>
      </c>
      <c r="I52" s="12">
        <f>MIN(Parameters!$B$13,MAX(0,E52+D52-H52))</f>
        <v>50000</v>
      </c>
      <c r="J52" s="12">
        <f t="shared" si="19"/>
        <v>9484.2515525322815</v>
      </c>
      <c r="K52" s="12">
        <f>(H52*Stress_Data!B52*Stress_Data!D52)+(J52*Stress_Data!B52*Stress_Data!D52*(1-Parameters!$B$22))</f>
        <v>483693919.43796128</v>
      </c>
      <c r="M52" s="12">
        <f>B52*Parameters!$B$7</f>
        <v>32663.657808228119</v>
      </c>
      <c r="N52" s="12">
        <f t="shared" si="16"/>
        <v>0</v>
      </c>
      <c r="O52" s="12">
        <f t="shared" si="12"/>
        <v>32663.657808228119</v>
      </c>
      <c r="P52" s="12">
        <f>Parameters!$B$26*Demand_Volatility!C53*(1+Stress_Data!E52)</f>
        <v>37671.040000000008</v>
      </c>
      <c r="Q52" s="12">
        <f t="shared" si="20"/>
        <v>32663.657808228119</v>
      </c>
      <c r="R52" s="12">
        <f>MIN(Parameters!$C$13,MAX(0,N52+M52-Q52))</f>
        <v>0</v>
      </c>
      <c r="S52" s="12">
        <f t="shared" si="21"/>
        <v>0</v>
      </c>
      <c r="T52" s="12">
        <f>(Q52*Stress_Data!C52)+(S52*Stress_Data!C52*(1-Parameters!$B$23))</f>
        <v>114322802.32879841</v>
      </c>
      <c r="V52" s="12">
        <f t="shared" si="22"/>
        <v>598016721.76675963</v>
      </c>
      <c r="W52" s="26">
        <f>W51*(1+IF(A52&lt;10,Parameters!$B$36,IF(A52&lt;=45,Parameters!$B$37,Parameters!$B$38)))</f>
        <v>1.0742791567705856</v>
      </c>
      <c r="X52" s="12">
        <f>Parameters!$B$30*W52</f>
        <v>263198393.40879348</v>
      </c>
      <c r="Y52" s="12">
        <f>(Parameters!$B$15+Parameters!$B$16*I52)*W52</f>
        <v>6445674.9406235134</v>
      </c>
      <c r="Z52" s="12">
        <f>(Parameters!$C$15+Parameters!$C$16*R52)*Stress_Scenario!W52</f>
        <v>1611418.7351558784</v>
      </c>
      <c r="AA52" s="12">
        <f t="shared" si="13"/>
        <v>271255487.08457285</v>
      </c>
      <c r="AB52" s="12">
        <f t="shared" si="23"/>
        <v>326761234.68218678</v>
      </c>
      <c r="AC52" s="6">
        <f>(1+Parameters!$B$39)^-Stress_Scenario!A52</f>
        <v>0.91410346329152481</v>
      </c>
      <c r="AD52" s="12">
        <f t="shared" si="8"/>
        <v>298693576.29240167</v>
      </c>
      <c r="AF52" s="12">
        <f t="shared" si="24"/>
        <v>0</v>
      </c>
      <c r="AG52" s="12">
        <f t="shared" si="27"/>
        <v>0</v>
      </c>
      <c r="AH52" s="12">
        <f t="shared" si="25"/>
        <v>0</v>
      </c>
      <c r="AI52" s="12">
        <f t="shared" si="26"/>
        <v>0</v>
      </c>
    </row>
    <row r="53" spans="1:35" x14ac:dyDescent="0.35">
      <c r="A53" s="5">
        <v>50</v>
      </c>
      <c r="B53" s="12">
        <f>B52*(1-Parameters!$B$9)</f>
        <v>108658.47630288338</v>
      </c>
      <c r="C53" s="21"/>
      <c r="D53" s="12">
        <f>B53*Parameters!$B$6</f>
        <v>76060.933412018363</v>
      </c>
      <c r="E53" s="12">
        <f t="shared" si="15"/>
        <v>50000</v>
      </c>
      <c r="F53" s="12">
        <f t="shared" si="17"/>
        <v>126060.93341201836</v>
      </c>
      <c r="G53" s="12">
        <f>Parameters!$B$25*Demand_Volatility!B54*Stress_Data!F53</f>
        <v>68912.22</v>
      </c>
      <c r="H53" s="12">
        <f t="shared" si="18"/>
        <v>68912.22</v>
      </c>
      <c r="I53" s="12">
        <f>MIN(Parameters!$B$13,MAX(0,E53+D53-H53))</f>
        <v>50000</v>
      </c>
      <c r="J53" s="12">
        <f t="shared" si="19"/>
        <v>7148.7134120183619</v>
      </c>
      <c r="K53" s="12">
        <f>(H53*Stress_Data!B53*Stress_Data!D53)+(J53*Stress_Data!B53*Stress_Data!D53*(1-Parameters!$B$22))</f>
        <v>493987110.13210547</v>
      </c>
      <c r="M53" s="12">
        <f>B53*Parameters!$B$7</f>
        <v>32597.542890865014</v>
      </c>
      <c r="N53" s="12">
        <f t="shared" si="16"/>
        <v>0</v>
      </c>
      <c r="O53" s="12">
        <f t="shared" si="12"/>
        <v>32597.542890865014</v>
      </c>
      <c r="P53" s="12">
        <f>Parameters!$B$26*Demand_Volatility!C54*(1+Stress_Data!E53)</f>
        <v>36805.12000000001</v>
      </c>
      <c r="Q53" s="12">
        <f t="shared" si="20"/>
        <v>32597.542890865014</v>
      </c>
      <c r="R53" s="12">
        <f>MIN(Parameters!$C$13,MAX(0,N53+M53-Q53))</f>
        <v>0</v>
      </c>
      <c r="S53" s="12">
        <f t="shared" si="21"/>
        <v>0</v>
      </c>
      <c r="T53" s="12">
        <f>(Q53*Stress_Data!C53)+(S53*Stress_Data!C53*(1-Parameters!$B$23))</f>
        <v>114091400.11802755</v>
      </c>
      <c r="V53" s="12">
        <f t="shared" si="22"/>
        <v>608078510.25013304</v>
      </c>
      <c r="W53" s="26">
        <f>W52*(1+IF(A53&lt;10,Parameters!$B$36,IF(A53&lt;=45,Parameters!$B$37,Parameters!$B$38)))</f>
        <v>1.0754836213542356</v>
      </c>
      <c r="X53" s="12">
        <f>Parameters!$B$30*W53</f>
        <v>263493487.23178771</v>
      </c>
      <c r="Y53" s="12">
        <f>(Parameters!$B$15+Parameters!$B$16*I53)*W53</f>
        <v>6452901.7281254139</v>
      </c>
      <c r="Z53" s="12">
        <f>(Parameters!$C$15+Parameters!$C$16*R53)*Stress_Scenario!W53</f>
        <v>1613225.4320313535</v>
      </c>
      <c r="AA53" s="12">
        <f t="shared" si="13"/>
        <v>271559614.39194447</v>
      </c>
      <c r="AB53" s="12">
        <f t="shared" si="23"/>
        <v>336518895.85818857</v>
      </c>
      <c r="AC53" s="6">
        <f>(1+Parameters!$B$39)^-Stress_Scenario!A53</f>
        <v>0.91242954847389912</v>
      </c>
      <c r="AD53" s="12">
        <f t="shared" si="8"/>
        <v>307049784.20082206</v>
      </c>
      <c r="AF53" s="12">
        <f t="shared" si="24"/>
        <v>0</v>
      </c>
      <c r="AG53" s="12">
        <f t="shared" si="27"/>
        <v>0</v>
      </c>
      <c r="AH53" s="12">
        <f t="shared" si="25"/>
        <v>0</v>
      </c>
      <c r="AI53" s="12">
        <f t="shared" si="26"/>
        <v>0</v>
      </c>
    </row>
    <row r="54" spans="1:35" x14ac:dyDescent="0.35">
      <c r="A54" s="5">
        <v>51</v>
      </c>
      <c r="B54" s="12">
        <f>B53*(1-Parameters!$B$9)</f>
        <v>108438.53932510388</v>
      </c>
      <c r="C54" s="21"/>
      <c r="D54" s="12">
        <f>B54*Parameters!$B$6</f>
        <v>75906.977527572715</v>
      </c>
      <c r="E54" s="12">
        <f t="shared" si="15"/>
        <v>50000</v>
      </c>
      <c r="F54" s="12">
        <f t="shared" si="17"/>
        <v>125906.97752757272</v>
      </c>
      <c r="G54" s="12">
        <f>Parameters!$B$25*Demand_Volatility!B55*Stress_Data!F54</f>
        <v>64708.799999999996</v>
      </c>
      <c r="H54" s="12">
        <f t="shared" si="18"/>
        <v>64708.799999999996</v>
      </c>
      <c r="I54" s="12">
        <f>MIN(Parameters!$B$13,MAX(0,E54+D54-H54))</f>
        <v>50000</v>
      </c>
      <c r="J54" s="12">
        <f t="shared" si="19"/>
        <v>11198.17752757272</v>
      </c>
      <c r="K54" s="12">
        <f>(H54*Stress_Data!B54*Stress_Data!D54)+(J54*Stress_Data!B54*Stress_Data!D54*(1-Parameters!$B$22))</f>
        <v>473210496.65150559</v>
      </c>
      <c r="M54" s="12">
        <f>B54*Parameters!$B$7</f>
        <v>32531.561797531162</v>
      </c>
      <c r="N54" s="12">
        <f t="shared" si="16"/>
        <v>0</v>
      </c>
      <c r="O54" s="12">
        <f t="shared" si="12"/>
        <v>32531.561797531162</v>
      </c>
      <c r="P54" s="12">
        <f>Parameters!$B$26*Demand_Volatility!C55*(1+Stress_Data!E54)</f>
        <v>33415.360000000008</v>
      </c>
      <c r="Q54" s="12">
        <f t="shared" si="20"/>
        <v>32531.561797531162</v>
      </c>
      <c r="R54" s="12">
        <f>MIN(Parameters!$C$13,MAX(0,N54+M54-Q54))</f>
        <v>0</v>
      </c>
      <c r="S54" s="12">
        <f t="shared" si="21"/>
        <v>0</v>
      </c>
      <c r="T54" s="12">
        <f>(Q54*Stress_Data!C54)+(S54*Stress_Data!C54*(1-Parameters!$B$23))</f>
        <v>113860466.29135907</v>
      </c>
      <c r="V54" s="12">
        <f t="shared" si="22"/>
        <v>587070962.94286466</v>
      </c>
      <c r="W54" s="26">
        <f>W53*(1+IF(A54&lt;10,Parameters!$B$36,IF(A54&lt;=45,Parameters!$B$37,Parameters!$B$38)))</f>
        <v>1.0766894363642847</v>
      </c>
      <c r="X54" s="12">
        <f>Parameters!$B$30*W54</f>
        <v>263788911.90924975</v>
      </c>
      <c r="Y54" s="12">
        <f>(Parameters!$B$15+Parameters!$B$16*I54)*W54</f>
        <v>6460136.6181857083</v>
      </c>
      <c r="Z54" s="12">
        <f>(Parameters!$C$15+Parameters!$C$16*R54)*Stress_Scenario!W54</f>
        <v>1615034.1545464271</v>
      </c>
      <c r="AA54" s="12">
        <f t="shared" si="13"/>
        <v>271864082.68198192</v>
      </c>
      <c r="AB54" s="12">
        <f t="shared" si="23"/>
        <v>315206880.26088274</v>
      </c>
      <c r="AC54" s="6">
        <f>(1+Parameters!$B$39)^-Stress_Scenario!A54</f>
        <v>0.9107586989447547</v>
      </c>
      <c r="AD54" s="12">
        <f t="shared" si="8"/>
        <v>287077408.16483665</v>
      </c>
      <c r="AF54" s="12">
        <f t="shared" si="24"/>
        <v>0</v>
      </c>
      <c r="AG54" s="12">
        <f t="shared" si="27"/>
        <v>0</v>
      </c>
      <c r="AH54" s="12">
        <f t="shared" si="25"/>
        <v>0</v>
      </c>
      <c r="AI54" s="12">
        <f t="shared" si="26"/>
        <v>0</v>
      </c>
    </row>
    <row r="55" spans="1:35" x14ac:dyDescent="0.35">
      <c r="A55" s="5">
        <v>52</v>
      </c>
      <c r="B55" s="12">
        <f>B54*(1-Parameters!$B$9)</f>
        <v>108219.04752450557</v>
      </c>
      <c r="C55" s="21"/>
      <c r="D55" s="12">
        <f>B55*Parameters!$B$6</f>
        <v>75753.333267153896</v>
      </c>
      <c r="E55" s="12">
        <f t="shared" si="15"/>
        <v>50000</v>
      </c>
      <c r="F55" s="12">
        <f t="shared" si="17"/>
        <v>125753.3332671539</v>
      </c>
      <c r="G55" s="12">
        <f>Parameters!$B$25*Demand_Volatility!B56*Stress_Data!F55</f>
        <v>64920.959999999992</v>
      </c>
      <c r="H55" s="12">
        <f t="shared" si="18"/>
        <v>64920.959999999992</v>
      </c>
      <c r="I55" s="12">
        <f>MIN(Parameters!$B$13,MAX(0,E55+D55-H55))</f>
        <v>50000</v>
      </c>
      <c r="J55" s="12">
        <f t="shared" si="19"/>
        <v>10832.373267153904</v>
      </c>
      <c r="K55" s="12">
        <f>(H55*Stress_Data!B55*Stress_Data!D55)+(J55*Stress_Data!B55*Stress_Data!D55*(1-Parameters!$B$22))</f>
        <v>473922511.6059761</v>
      </c>
      <c r="M55" s="12">
        <f>B55*Parameters!$B$7</f>
        <v>32465.714257351668</v>
      </c>
      <c r="N55" s="12">
        <f t="shared" si="16"/>
        <v>0</v>
      </c>
      <c r="O55" s="12">
        <f t="shared" si="12"/>
        <v>32465.714257351668</v>
      </c>
      <c r="P55" s="12">
        <f>Parameters!$B$26*Demand_Volatility!C56*(1+Stress_Data!E55)</f>
        <v>37970.240000000005</v>
      </c>
      <c r="Q55" s="12">
        <f t="shared" si="20"/>
        <v>32465.714257351668</v>
      </c>
      <c r="R55" s="12">
        <f>MIN(Parameters!$C$13,MAX(0,N55+M55-Q55))</f>
        <v>0</v>
      </c>
      <c r="S55" s="12">
        <f t="shared" si="21"/>
        <v>0</v>
      </c>
      <c r="T55" s="12">
        <f>(Q55*Stress_Data!C55)+(S55*Stress_Data!C55*(1-Parameters!$B$23))</f>
        <v>113629999.90073083</v>
      </c>
      <c r="V55" s="12">
        <f t="shared" si="22"/>
        <v>587552511.50670695</v>
      </c>
      <c r="W55" s="26">
        <f>W54*(1+IF(A55&lt;10,Parameters!$B$36,IF(A55&lt;=45,Parameters!$B$37,Parameters!$B$38)))</f>
        <v>1.0778966033148092</v>
      </c>
      <c r="X55" s="12">
        <f>Parameters!$B$30*W55</f>
        <v>264084667.81212825</v>
      </c>
      <c r="Y55" s="12">
        <f>(Parameters!$B$15+Parameters!$B$16*I55)*W55</f>
        <v>6467379.6198888551</v>
      </c>
      <c r="Z55" s="12">
        <f>(Parameters!$C$15+Parameters!$C$16*R55)*Stress_Scenario!W55</f>
        <v>1616844.9049722138</v>
      </c>
      <c r="AA55" s="12">
        <f t="shared" si="13"/>
        <v>272168892.33698928</v>
      </c>
      <c r="AB55" s="12">
        <f t="shared" si="23"/>
        <v>315383619.16971767</v>
      </c>
      <c r="AC55" s="6">
        <f>(1+Parameters!$B$39)^-Stress_Scenario!A55</f>
        <v>0.90909090909090629</v>
      </c>
      <c r="AD55" s="12">
        <f t="shared" si="8"/>
        <v>286712381.06337881</v>
      </c>
      <c r="AF55" s="12">
        <f t="shared" si="24"/>
        <v>0</v>
      </c>
      <c r="AG55" s="12">
        <f t="shared" si="27"/>
        <v>0</v>
      </c>
      <c r="AH55" s="12">
        <f t="shared" si="25"/>
        <v>0</v>
      </c>
      <c r="AI55" s="12">
        <f t="shared" si="26"/>
        <v>0</v>
      </c>
    </row>
    <row r="56" spans="1:35" x14ac:dyDescent="0.35">
      <c r="A56" s="5">
        <v>53</v>
      </c>
      <c r="B56" s="12">
        <f>B55*(1-Parameters!$B$9)</f>
        <v>107999.99999999978</v>
      </c>
      <c r="C56" s="21"/>
      <c r="D56" s="12">
        <f>B56*Parameters!$B$6</f>
        <v>75599.99999999984</v>
      </c>
      <c r="E56" s="12">
        <f t="shared" si="15"/>
        <v>50000</v>
      </c>
      <c r="F56" s="12">
        <f t="shared" si="17"/>
        <v>125599.99999999984</v>
      </c>
      <c r="G56" s="12">
        <f>Parameters!$B$25*Demand_Volatility!B57*Stress_Data!F56</f>
        <v>68746.47</v>
      </c>
      <c r="H56" s="12">
        <f t="shared" si="18"/>
        <v>68746.47</v>
      </c>
      <c r="I56" s="12">
        <f>MIN(Parameters!$B$13,MAX(0,E56+D56-H56))</f>
        <v>50000</v>
      </c>
      <c r="J56" s="12">
        <f t="shared" si="19"/>
        <v>6853.5299999998388</v>
      </c>
      <c r="K56" s="12">
        <f>(H56*Stress_Data!B56*Stress_Data!D56)+(J56*Stress_Data!B56*Stress_Data!D56*(1-Parameters!$B$22))</f>
        <v>492219181.60799968</v>
      </c>
      <c r="M56" s="12">
        <f>B56*Parameters!$B$7</f>
        <v>32399.999999999935</v>
      </c>
      <c r="N56" s="12">
        <f t="shared" si="16"/>
        <v>0</v>
      </c>
      <c r="O56" s="12">
        <f t="shared" si="12"/>
        <v>32399.999999999935</v>
      </c>
      <c r="P56" s="12">
        <f>Parameters!$B$26*Demand_Volatility!C57*(1+Stress_Data!E56)</f>
        <v>33344.960000000006</v>
      </c>
      <c r="Q56" s="12">
        <f t="shared" si="20"/>
        <v>32399.999999999935</v>
      </c>
      <c r="R56" s="12">
        <f>MIN(Parameters!$C$13,MAX(0,N56+M56-Q56))</f>
        <v>0</v>
      </c>
      <c r="S56" s="12">
        <f t="shared" si="21"/>
        <v>0</v>
      </c>
      <c r="T56" s="12">
        <f>(Q56*Stress_Data!C56)+(S56*Stress_Data!C56*(1-Parameters!$B$23))</f>
        <v>113399999.99999978</v>
      </c>
      <c r="V56" s="12">
        <f t="shared" si="22"/>
        <v>605619181.60799944</v>
      </c>
      <c r="W56" s="26">
        <f>W55*(1+IF(A56&lt;10,Parameters!$B$36,IF(A56&lt;=45,Parameters!$B$37,Parameters!$B$38)))</f>
        <v>1.0791051237215832</v>
      </c>
      <c r="X56" s="12">
        <f>Parameters!$B$30*W56</f>
        <v>264380755.31178787</v>
      </c>
      <c r="Y56" s="12">
        <f>(Parameters!$B$15+Parameters!$B$16*I56)*W56</f>
        <v>6474630.7423294988</v>
      </c>
      <c r="Z56" s="12">
        <f>(Parameters!$C$15+Parameters!$C$16*R56)*Stress_Scenario!W56</f>
        <v>1618657.6855823747</v>
      </c>
      <c r="AA56" s="12">
        <f t="shared" si="13"/>
        <v>272474043.73969978</v>
      </c>
      <c r="AB56" s="12">
        <f t="shared" si="23"/>
        <v>333145137.86829966</v>
      </c>
      <c r="AC56" s="6">
        <f>(1+Parameters!$B$39)^-Stress_Scenario!A56</f>
        <v>0.90742617330944841</v>
      </c>
      <c r="AD56" s="12">
        <f t="shared" si="8"/>
        <v>302304617.61247975</v>
      </c>
      <c r="AF56" s="12">
        <f t="shared" si="24"/>
        <v>0</v>
      </c>
      <c r="AG56" s="12">
        <f t="shared" si="27"/>
        <v>0</v>
      </c>
      <c r="AH56" s="12">
        <f t="shared" si="25"/>
        <v>0</v>
      </c>
      <c r="AI56" s="12">
        <f t="shared" si="26"/>
        <v>0</v>
      </c>
    </row>
    <row r="57" spans="1:35" x14ac:dyDescent="0.35">
      <c r="A57" s="5">
        <v>54</v>
      </c>
      <c r="B57" s="12">
        <f>B56*(1-Parameters!$B$9)</f>
        <v>107781.39585232173</v>
      </c>
      <c r="C57" s="21"/>
      <c r="D57" s="12">
        <f>B57*Parameters!$B$6</f>
        <v>75446.977096625211</v>
      </c>
      <c r="E57" s="12">
        <f t="shared" si="15"/>
        <v>50000</v>
      </c>
      <c r="F57" s="12">
        <f t="shared" si="17"/>
        <v>125446.97709662521</v>
      </c>
      <c r="G57" s="12">
        <f>Parameters!$B$25*Demand_Volatility!B58*Stress_Data!F57</f>
        <v>66578.460000000006</v>
      </c>
      <c r="H57" s="12">
        <f t="shared" si="18"/>
        <v>66578.460000000006</v>
      </c>
      <c r="I57" s="12">
        <f>MIN(Parameters!$B$13,MAX(0,E57+D57-H57))</f>
        <v>50000</v>
      </c>
      <c r="J57" s="12">
        <f t="shared" si="19"/>
        <v>8868.5170966252044</v>
      </c>
      <c r="K57" s="12">
        <f>(H57*Stress_Data!B57*Stress_Data!D57)+(J57*Stress_Data!B57*Stress_Data!D57*(1-Parameters!$B$22))</f>
        <v>481349633.17672163</v>
      </c>
      <c r="M57" s="12">
        <f>B57*Parameters!$B$7</f>
        <v>32334.418755696519</v>
      </c>
      <c r="N57" s="12">
        <f t="shared" si="16"/>
        <v>0</v>
      </c>
      <c r="O57" s="12">
        <f t="shared" si="12"/>
        <v>32334.418755696519</v>
      </c>
      <c r="P57" s="12">
        <f>Parameters!$B$26*Demand_Volatility!C58*(1+Stress_Data!E57)</f>
        <v>36051.840000000004</v>
      </c>
      <c r="Q57" s="12">
        <f t="shared" si="20"/>
        <v>32334.418755696519</v>
      </c>
      <c r="R57" s="12">
        <f>MIN(Parameters!$C$13,MAX(0,N57+M57-Q57))</f>
        <v>0</v>
      </c>
      <c r="S57" s="12">
        <f t="shared" si="21"/>
        <v>0</v>
      </c>
      <c r="T57" s="12">
        <f>(Q57*Stress_Data!C57)+(S57*Stress_Data!C57*(1-Parameters!$B$23))</f>
        <v>113170465.64493781</v>
      </c>
      <c r="V57" s="12">
        <f t="shared" si="22"/>
        <v>594520098.82165945</v>
      </c>
      <c r="W57" s="26">
        <f>W56*(1+IF(A57&lt;10,Parameters!$B$36,IF(A57&lt;=45,Parameters!$B$37,Parameters!$B$38)))</f>
        <v>1.0803149991020802</v>
      </c>
      <c r="X57" s="12">
        <f>Parameters!$B$30*W57</f>
        <v>264677174.78000966</v>
      </c>
      <c r="Y57" s="12">
        <f>(Parameters!$B$15+Parameters!$B$16*I57)*W57</f>
        <v>6481889.9946124814</v>
      </c>
      <c r="Z57" s="12">
        <f>(Parameters!$C$15+Parameters!$C$16*R57)*Stress_Scenario!W57</f>
        <v>1620472.4986531204</v>
      </c>
      <c r="AA57" s="12">
        <f t="shared" si="13"/>
        <v>272779537.27327526</v>
      </c>
      <c r="AB57" s="12">
        <f t="shared" si="23"/>
        <v>321740561.54838419</v>
      </c>
      <c r="AC57" s="6">
        <f>(1+Parameters!$B$39)^-Stress_Scenario!A57</f>
        <v>0.90576448600773463</v>
      </c>
      <c r="AD57" s="12">
        <f t="shared" si="8"/>
        <v>291421174.35871214</v>
      </c>
      <c r="AF57" s="12">
        <f t="shared" si="24"/>
        <v>0</v>
      </c>
      <c r="AG57" s="12">
        <f t="shared" si="27"/>
        <v>0</v>
      </c>
      <c r="AH57" s="12">
        <f t="shared" si="25"/>
        <v>0</v>
      </c>
      <c r="AI57" s="12">
        <f t="shared" si="26"/>
        <v>0</v>
      </c>
    </row>
    <row r="58" spans="1:35" x14ac:dyDescent="0.35">
      <c r="A58" s="5">
        <v>55</v>
      </c>
      <c r="B58" s="12">
        <f>B57*(1-Parameters!$B$9)</f>
        <v>107563.23418402685</v>
      </c>
      <c r="C58" s="21"/>
      <c r="D58" s="12">
        <f>B58*Parameters!$B$6</f>
        <v>75294.263928818793</v>
      </c>
      <c r="E58" s="12">
        <f t="shared" si="15"/>
        <v>50000</v>
      </c>
      <c r="F58" s="12">
        <f t="shared" si="17"/>
        <v>125294.26392881879</v>
      </c>
      <c r="G58" s="12">
        <f>Parameters!$B$25*Demand_Volatility!B59*Stress_Data!F58</f>
        <v>68521.05</v>
      </c>
      <c r="H58" s="12">
        <f t="shared" si="18"/>
        <v>68521.05</v>
      </c>
      <c r="I58" s="12">
        <f>MIN(Parameters!$B$13,MAX(0,E58+D58-H58))</f>
        <v>50000</v>
      </c>
      <c r="J58" s="12">
        <f t="shared" si="19"/>
        <v>6773.21392881879</v>
      </c>
      <c r="K58" s="12">
        <f>(H58*Stress_Data!B58*Stress_Data!D58)+(J58*Stress_Data!B58*Stress_Data!D58*(1-Parameters!$B$22))</f>
        <v>490484554.5699445</v>
      </c>
      <c r="M58" s="12">
        <f>B58*Parameters!$B$7</f>
        <v>32268.970255208053</v>
      </c>
      <c r="N58" s="12">
        <f t="shared" si="16"/>
        <v>0</v>
      </c>
      <c r="O58" s="12">
        <f t="shared" si="12"/>
        <v>32268.970255208053</v>
      </c>
      <c r="P58" s="12">
        <f>Parameters!$B$26*Demand_Volatility!C59*(1+Stress_Data!E58)</f>
        <v>36146.879999999997</v>
      </c>
      <c r="Q58" s="12">
        <f t="shared" si="20"/>
        <v>32268.970255208053</v>
      </c>
      <c r="R58" s="12">
        <f>MIN(Parameters!$C$13,MAX(0,N58+M58-Q58))</f>
        <v>0</v>
      </c>
      <c r="S58" s="12">
        <f t="shared" si="21"/>
        <v>0</v>
      </c>
      <c r="T58" s="12">
        <f>(Q58*Stress_Data!C58)+(S58*Stress_Data!C58*(1-Parameters!$B$23))</f>
        <v>112941395.89322819</v>
      </c>
      <c r="V58" s="12">
        <f t="shared" si="22"/>
        <v>603425950.46317267</v>
      </c>
      <c r="W58" s="26">
        <f>W57*(1+IF(A58&lt;10,Parameters!$B$36,IF(A58&lt;=45,Parameters!$B$37,Parameters!$B$38)))</f>
        <v>1.0815262309754752</v>
      </c>
      <c r="X58" s="12">
        <f>Parameters!$B$30*W58</f>
        <v>264973926.58899143</v>
      </c>
      <c r="Y58" s="12">
        <f>(Parameters!$B$15+Parameters!$B$16*I58)*W58</f>
        <v>6489157.385852851</v>
      </c>
      <c r="Z58" s="12">
        <f>(Parameters!$C$15+Parameters!$C$16*R58)*Stress_Scenario!W58</f>
        <v>1622289.3464632127</v>
      </c>
      <c r="AA58" s="12">
        <f t="shared" si="13"/>
        <v>273085373.32130748</v>
      </c>
      <c r="AB58" s="12">
        <f t="shared" si="23"/>
        <v>330340577.14186519</v>
      </c>
      <c r="AC58" s="6">
        <f>(1+Parameters!$B$39)^-Stress_Scenario!A58</f>
        <v>0.90410584160336072</v>
      </c>
      <c r="AD58" s="12">
        <f t="shared" si="8"/>
        <v>298662845.51258594</v>
      </c>
      <c r="AF58" s="12">
        <f t="shared" si="24"/>
        <v>0</v>
      </c>
      <c r="AG58" s="12">
        <f t="shared" si="27"/>
        <v>0</v>
      </c>
      <c r="AH58" s="12">
        <f t="shared" si="25"/>
        <v>0</v>
      </c>
      <c r="AI58" s="12">
        <f t="shared" si="26"/>
        <v>0</v>
      </c>
    </row>
    <row r="59" spans="1:35" x14ac:dyDescent="0.35">
      <c r="A59" s="5">
        <v>56</v>
      </c>
      <c r="B59" s="12">
        <f>B58*(1-Parameters!$B$9)</f>
        <v>107345.5140994871</v>
      </c>
      <c r="C59" s="21"/>
      <c r="D59" s="12">
        <f>B59*Parameters!$B$6</f>
        <v>75141.859869640961</v>
      </c>
      <c r="E59" s="12">
        <f t="shared" si="15"/>
        <v>50000</v>
      </c>
      <c r="F59" s="12">
        <f t="shared" si="17"/>
        <v>125141.85986964096</v>
      </c>
      <c r="G59" s="12">
        <f>Parameters!$B$25*Demand_Volatility!B60*Stress_Data!F59</f>
        <v>63064.560000000005</v>
      </c>
      <c r="H59" s="12">
        <f t="shared" si="18"/>
        <v>63064.560000000005</v>
      </c>
      <c r="I59" s="12">
        <f>MIN(Parameters!$B$13,MAX(0,E59+D59-H59))</f>
        <v>50000</v>
      </c>
      <c r="J59" s="12">
        <f t="shared" si="19"/>
        <v>12077.299869640956</v>
      </c>
      <c r="K59" s="12">
        <f>(H59*Stress_Data!B59*Stress_Data!D59)+(J59*Stress_Data!B59*Stress_Data!D59*(1-Parameters!$B$22))</f>
        <v>463613237.72812319</v>
      </c>
      <c r="M59" s="12">
        <f>B59*Parameters!$B$7</f>
        <v>32203.654229846128</v>
      </c>
      <c r="N59" s="12">
        <f t="shared" si="16"/>
        <v>0</v>
      </c>
      <c r="O59" s="12">
        <f t="shared" si="12"/>
        <v>32203.654229846128</v>
      </c>
      <c r="P59" s="12">
        <f>Parameters!$B$26*Demand_Volatility!C60*(1+Stress_Data!E59)</f>
        <v>35372.479999999996</v>
      </c>
      <c r="Q59" s="12">
        <f t="shared" si="20"/>
        <v>32203.654229846128</v>
      </c>
      <c r="R59" s="12">
        <f>MIN(Parameters!$C$13,MAX(0,N59+M59-Q59))</f>
        <v>0</v>
      </c>
      <c r="S59" s="12">
        <f t="shared" si="21"/>
        <v>0</v>
      </c>
      <c r="T59" s="12">
        <f>(Q59*Stress_Data!C59)+(S59*Stress_Data!C59*(1-Parameters!$B$23))</f>
        <v>112712789.80446145</v>
      </c>
      <c r="V59" s="12">
        <f t="shared" si="22"/>
        <v>576326027.53258467</v>
      </c>
      <c r="W59" s="26">
        <f>W58*(1+IF(A59&lt;10,Parameters!$B$36,IF(A59&lt;=45,Parameters!$B$37,Parameters!$B$38)))</f>
        <v>1.0827388208626461</v>
      </c>
      <c r="X59" s="12">
        <f>Parameters!$B$30*W59</f>
        <v>265271011.11134827</v>
      </c>
      <c r="Y59" s="12">
        <f>(Parameters!$B$15+Parameters!$B$16*I59)*W59</f>
        <v>6496432.9251758764</v>
      </c>
      <c r="Z59" s="12">
        <f>(Parameters!$C$15+Parameters!$C$16*R59)*Stress_Scenario!W59</f>
        <v>1624108.2312939691</v>
      </c>
      <c r="AA59" s="12">
        <f t="shared" si="13"/>
        <v>273391552.26781815</v>
      </c>
      <c r="AB59" s="12">
        <f t="shared" si="23"/>
        <v>302934475.26476651</v>
      </c>
      <c r="AC59" s="6">
        <f>(1+Parameters!$B$39)^-Stress_Scenario!A59</f>
        <v>0.90245023452414408</v>
      </c>
      <c r="AD59" s="12">
        <f t="shared" si="8"/>
        <v>273383288.24813706</v>
      </c>
      <c r="AF59" s="12">
        <f t="shared" si="24"/>
        <v>0</v>
      </c>
      <c r="AG59" s="12">
        <f t="shared" si="27"/>
        <v>0</v>
      </c>
      <c r="AH59" s="12">
        <f t="shared" si="25"/>
        <v>0</v>
      </c>
      <c r="AI59" s="12">
        <f t="shared" si="26"/>
        <v>0</v>
      </c>
    </row>
    <row r="60" spans="1:35" x14ac:dyDescent="0.35">
      <c r="A60" s="5">
        <v>57</v>
      </c>
      <c r="B60" s="12">
        <f>B59*(1-Parameters!$B$9)</f>
        <v>107128.23470488729</v>
      </c>
      <c r="C60" s="21"/>
      <c r="D60" s="12">
        <f>B60*Parameters!$B$6</f>
        <v>74989.764293421104</v>
      </c>
      <c r="E60" s="12">
        <f t="shared" si="15"/>
        <v>50000</v>
      </c>
      <c r="F60" s="12">
        <f t="shared" si="17"/>
        <v>124989.7642934211</v>
      </c>
      <c r="G60" s="12">
        <f>Parameters!$B$25*Demand_Volatility!B61*Stress_Data!F60</f>
        <v>66233.7</v>
      </c>
      <c r="H60" s="12">
        <f t="shared" si="18"/>
        <v>66233.7</v>
      </c>
      <c r="I60" s="12">
        <f>MIN(Parameters!$B$13,MAX(0,E60+D60-H60))</f>
        <v>50000</v>
      </c>
      <c r="J60" s="12">
        <f t="shared" si="19"/>
        <v>8756.0642934211064</v>
      </c>
      <c r="K60" s="12">
        <f>(H60*Stress_Data!B60*Stress_Data!D60)+(J60*Stress_Data!B60*Stress_Data!D60*(1-Parameters!$B$22))</f>
        <v>478718330.09035903</v>
      </c>
      <c r="M60" s="12">
        <f>B60*Parameters!$B$7</f>
        <v>32138.470411466187</v>
      </c>
      <c r="N60" s="12">
        <f t="shared" si="16"/>
        <v>0</v>
      </c>
      <c r="O60" s="12">
        <f t="shared" si="12"/>
        <v>32138.470411466187</v>
      </c>
      <c r="P60" s="12">
        <f>Parameters!$B$26*Demand_Volatility!C61*(1+Stress_Data!E60)</f>
        <v>36125.760000000002</v>
      </c>
      <c r="Q60" s="12">
        <f t="shared" si="20"/>
        <v>32138.470411466187</v>
      </c>
      <c r="R60" s="12">
        <f>MIN(Parameters!$C$13,MAX(0,N60+M60-Q60))</f>
        <v>0</v>
      </c>
      <c r="S60" s="12">
        <f t="shared" si="21"/>
        <v>0</v>
      </c>
      <c r="T60" s="12">
        <f>(Q60*Stress_Data!C60)+(S60*Stress_Data!C60*(1-Parameters!$B$23))</f>
        <v>112484646.44013165</v>
      </c>
      <c r="V60" s="12">
        <f t="shared" si="22"/>
        <v>591202976.53049064</v>
      </c>
      <c r="W60" s="26">
        <f>W59*(1+IF(A60&lt;10,Parameters!$B$36,IF(A60&lt;=45,Parameters!$B$37,Parameters!$B$38)))</f>
        <v>1.0839527702861762</v>
      </c>
      <c r="X60" s="12">
        <f>Parameters!$B$30*W60</f>
        <v>265568428.72011316</v>
      </c>
      <c r="Y60" s="12">
        <f>(Parameters!$B$15+Parameters!$B$16*I60)*W60</f>
        <v>6503716.6217170572</v>
      </c>
      <c r="Z60" s="12">
        <f>(Parameters!$C$15+Parameters!$C$16*R60)*Stress_Scenario!W60</f>
        <v>1625929.1554292643</v>
      </c>
      <c r="AA60" s="12">
        <f t="shared" si="13"/>
        <v>273698074.49725944</v>
      </c>
      <c r="AB60" s="12">
        <f t="shared" si="23"/>
        <v>317504902.0332312</v>
      </c>
      <c r="AC60" s="6">
        <f>(1+Parameters!$B$39)^-Stress_Scenario!A60</f>
        <v>0.90079765920810695</v>
      </c>
      <c r="AD60" s="12">
        <f t="shared" si="8"/>
        <v>286007672.538634</v>
      </c>
      <c r="AF60" s="12">
        <f t="shared" si="24"/>
        <v>0</v>
      </c>
      <c r="AG60" s="12">
        <f t="shared" si="27"/>
        <v>0</v>
      </c>
      <c r="AH60" s="12">
        <f t="shared" si="25"/>
        <v>0</v>
      </c>
      <c r="AI60" s="12">
        <f t="shared" si="26"/>
        <v>0</v>
      </c>
    </row>
    <row r="61" spans="1:35" x14ac:dyDescent="0.35">
      <c r="A61" s="5">
        <v>58</v>
      </c>
      <c r="B61" s="12">
        <f>B60*(1-Parameters!$B$9)</f>
        <v>106911.3951082214</v>
      </c>
      <c r="C61" s="21"/>
      <c r="D61" s="12">
        <f>B61*Parameters!$B$6</f>
        <v>74837.976575754976</v>
      </c>
      <c r="E61" s="12">
        <f t="shared" si="15"/>
        <v>50000</v>
      </c>
      <c r="F61" s="12">
        <f t="shared" si="17"/>
        <v>124837.97657575498</v>
      </c>
      <c r="G61" s="12">
        <f>Parameters!$B$25*Demand_Volatility!B62*Stress_Data!F61</f>
        <v>63780.6</v>
      </c>
      <c r="H61" s="12">
        <f t="shared" si="18"/>
        <v>63780.6</v>
      </c>
      <c r="I61" s="12">
        <f>MIN(Parameters!$B$13,MAX(0,E61+D61-H61))</f>
        <v>50000</v>
      </c>
      <c r="J61" s="12">
        <f t="shared" si="19"/>
        <v>11057.376575754977</v>
      </c>
      <c r="K61" s="12">
        <f>(H61*Stress_Data!B61*Stress_Data!D61)+(J61*Stress_Data!B61*Stress_Data!D61*(1-Parameters!$B$22))</f>
        <v>466463995.78639454</v>
      </c>
      <c r="M61" s="12">
        <f>B61*Parameters!$B$7</f>
        <v>32073.418532466421</v>
      </c>
      <c r="N61" s="12">
        <f t="shared" si="16"/>
        <v>0</v>
      </c>
      <c r="O61" s="12">
        <f t="shared" si="12"/>
        <v>32073.418532466421</v>
      </c>
      <c r="P61" s="12">
        <f>Parameters!$B$26*Demand_Volatility!C62*(1+Stress_Data!E61)</f>
        <v>35270.400000000001</v>
      </c>
      <c r="Q61" s="12">
        <f t="shared" si="20"/>
        <v>32073.418532466421</v>
      </c>
      <c r="R61" s="12">
        <f>MIN(Parameters!$C$13,MAX(0,N61+M61-Q61))</f>
        <v>0</v>
      </c>
      <c r="S61" s="12">
        <f t="shared" si="21"/>
        <v>0</v>
      </c>
      <c r="T61" s="12">
        <f>(Q61*Stress_Data!C61)+(S61*Stress_Data!C61*(1-Parameters!$B$23))</f>
        <v>112256964.86363247</v>
      </c>
      <c r="V61" s="12">
        <f t="shared" si="22"/>
        <v>578720960.65002704</v>
      </c>
      <c r="W61" s="26">
        <f>W60*(1+IF(A61&lt;10,Parameters!$B$36,IF(A61&lt;=45,Parameters!$B$37,Parameters!$B$38)))</f>
        <v>1.0851680807703559</v>
      </c>
      <c r="X61" s="12">
        <f>Parameters!$B$30*W61</f>
        <v>265866179.78873718</v>
      </c>
      <c r="Y61" s="12">
        <f>(Parameters!$B$15+Parameters!$B$16*I61)*W61</f>
        <v>6511008.4846221348</v>
      </c>
      <c r="Z61" s="12">
        <f>(Parameters!$C$15+Parameters!$C$16*R61)*Stress_Scenario!W61</f>
        <v>1627752.1211555337</v>
      </c>
      <c r="AA61" s="12">
        <f t="shared" si="13"/>
        <v>274004940.39451486</v>
      </c>
      <c r="AB61" s="12">
        <f t="shared" si="23"/>
        <v>304716020.25551218</v>
      </c>
      <c r="AC61" s="6">
        <f>(1+Parameters!$B$39)^-Stress_Scenario!A61</f>
        <v>0.89914811010345574</v>
      </c>
      <c r="AD61" s="12">
        <f t="shared" si="8"/>
        <v>273984833.73099011</v>
      </c>
      <c r="AF61" s="12">
        <f t="shared" si="24"/>
        <v>0</v>
      </c>
      <c r="AG61" s="12">
        <f t="shared" si="27"/>
        <v>0</v>
      </c>
      <c r="AH61" s="12">
        <f t="shared" si="25"/>
        <v>0</v>
      </c>
      <c r="AI61" s="12">
        <f t="shared" si="26"/>
        <v>0</v>
      </c>
    </row>
    <row r="62" spans="1:35" x14ac:dyDescent="0.35">
      <c r="A62" s="5">
        <v>59</v>
      </c>
      <c r="B62" s="12">
        <f>B61*(1-Parameters!$B$9)</f>
        <v>106694.99441928897</v>
      </c>
      <c r="C62" s="21"/>
      <c r="D62" s="12">
        <f>B62*Parameters!$B$6</f>
        <v>74686.496093502268</v>
      </c>
      <c r="E62" s="12">
        <f t="shared" si="15"/>
        <v>50000</v>
      </c>
      <c r="F62" s="12">
        <f t="shared" si="17"/>
        <v>124686.49609350227</v>
      </c>
      <c r="G62" s="12">
        <f>Parameters!$B$25*Demand_Volatility!B63*Stress_Data!F62</f>
        <v>72107.87999999999</v>
      </c>
      <c r="H62" s="12">
        <f t="shared" si="18"/>
        <v>72107.87999999999</v>
      </c>
      <c r="I62" s="12">
        <f>MIN(Parameters!$B$13,MAX(0,E62+D62-H62))</f>
        <v>50000</v>
      </c>
      <c r="J62" s="12">
        <f t="shared" si="19"/>
        <v>2578.6160935022781</v>
      </c>
      <c r="K62" s="12">
        <f>(H62*Stress_Data!B62*Stress_Data!D62)+(J62*Stress_Data!B62*Stress_Data!D62*(1-Parameters!$B$22))</f>
        <v>506671943.48460835</v>
      </c>
      <c r="M62" s="12">
        <f>B62*Parameters!$B$7</f>
        <v>32008.498325786688</v>
      </c>
      <c r="N62" s="12">
        <f t="shared" si="16"/>
        <v>0</v>
      </c>
      <c r="O62" s="12">
        <f t="shared" si="12"/>
        <v>32008.498325786688</v>
      </c>
      <c r="P62" s="12">
        <f>Parameters!$B$26*Demand_Volatility!C63*(1+Stress_Data!E62)</f>
        <v>34122.880000000005</v>
      </c>
      <c r="Q62" s="12">
        <f t="shared" si="20"/>
        <v>32008.498325786688</v>
      </c>
      <c r="R62" s="12">
        <f>MIN(Parameters!$C$13,MAX(0,N62+M62-Q62))</f>
        <v>0</v>
      </c>
      <c r="S62" s="12">
        <f t="shared" si="21"/>
        <v>0</v>
      </c>
      <c r="T62" s="12">
        <f>(Q62*Stress_Data!C62)+(S62*Stress_Data!C62*(1-Parameters!$B$23))</f>
        <v>112029744.14025341</v>
      </c>
      <c r="V62" s="12">
        <f t="shared" si="22"/>
        <v>618701687.62486172</v>
      </c>
      <c r="W62" s="26">
        <f>W61*(1+IF(A62&lt;10,Parameters!$B$36,IF(A62&lt;=45,Parameters!$B$37,Parameters!$B$38)))</f>
        <v>1.0863847538411846</v>
      </c>
      <c r="X62" s="12">
        <f>Parameters!$B$30*W62</f>
        <v>266164264.69109023</v>
      </c>
      <c r="Y62" s="12">
        <f>(Parameters!$B$15+Parameters!$B$16*I62)*W62</f>
        <v>6518308.5230471073</v>
      </c>
      <c r="Z62" s="12">
        <f>(Parameters!$C$15+Parameters!$C$16*R62)*Stress_Scenario!W62</f>
        <v>1629577.1307617768</v>
      </c>
      <c r="AA62" s="12">
        <f t="shared" si="13"/>
        <v>274312150.34489912</v>
      </c>
      <c r="AB62" s="12">
        <f t="shared" si="23"/>
        <v>344389537.2799626</v>
      </c>
      <c r="AC62" s="6">
        <f>(1+Parameters!$B$39)^-Stress_Scenario!A62</f>
        <v>0.89750158166856442</v>
      </c>
      <c r="AD62" s="12">
        <f t="shared" si="8"/>
        <v>309090154.41887146</v>
      </c>
      <c r="AF62" s="12">
        <f t="shared" si="24"/>
        <v>0</v>
      </c>
      <c r="AG62" s="12">
        <f t="shared" si="27"/>
        <v>0</v>
      </c>
      <c r="AH62" s="12">
        <f t="shared" si="25"/>
        <v>0</v>
      </c>
      <c r="AI62" s="12">
        <f t="shared" si="26"/>
        <v>0</v>
      </c>
    </row>
    <row r="63" spans="1:35" x14ac:dyDescent="0.35">
      <c r="A63" s="5">
        <v>60</v>
      </c>
      <c r="B63" s="12">
        <f>B62*(1-Parameters!$B$9)</f>
        <v>106479.03174969135</v>
      </c>
      <c r="C63" s="21"/>
      <c r="D63" s="12">
        <f>B63*Parameters!$B$6</f>
        <v>74535.322224783944</v>
      </c>
      <c r="E63" s="12">
        <f t="shared" si="15"/>
        <v>50000</v>
      </c>
      <c r="F63" s="12">
        <f t="shared" si="17"/>
        <v>124535.32222478394</v>
      </c>
      <c r="G63" s="12">
        <f>Parameters!$B$25*Demand_Volatility!B64*Stress_Data!F63</f>
        <v>68189.55</v>
      </c>
      <c r="H63" s="12">
        <f t="shared" si="18"/>
        <v>68189.55</v>
      </c>
      <c r="I63" s="12">
        <f>MIN(Parameters!$B$13,MAX(0,E63+D63-H63))</f>
        <v>50000</v>
      </c>
      <c r="J63" s="12">
        <f t="shared" si="19"/>
        <v>6345.7722247839411</v>
      </c>
      <c r="K63" s="12">
        <f>(H63*Stress_Data!B63*Stress_Data!D63)+(J63*Stress_Data!B63*Stress_Data!D63*(1-Parameters!$B$22))</f>
        <v>487288494.15200943</v>
      </c>
      <c r="M63" s="12">
        <f>B63*Parameters!$B$7</f>
        <v>31943.709524907405</v>
      </c>
      <c r="N63" s="12">
        <f t="shared" si="16"/>
        <v>0</v>
      </c>
      <c r="O63" s="12">
        <f t="shared" si="12"/>
        <v>31943.709524907405</v>
      </c>
      <c r="P63" s="12">
        <f>Parameters!$B$26*Demand_Volatility!C64*(1+Stress_Data!E63)</f>
        <v>36312.320000000007</v>
      </c>
      <c r="Q63" s="12">
        <f t="shared" si="20"/>
        <v>31943.709524907405</v>
      </c>
      <c r="R63" s="12">
        <f>MIN(Parameters!$C$13,MAX(0,N63+M63-Q63))</f>
        <v>0</v>
      </c>
      <c r="S63" s="12">
        <f t="shared" si="21"/>
        <v>0</v>
      </c>
      <c r="T63" s="12">
        <f>(Q63*Stress_Data!C63)+(S63*Stress_Data!C63*(1-Parameters!$B$23))</f>
        <v>111802983.33717592</v>
      </c>
      <c r="V63" s="12">
        <f t="shared" si="22"/>
        <v>599091477.48918533</v>
      </c>
      <c r="W63" s="26">
        <f>W62*(1+IF(A63&lt;10,Parameters!$B$36,IF(A63&lt;=45,Parameters!$B$37,Parameters!$B$38)))</f>
        <v>1.0876027910263726</v>
      </c>
      <c r="X63" s="12">
        <f>Parameters!$B$30*W63</f>
        <v>266462683.80146128</v>
      </c>
      <c r="Y63" s="12">
        <f>(Parameters!$B$15+Parameters!$B$16*I63)*W63</f>
        <v>6525616.7461582357</v>
      </c>
      <c r="Z63" s="12">
        <f>(Parameters!$C$15+Parameters!$C$16*R63)*Stress_Scenario!W63</f>
        <v>1631404.1865395589</v>
      </c>
      <c r="AA63" s="12">
        <f t="shared" si="13"/>
        <v>274619704.73415905</v>
      </c>
      <c r="AB63" s="12">
        <f t="shared" si="23"/>
        <v>324471772.75502628</v>
      </c>
      <c r="AC63" s="6">
        <f>(1+Parameters!$B$39)^-Stress_Scenario!A63</f>
        <v>0.8958580683719537</v>
      </c>
      <c r="AD63" s="12">
        <f t="shared" si="8"/>
        <v>290680655.58154136</v>
      </c>
      <c r="AF63" s="12">
        <f t="shared" si="24"/>
        <v>0</v>
      </c>
      <c r="AG63" s="12">
        <f t="shared" si="27"/>
        <v>0</v>
      </c>
      <c r="AH63" s="12">
        <f t="shared" si="25"/>
        <v>0</v>
      </c>
      <c r="AI63" s="12">
        <f t="shared" si="26"/>
        <v>0</v>
      </c>
    </row>
    <row r="64" spans="1:35" x14ac:dyDescent="0.35">
      <c r="A64" s="5">
        <v>61</v>
      </c>
      <c r="B64" s="12">
        <f>B63*(1-Parameters!$B$9)</f>
        <v>106263.50621282816</v>
      </c>
      <c r="C64" s="21"/>
      <c r="D64" s="12">
        <f>B64*Parameters!$B$6</f>
        <v>74384.454348979707</v>
      </c>
      <c r="E64" s="12">
        <f t="shared" si="15"/>
        <v>50000</v>
      </c>
      <c r="F64" s="12">
        <f t="shared" si="17"/>
        <v>124384.45434897971</v>
      </c>
      <c r="G64" s="12">
        <f>Parameters!$B$25*Demand_Volatility!B65*Stress_Data!F64</f>
        <v>67506.66</v>
      </c>
      <c r="H64" s="12">
        <f t="shared" si="18"/>
        <v>67506.66</v>
      </c>
      <c r="I64" s="12">
        <f>MIN(Parameters!$B$13,MAX(0,E64+D64-H64))</f>
        <v>50000</v>
      </c>
      <c r="J64" s="12">
        <f t="shared" si="19"/>
        <v>6877.7943489797035</v>
      </c>
      <c r="K64" s="12">
        <f>(H64*Stress_Data!B64*Stress_Data!D64)+(J64*Stress_Data!B64*Stress_Data!D64*(1-Parameters!$B$22))</f>
        <v>483650628.21423215</v>
      </c>
      <c r="M64" s="12">
        <f>B64*Parameters!$B$7</f>
        <v>31879.051863848446</v>
      </c>
      <c r="N64" s="12">
        <f t="shared" si="16"/>
        <v>0</v>
      </c>
      <c r="O64" s="12">
        <f t="shared" si="12"/>
        <v>31879.051863848446</v>
      </c>
      <c r="P64" s="12">
        <f>Parameters!$B$26*Demand_Volatility!C65*(1+Stress_Data!E64)</f>
        <v>35544.960000000006</v>
      </c>
      <c r="Q64" s="12">
        <f t="shared" si="20"/>
        <v>31879.051863848446</v>
      </c>
      <c r="R64" s="12">
        <f>MIN(Parameters!$C$13,MAX(0,N64+M64-Q64))</f>
        <v>0</v>
      </c>
      <c r="S64" s="12">
        <f t="shared" si="21"/>
        <v>0</v>
      </c>
      <c r="T64" s="12">
        <f>(Q64*Stress_Data!C64)+(S64*Stress_Data!C64*(1-Parameters!$B$23))</f>
        <v>111576681.52346957</v>
      </c>
      <c r="V64" s="12">
        <f t="shared" si="22"/>
        <v>595227309.73770165</v>
      </c>
      <c r="W64" s="26">
        <f>W63*(1+IF(A64&lt;10,Parameters!$B$36,IF(A64&lt;=45,Parameters!$B$37,Parameters!$B$38)))</f>
        <v>1.0888221938553431</v>
      </c>
      <c r="X64" s="12">
        <f>Parameters!$B$30*W64</f>
        <v>266761437.49455905</v>
      </c>
      <c r="Y64" s="12">
        <f>(Parameters!$B$15+Parameters!$B$16*I64)*W64</f>
        <v>6532933.1631320585</v>
      </c>
      <c r="Z64" s="12">
        <f>(Parameters!$C$15+Parameters!$C$16*R64)*Stress_Scenario!W64</f>
        <v>1633233.2907830146</v>
      </c>
      <c r="AA64" s="12">
        <f t="shared" si="13"/>
        <v>274927603.94847411</v>
      </c>
      <c r="AB64" s="12">
        <f t="shared" si="23"/>
        <v>320299705.78922755</v>
      </c>
      <c r="AC64" s="6">
        <f>(1+Parameters!$B$39)^-Stress_Scenario!A64</f>
        <v>0.89421756469227442</v>
      </c>
      <c r="AD64" s="12">
        <f t="shared" si="8"/>
        <v>286417622.88249505</v>
      </c>
      <c r="AF64" s="12">
        <f t="shared" si="24"/>
        <v>0</v>
      </c>
      <c r="AG64" s="12">
        <f t="shared" si="27"/>
        <v>0</v>
      </c>
      <c r="AH64" s="12">
        <f t="shared" si="25"/>
        <v>0</v>
      </c>
      <c r="AI64" s="12">
        <f t="shared" si="26"/>
        <v>0</v>
      </c>
    </row>
    <row r="65" spans="1:35" x14ac:dyDescent="0.35">
      <c r="A65" s="5">
        <v>62</v>
      </c>
      <c r="B65" s="12">
        <f>B64*(1-Parameters!$B$9)</f>
        <v>106048.41692389356</v>
      </c>
      <c r="C65" s="21"/>
      <c r="D65" s="12">
        <f>B65*Parameters!$B$6</f>
        <v>74233.891846725484</v>
      </c>
      <c r="E65" s="12">
        <f t="shared" si="15"/>
        <v>50000</v>
      </c>
      <c r="F65" s="12">
        <f t="shared" si="17"/>
        <v>124233.89184672548</v>
      </c>
      <c r="G65" s="12">
        <f>Parameters!$B$25*Demand_Volatility!B66*Stress_Data!F65</f>
        <v>63893.310000000005</v>
      </c>
      <c r="H65" s="12">
        <f t="shared" si="18"/>
        <v>63893.310000000005</v>
      </c>
      <c r="I65" s="12">
        <f>MIN(Parameters!$B$13,MAX(0,E65+D65-H65))</f>
        <v>50000</v>
      </c>
      <c r="J65" s="12">
        <f t="shared" si="19"/>
        <v>10340.581846725479</v>
      </c>
      <c r="K65" s="12">
        <f>(H65*Stress_Data!B65*Stress_Data!D65)+(J65*Stress_Data!B65*Stress_Data!D65*(1-Parameters!$B$22))</f>
        <v>465752608.61953068</v>
      </c>
      <c r="M65" s="12">
        <f>B65*Parameters!$B$7</f>
        <v>31814.525077168066</v>
      </c>
      <c r="N65" s="12">
        <f t="shared" si="16"/>
        <v>0</v>
      </c>
      <c r="O65" s="12">
        <f t="shared" si="12"/>
        <v>31814.525077168066</v>
      </c>
      <c r="P65" s="12">
        <f>Parameters!$B$26*Demand_Volatility!C66*(1+Stress_Data!E65)</f>
        <v>34925.440000000002</v>
      </c>
      <c r="Q65" s="12">
        <f t="shared" si="20"/>
        <v>31814.525077168066</v>
      </c>
      <c r="R65" s="12">
        <f>MIN(Parameters!$C$13,MAX(0,N65+M65-Q65))</f>
        <v>0</v>
      </c>
      <c r="S65" s="12">
        <f t="shared" si="21"/>
        <v>0</v>
      </c>
      <c r="T65" s="12">
        <f>(Q65*Stress_Data!C65)+(S65*Stress_Data!C65*(1-Parameters!$B$23))</f>
        <v>111350837.77008823</v>
      </c>
      <c r="V65" s="12">
        <f t="shared" si="22"/>
        <v>577103446.38961887</v>
      </c>
      <c r="W65" s="26">
        <f>W64*(1+IF(A65&lt;10,Parameters!$B$36,IF(A65&lt;=45,Parameters!$B$37,Parameters!$B$38)))</f>
        <v>1.0900429638592342</v>
      </c>
      <c r="X65" s="12">
        <f>Parameters!$B$30*W65</f>
        <v>267060526.14551237</v>
      </c>
      <c r="Y65" s="12">
        <f>(Parameters!$B$15+Parameters!$B$16*I65)*W65</f>
        <v>6540257.783155405</v>
      </c>
      <c r="Z65" s="12">
        <f>(Parameters!$C$15+Parameters!$C$16*R65)*Stress_Scenario!W65</f>
        <v>1635064.4457888512</v>
      </c>
      <c r="AA65" s="12">
        <f t="shared" si="13"/>
        <v>275235848.37445664</v>
      </c>
      <c r="AB65" s="12">
        <f t="shared" si="23"/>
        <v>301867598.01516223</v>
      </c>
      <c r="AC65" s="6">
        <f>(1+Parameters!$B$39)^-Stress_Scenario!A65</f>
        <v>0.89258006511828758</v>
      </c>
      <c r="AD65" s="12">
        <f t="shared" si="8"/>
        <v>269441000.29347456</v>
      </c>
      <c r="AF65" s="12">
        <f t="shared" si="24"/>
        <v>0</v>
      </c>
      <c r="AG65" s="12">
        <f t="shared" si="27"/>
        <v>0</v>
      </c>
      <c r="AH65" s="12">
        <f t="shared" si="25"/>
        <v>0</v>
      </c>
      <c r="AI65" s="12">
        <f t="shared" si="26"/>
        <v>0</v>
      </c>
    </row>
    <row r="66" spans="1:35" x14ac:dyDescent="0.35">
      <c r="A66" s="5">
        <v>63</v>
      </c>
      <c r="B66" s="12">
        <f>B65*(1-Parameters!$B$9)</f>
        <v>105833.76299987269</v>
      </c>
      <c r="C66" s="21"/>
      <c r="D66" s="12">
        <f>B66*Parameters!$B$6</f>
        <v>74083.63409991088</v>
      </c>
      <c r="E66" s="12">
        <f t="shared" si="15"/>
        <v>50000</v>
      </c>
      <c r="F66" s="12">
        <f t="shared" si="17"/>
        <v>124083.63409991088</v>
      </c>
      <c r="G66" s="12">
        <f>Parameters!$B$25*Demand_Volatility!B67*Stress_Data!F66</f>
        <v>67745.340000000011</v>
      </c>
      <c r="H66" s="12">
        <f t="shared" si="18"/>
        <v>67745.340000000011</v>
      </c>
      <c r="I66" s="12">
        <f>MIN(Parameters!$B$13,MAX(0,E66+D66-H66))</f>
        <v>50000</v>
      </c>
      <c r="J66" s="12">
        <f t="shared" si="19"/>
        <v>6338.2940999108687</v>
      </c>
      <c r="K66" s="12">
        <f>(H66*Stress_Data!B66*Stress_Data!D66)+(J66*Stress_Data!B66*Stress_Data!D66*(1-Parameters!$B$22))</f>
        <v>484184749.85477424</v>
      </c>
      <c r="M66" s="12">
        <f>B66*Parameters!$B$7</f>
        <v>31750.128899961805</v>
      </c>
      <c r="N66" s="12">
        <f t="shared" si="16"/>
        <v>0</v>
      </c>
      <c r="O66" s="12">
        <f t="shared" si="12"/>
        <v>31750.128899961805</v>
      </c>
      <c r="P66" s="12">
        <f>Parameters!$B$26*Demand_Volatility!C67*(1+Stress_Data!E66)</f>
        <v>36586.880000000005</v>
      </c>
      <c r="Q66" s="12">
        <f t="shared" si="20"/>
        <v>31750.128899961805</v>
      </c>
      <c r="R66" s="12">
        <f>MIN(Parameters!$C$13,MAX(0,N66+M66-Q66))</f>
        <v>0</v>
      </c>
      <c r="S66" s="12">
        <f t="shared" si="21"/>
        <v>0</v>
      </c>
      <c r="T66" s="12">
        <f>(Q66*Stress_Data!C66)+(S66*Stress_Data!C66*(1-Parameters!$B$23))</f>
        <v>111125451.14986631</v>
      </c>
      <c r="V66" s="12">
        <f t="shared" si="22"/>
        <v>595310201.00464058</v>
      </c>
      <c r="W66" s="26">
        <f>W65*(1+IF(A66&lt;10,Parameters!$B$36,IF(A66&lt;=45,Parameters!$B$37,Parameters!$B$38)))</f>
        <v>1.0912651025709001</v>
      </c>
      <c r="X66" s="12">
        <f>Parameters!$B$30*W66</f>
        <v>267359950.12987053</v>
      </c>
      <c r="Y66" s="12">
        <f>(Parameters!$B$15+Parameters!$B$16*I66)*W66</f>
        <v>6547590.6154254004</v>
      </c>
      <c r="Z66" s="12">
        <f>(Parameters!$C$15+Parameters!$C$16*R66)*Stress_Scenario!W66</f>
        <v>1636897.6538563501</v>
      </c>
      <c r="AA66" s="12">
        <f t="shared" si="13"/>
        <v>275544438.39915228</v>
      </c>
      <c r="AB66" s="12">
        <f t="shared" si="23"/>
        <v>319765762.6054883</v>
      </c>
      <c r="AC66" s="6">
        <f>(1+Parameters!$B$39)^-Stress_Scenario!A66</f>
        <v>0.8909455641488474</v>
      </c>
      <c r="AD66" s="12">
        <f t="shared" si="8"/>
        <v>284893887.76003319</v>
      </c>
      <c r="AF66" s="12">
        <f t="shared" si="24"/>
        <v>0</v>
      </c>
      <c r="AG66" s="12">
        <f t="shared" si="27"/>
        <v>0</v>
      </c>
      <c r="AH66" s="12">
        <f t="shared" si="25"/>
        <v>0</v>
      </c>
      <c r="AI66" s="12">
        <f t="shared" si="26"/>
        <v>0</v>
      </c>
    </row>
    <row r="67" spans="1:35" x14ac:dyDescent="0.35">
      <c r="A67" s="5">
        <v>64</v>
      </c>
      <c r="B67" s="12">
        <f>B66*(1-Parameters!$B$9)</f>
        <v>105619.543559538</v>
      </c>
      <c r="C67" s="21"/>
      <c r="D67" s="12">
        <f>B67*Parameters!$B$6</f>
        <v>73933.680491676598</v>
      </c>
      <c r="E67" s="12">
        <f t="shared" si="15"/>
        <v>50000</v>
      </c>
      <c r="F67" s="12">
        <f t="shared" si="17"/>
        <v>123933.6804916766</v>
      </c>
      <c r="G67" s="12">
        <f>Parameters!$B$25*Demand_Volatility!B68*Stress_Data!F67</f>
        <v>65119.859999999993</v>
      </c>
      <c r="H67" s="12">
        <f t="shared" si="18"/>
        <v>65119.859999999993</v>
      </c>
      <c r="I67" s="12">
        <f>MIN(Parameters!$B$13,MAX(0,E67+D67-H67))</f>
        <v>50000</v>
      </c>
      <c r="J67" s="12">
        <f t="shared" si="19"/>
        <v>8813.8204916766044</v>
      </c>
      <c r="K67" s="12">
        <f>(H67*Stress_Data!B67*Stress_Data!D67)+(J67*Stress_Data!B67*Stress_Data!D67*(1-Parameters!$B$22))</f>
        <v>471095370.73744071</v>
      </c>
      <c r="M67" s="12">
        <f>B67*Parameters!$B$7</f>
        <v>31685.863067861399</v>
      </c>
      <c r="N67" s="12">
        <f t="shared" si="16"/>
        <v>0</v>
      </c>
      <c r="O67" s="12">
        <f t="shared" si="12"/>
        <v>31685.863067861399</v>
      </c>
      <c r="P67" s="12">
        <f>Parameters!$B$26*Demand_Volatility!C68*(1+Stress_Data!E67)</f>
        <v>38104</v>
      </c>
      <c r="Q67" s="12">
        <f t="shared" si="20"/>
        <v>31685.863067861399</v>
      </c>
      <c r="R67" s="12">
        <f>MIN(Parameters!$C$13,MAX(0,N67+M67-Q67))</f>
        <v>0</v>
      </c>
      <c r="S67" s="12">
        <f t="shared" si="21"/>
        <v>0</v>
      </c>
      <c r="T67" s="12">
        <f>(Q67*Stress_Data!C67)+(S67*Stress_Data!C67*(1-Parameters!$B$23))</f>
        <v>110900520.7375149</v>
      </c>
      <c r="V67" s="12">
        <f t="shared" si="22"/>
        <v>581995891.47495556</v>
      </c>
      <c r="W67" s="26">
        <f>W66*(1+IF(A67&lt;10,Parameters!$B$36,IF(A67&lt;=45,Parameters!$B$37,Parameters!$B$38)))</f>
        <v>1.0924886115249146</v>
      </c>
      <c r="X67" s="12">
        <f>Parameters!$B$30*W67</f>
        <v>267659709.82360408</v>
      </c>
      <c r="Y67" s="12">
        <f>(Parameters!$B$15+Parameters!$B$16*I67)*W67</f>
        <v>6554931.6691494873</v>
      </c>
      <c r="Z67" s="12">
        <f>(Parameters!$C$15+Parameters!$C$16*R67)*Stress_Scenario!W67</f>
        <v>1638732.9172873718</v>
      </c>
      <c r="AA67" s="12">
        <f t="shared" si="13"/>
        <v>275853374.41004092</v>
      </c>
      <c r="AB67" s="12">
        <f t="shared" si="23"/>
        <v>306142517.06491464</v>
      </c>
      <c r="AC67" s="6">
        <f>(1+Parameters!$B$39)^-Stress_Scenario!A67</f>
        <v>0.88931405629288052</v>
      </c>
      <c r="AD67" s="12">
        <f t="shared" si="8"/>
        <v>272256843.65471166</v>
      </c>
      <c r="AF67" s="12">
        <f t="shared" si="24"/>
        <v>0</v>
      </c>
      <c r="AG67" s="12">
        <f t="shared" si="27"/>
        <v>0</v>
      </c>
      <c r="AH67" s="12">
        <f t="shared" si="25"/>
        <v>0</v>
      </c>
      <c r="AI67" s="12">
        <f t="shared" si="26"/>
        <v>0</v>
      </c>
    </row>
    <row r="68" spans="1:35" x14ac:dyDescent="0.35">
      <c r="A68" s="5">
        <v>65</v>
      </c>
      <c r="B68" s="12">
        <f>B67*(1-Parameters!$B$9)</f>
        <v>105405.75772344561</v>
      </c>
      <c r="C68" s="21"/>
      <c r="D68" s="12">
        <f>B68*Parameters!$B$6</f>
        <v>73784.030406411926</v>
      </c>
      <c r="E68" s="12">
        <f t="shared" si="15"/>
        <v>50000</v>
      </c>
      <c r="F68" s="12">
        <f t="shared" ref="F68:F83" si="28">D68+E68</f>
        <v>123784.03040641193</v>
      </c>
      <c r="G68" s="12">
        <f>Parameters!$B$25*Demand_Volatility!B69*Stress_Data!F68</f>
        <v>64808.25</v>
      </c>
      <c r="H68" s="12">
        <f t="shared" ref="H68:H83" si="29">MIN(F68,G68)</f>
        <v>64808.25</v>
      </c>
      <c r="I68" s="12">
        <f>MIN(Parameters!$B$13,MAX(0,E68+D68-H68))</f>
        <v>50000</v>
      </c>
      <c r="J68" s="12">
        <f t="shared" ref="J68:J83" si="30">D68+E68-H68-I68</f>
        <v>8975.7804064119264</v>
      </c>
      <c r="K68" s="12">
        <f>(H68*Stress_Data!B68*Stress_Data!D68)+(J68*Stress_Data!B68*Stress_Data!D68*(1-Parameters!$B$22))</f>
        <v>469266841.61561275</v>
      </c>
      <c r="M68" s="12">
        <f>B68*Parameters!$B$7</f>
        <v>31621.727317033681</v>
      </c>
      <c r="N68" s="12">
        <f t="shared" si="16"/>
        <v>0</v>
      </c>
      <c r="O68" s="12">
        <f t="shared" si="12"/>
        <v>31621.727317033681</v>
      </c>
      <c r="P68" s="12">
        <f>Parameters!$B$26*Demand_Volatility!C69*(1+Stress_Data!E68)</f>
        <v>35692.800000000003</v>
      </c>
      <c r="Q68" s="12">
        <f t="shared" ref="Q68:Q83" si="31">MIN(O68,P68)</f>
        <v>31621.727317033681</v>
      </c>
      <c r="R68" s="12">
        <f>MIN(Parameters!$C$13,MAX(0,N68+M68-Q68))</f>
        <v>0</v>
      </c>
      <c r="S68" s="12">
        <f t="shared" ref="S68:S83" si="32">M68+N68-Q68-R68</f>
        <v>0</v>
      </c>
      <c r="T68" s="12">
        <f>(Q68*Stress_Data!C68)+(S68*Stress_Data!C68*(1-Parameters!$B$23))</f>
        <v>110676045.60961789</v>
      </c>
      <c r="V68" s="12">
        <f t="shared" ref="V68:V83" si="33">K68+T68</f>
        <v>579942887.22523069</v>
      </c>
      <c r="W68" s="26">
        <f>W67*(1+IF(A68&lt;10,Parameters!$B$36,IF(A68&lt;=45,Parameters!$B$37,Parameters!$B$38)))</f>
        <v>1.0937134922575711</v>
      </c>
      <c r="X68" s="12">
        <f>Parameters!$B$30*W68</f>
        <v>267959805.60310492</v>
      </c>
      <c r="Y68" s="12">
        <f>(Parameters!$B$15+Parameters!$B$16*I68)*W68</f>
        <v>6562280.9535454269</v>
      </c>
      <c r="Z68" s="12">
        <f>(Parameters!$C$15+Parameters!$C$16*R68)*Stress_Scenario!W68</f>
        <v>1640570.2383863567</v>
      </c>
      <c r="AA68" s="12">
        <f t="shared" si="13"/>
        <v>276162656.79503667</v>
      </c>
      <c r="AB68" s="12">
        <f t="shared" ref="AB68:AB83" si="34">V68-AA68</f>
        <v>303780230.43019402</v>
      </c>
      <c r="AC68" s="6">
        <f>(1+Parameters!$B$39)^-Stress_Scenario!A68</f>
        <v>0.88768553606936973</v>
      </c>
      <c r="AD68" s="12">
        <f t="shared" ref="AD68:AD83" si="35">AB68*AC68</f>
        <v>269661316.69670343</v>
      </c>
      <c r="AF68" s="12">
        <f t="shared" ref="AF68:AF83" si="36">IF(AND(ROUND((D68-H68-I68+E68-J68),0)=0,ROUND((M68-Q68-R68+N68-S68),0)=0),0,1)</f>
        <v>0</v>
      </c>
      <c r="AG68" s="12">
        <f t="shared" si="27"/>
        <v>0</v>
      </c>
      <c r="AH68" s="12">
        <f t="shared" ref="AH68:AH83" si="37">IF(AND(Q68&lt;=P68,H68&lt;=G68),0,1)</f>
        <v>0</v>
      </c>
      <c r="AI68" s="12">
        <f t="shared" ref="AI68:AI83" si="38">IF(AND(Q68&lt;=O68,H68&lt;=F68),0,1)</f>
        <v>0</v>
      </c>
    </row>
    <row r="69" spans="1:35" x14ac:dyDescent="0.35">
      <c r="A69" s="5">
        <v>66</v>
      </c>
      <c r="B69" s="12">
        <f>B68*(1-Parameters!$B$9)</f>
        <v>105192.40461393179</v>
      </c>
      <c r="C69" s="21"/>
      <c r="D69" s="12">
        <f>B69*Parameters!$B$6</f>
        <v>73634.683229752249</v>
      </c>
      <c r="E69" s="12">
        <f t="shared" si="15"/>
        <v>50000</v>
      </c>
      <c r="F69" s="12">
        <f t="shared" si="28"/>
        <v>123634.68322975225</v>
      </c>
      <c r="G69" s="12">
        <f>Parameters!$B$25*Demand_Volatility!B70*Stress_Data!F69</f>
        <v>66551.94</v>
      </c>
      <c r="H69" s="12">
        <f t="shared" si="29"/>
        <v>66551.94</v>
      </c>
      <c r="I69" s="12">
        <f>MIN(Parameters!$B$13,MAX(0,E69+D69-H69))</f>
        <v>50000</v>
      </c>
      <c r="J69" s="12">
        <f t="shared" si="30"/>
        <v>7082.7432297522464</v>
      </c>
      <c r="K69" s="12">
        <f>(H69*Stress_Data!B69*Stress_Data!D69)+(J69*Stress_Data!B69*Stress_Data!D69*(1-Parameters!$B$22))</f>
        <v>477440856.1599713</v>
      </c>
      <c r="M69" s="12">
        <f>B69*Parameters!$B$7</f>
        <v>31557.721384179538</v>
      </c>
      <c r="N69" s="12">
        <f t="shared" si="16"/>
        <v>0</v>
      </c>
      <c r="O69" s="12">
        <f t="shared" ref="O69:O83" si="39">M69+N69</f>
        <v>31557.721384179538</v>
      </c>
      <c r="P69" s="12">
        <f>Parameters!$B$26*Demand_Volatility!C70*(1+Stress_Data!E69)</f>
        <v>34503.040000000001</v>
      </c>
      <c r="Q69" s="12">
        <f t="shared" si="31"/>
        <v>31557.721384179538</v>
      </c>
      <c r="R69" s="12">
        <f>MIN(Parameters!$C$13,MAX(0,N69+M69-Q69))</f>
        <v>0</v>
      </c>
      <c r="S69" s="12">
        <f t="shared" si="32"/>
        <v>0</v>
      </c>
      <c r="T69" s="12">
        <f>(Q69*Stress_Data!C69)+(S69*Stress_Data!C69*(1-Parameters!$B$23))</f>
        <v>110452024.84462838</v>
      </c>
      <c r="V69" s="12">
        <f t="shared" si="33"/>
        <v>587892881.00459969</v>
      </c>
      <c r="W69" s="26">
        <f>W68*(1+IF(A69&lt;10,Parameters!$B$36,IF(A69&lt;=45,Parameters!$B$37,Parameters!$B$38)))</f>
        <v>1.094939746306886</v>
      </c>
      <c r="X69" s="12">
        <f>Parameters!$B$30*W69</f>
        <v>268260237.84518707</v>
      </c>
      <c r="Y69" s="12">
        <f>(Parameters!$B$15+Parameters!$B$16*I69)*W69</f>
        <v>6569638.4778413158</v>
      </c>
      <c r="Z69" s="12">
        <f>(Parameters!$C$15+Parameters!$C$16*R69)*Stress_Scenario!W69</f>
        <v>1642409.6194603289</v>
      </c>
      <c r="AA69" s="12">
        <f t="shared" ref="AA69:AA83" si="40">X69+Y69+Z69</f>
        <v>276472285.94248873</v>
      </c>
      <c r="AB69" s="12">
        <f t="shared" si="34"/>
        <v>311420595.06211096</v>
      </c>
      <c r="AC69" s="6">
        <f>(1+Parameters!$B$39)^-Stress_Scenario!A69</f>
        <v>0.8860599980073347</v>
      </c>
      <c r="AD69" s="12">
        <f t="shared" si="35"/>
        <v>275937331.840177</v>
      </c>
      <c r="AF69" s="12">
        <f t="shared" si="36"/>
        <v>0</v>
      </c>
      <c r="AG69" s="12">
        <f t="shared" si="27"/>
        <v>0</v>
      </c>
      <c r="AH69" s="12">
        <f t="shared" si="37"/>
        <v>0</v>
      </c>
      <c r="AI69" s="12">
        <f t="shared" si="38"/>
        <v>0</v>
      </c>
    </row>
    <row r="70" spans="1:35" x14ac:dyDescent="0.35">
      <c r="A70" s="5">
        <v>67</v>
      </c>
      <c r="B70" s="12">
        <f>B69*(1-Parameters!$B$9)</f>
        <v>104979.48335510927</v>
      </c>
      <c r="C70" s="21"/>
      <c r="D70" s="12">
        <f>B70*Parameters!$B$6</f>
        <v>73485.638348576482</v>
      </c>
      <c r="E70" s="12">
        <f t="shared" ref="E70:E83" si="41">I69</f>
        <v>50000</v>
      </c>
      <c r="F70" s="12">
        <f t="shared" si="28"/>
        <v>123485.63834857648</v>
      </c>
      <c r="G70" s="12">
        <f>Parameters!$B$25*Demand_Volatility!B71*Stress_Data!F70</f>
        <v>65663.51999999999</v>
      </c>
      <c r="H70" s="12">
        <f t="shared" si="29"/>
        <v>65663.51999999999</v>
      </c>
      <c r="I70" s="12">
        <f>MIN(Parameters!$B$13,MAX(0,E70+D70-H70))</f>
        <v>50000</v>
      </c>
      <c r="J70" s="12">
        <f t="shared" si="30"/>
        <v>7822.1183485764923</v>
      </c>
      <c r="K70" s="12">
        <f>(H70*Stress_Data!B70*Stress_Data!D70)+(J70*Stress_Data!B70*Stress_Data!D70*(1-Parameters!$B$22))</f>
        <v>472806601.06779104</v>
      </c>
      <c r="M70" s="12">
        <f>B70*Parameters!$B$7</f>
        <v>31493.845006532782</v>
      </c>
      <c r="N70" s="12">
        <f t="shared" ref="N70:N83" si="42">R69</f>
        <v>0</v>
      </c>
      <c r="O70" s="12">
        <f t="shared" si="39"/>
        <v>31493.845006532782</v>
      </c>
      <c r="P70" s="12">
        <f>Parameters!$B$26*Demand_Volatility!C71*(1+Stress_Data!E70)</f>
        <v>36266.560000000005</v>
      </c>
      <c r="Q70" s="12">
        <f t="shared" si="31"/>
        <v>31493.845006532782</v>
      </c>
      <c r="R70" s="12">
        <f>MIN(Parameters!$C$13,MAX(0,N70+M70-Q70))</f>
        <v>0</v>
      </c>
      <c r="S70" s="12">
        <f t="shared" si="32"/>
        <v>0</v>
      </c>
      <c r="T70" s="12">
        <f>(Q70*Stress_Data!C70)+(S70*Stress_Data!C70*(1-Parameters!$B$23))</f>
        <v>110228457.52286473</v>
      </c>
      <c r="V70" s="12">
        <f t="shared" si="33"/>
        <v>583035058.5906558</v>
      </c>
      <c r="W70" s="26">
        <f>W69*(1+IF(A70&lt;10,Parameters!$B$36,IF(A70&lt;=45,Parameters!$B$37,Parameters!$B$38)))</f>
        <v>1.0961673752125998</v>
      </c>
      <c r="X70" s="12">
        <f>Parameters!$B$30*W70</f>
        <v>268561006.92708695</v>
      </c>
      <c r="Y70" s="12">
        <f>(Parameters!$B$15+Parameters!$B$16*I70)*W70</f>
        <v>6577004.251275599</v>
      </c>
      <c r="Z70" s="12">
        <f>(Parameters!$C$15+Parameters!$C$16*R70)*Stress_Scenario!W70</f>
        <v>1644251.0628188998</v>
      </c>
      <c r="AA70" s="12">
        <f t="shared" si="40"/>
        <v>276782262.24118143</v>
      </c>
      <c r="AB70" s="12">
        <f t="shared" si="34"/>
        <v>306252796.34947437</v>
      </c>
      <c r="AC70" s="6">
        <f>(1+Parameters!$B$39)^-Stress_Scenario!A70</f>
        <v>0.88443743664581331</v>
      </c>
      <c r="AD70" s="12">
        <f t="shared" si="35"/>
        <v>270861438.16894138</v>
      </c>
      <c r="AF70" s="12">
        <f t="shared" si="36"/>
        <v>0</v>
      </c>
      <c r="AG70" s="12">
        <f t="shared" ref="AG70:AG83" si="43">IF(B70&lt;B69,0,1)</f>
        <v>0</v>
      </c>
      <c r="AH70" s="12">
        <f t="shared" si="37"/>
        <v>0</v>
      </c>
      <c r="AI70" s="12">
        <f t="shared" si="38"/>
        <v>0</v>
      </c>
    </row>
    <row r="71" spans="1:35" x14ac:dyDescent="0.35">
      <c r="A71" s="5">
        <v>68</v>
      </c>
      <c r="B71" s="12">
        <f>B70*(1-Parameters!$B$9)</f>
        <v>104766.99307286367</v>
      </c>
      <c r="C71" s="21"/>
      <c r="D71" s="12">
        <f>B71*Parameters!$B$6</f>
        <v>73336.895151004559</v>
      </c>
      <c r="E71" s="12">
        <f t="shared" si="41"/>
        <v>50000</v>
      </c>
      <c r="F71" s="12">
        <f t="shared" si="28"/>
        <v>123336.89515100456</v>
      </c>
      <c r="G71" s="12">
        <f>Parameters!$B$25*Demand_Volatility!B72*Stress_Data!F71</f>
        <v>67367.430000000008</v>
      </c>
      <c r="H71" s="12">
        <f t="shared" si="29"/>
        <v>67367.430000000008</v>
      </c>
      <c r="I71" s="12">
        <f>MIN(Parameters!$B$13,MAX(0,E71+D71-H71))</f>
        <v>50000</v>
      </c>
      <c r="J71" s="12">
        <f t="shared" si="30"/>
        <v>5969.4651510045514</v>
      </c>
      <c r="K71" s="12">
        <f>(H71*Stress_Data!B71*Stress_Data!D71)+(J71*Stress_Data!B71*Stress_Data!D71*(1-Parameters!$B$22))</f>
        <v>480788289.87893516</v>
      </c>
      <c r="M71" s="12">
        <f>B71*Parameters!$B$7</f>
        <v>31430.097921859098</v>
      </c>
      <c r="N71" s="12">
        <f t="shared" si="42"/>
        <v>0</v>
      </c>
      <c r="O71" s="12">
        <f t="shared" si="39"/>
        <v>31430.097921859098</v>
      </c>
      <c r="P71" s="12">
        <f>Parameters!$B$26*Demand_Volatility!C72*(1+Stress_Data!E71)</f>
        <v>35594.240000000005</v>
      </c>
      <c r="Q71" s="12">
        <f t="shared" si="31"/>
        <v>31430.097921859098</v>
      </c>
      <c r="R71" s="12">
        <f>MIN(Parameters!$C$13,MAX(0,N71+M71-Q71))</f>
        <v>0</v>
      </c>
      <c r="S71" s="12">
        <f t="shared" si="32"/>
        <v>0</v>
      </c>
      <c r="T71" s="12">
        <f>(Q71*Stress_Data!C71)+(S71*Stress_Data!C71*(1-Parameters!$B$23))</f>
        <v>110005342.72650684</v>
      </c>
      <c r="V71" s="12">
        <f t="shared" si="33"/>
        <v>590793632.60544205</v>
      </c>
      <c r="W71" s="26">
        <f>W70*(1+IF(A71&lt;10,Parameters!$B$36,IF(A71&lt;=45,Parameters!$B$37,Parameters!$B$38)))</f>
        <v>1.0973963805161795</v>
      </c>
      <c r="X71" s="12">
        <f>Parameters!$B$30*W71</f>
        <v>268862113.22646397</v>
      </c>
      <c r="Y71" s="12">
        <f>(Parameters!$B$15+Parameters!$B$16*I71)*W71</f>
        <v>6584378.2830970772</v>
      </c>
      <c r="Z71" s="12">
        <f>(Parameters!$C$15+Parameters!$C$16*R71)*Stress_Scenario!W71</f>
        <v>1646094.5707742693</v>
      </c>
      <c r="AA71" s="12">
        <f t="shared" si="40"/>
        <v>277092586.08033532</v>
      </c>
      <c r="AB71" s="12">
        <f t="shared" si="34"/>
        <v>313701046.52510673</v>
      </c>
      <c r="AC71" s="6">
        <f>(1+Parameters!$B$39)^-Stress_Scenario!A71</f>
        <v>0.88281784653384343</v>
      </c>
      <c r="AD71" s="12">
        <f t="shared" si="35"/>
        <v>276940882.34870774</v>
      </c>
      <c r="AF71" s="12">
        <f t="shared" si="36"/>
        <v>0</v>
      </c>
      <c r="AG71" s="12">
        <f t="shared" si="43"/>
        <v>0</v>
      </c>
      <c r="AH71" s="12">
        <f t="shared" si="37"/>
        <v>0</v>
      </c>
      <c r="AI71" s="12">
        <f t="shared" si="38"/>
        <v>0</v>
      </c>
    </row>
    <row r="72" spans="1:35" x14ac:dyDescent="0.35">
      <c r="A72" s="5">
        <v>69</v>
      </c>
      <c r="B72" s="12">
        <f>B71*(1-Parameters!$B$9)</f>
        <v>104554.93289484992</v>
      </c>
      <c r="C72" s="21"/>
      <c r="D72" s="12">
        <f>B72*Parameters!$B$6</f>
        <v>73188.453026394942</v>
      </c>
      <c r="E72" s="12">
        <f t="shared" si="41"/>
        <v>50000</v>
      </c>
      <c r="F72" s="12">
        <f t="shared" si="28"/>
        <v>123188.45302639494</v>
      </c>
      <c r="G72" s="12">
        <f>Parameters!$B$25*Demand_Volatility!B73*Stress_Data!F72</f>
        <v>63369.539999999994</v>
      </c>
      <c r="H72" s="12">
        <f t="shared" si="29"/>
        <v>63369.539999999994</v>
      </c>
      <c r="I72" s="12">
        <f>MIN(Parameters!$B$13,MAX(0,E72+D72-H72))</f>
        <v>50000</v>
      </c>
      <c r="J72" s="12">
        <f t="shared" si="30"/>
        <v>9818.9130263949482</v>
      </c>
      <c r="K72" s="12">
        <f>(H72*Stress_Data!B72*Stress_Data!D72)+(J72*Stress_Data!B72*Stress_Data!D72*(1-Parameters!$B$22))</f>
        <v>461023367.08784926</v>
      </c>
      <c r="M72" s="12">
        <f>B72*Parameters!$B$7</f>
        <v>31366.479868454975</v>
      </c>
      <c r="N72" s="12">
        <f t="shared" si="42"/>
        <v>0</v>
      </c>
      <c r="O72" s="12">
        <f t="shared" si="39"/>
        <v>31366.479868454975</v>
      </c>
      <c r="P72" s="12">
        <f>Parameters!$B$26*Demand_Volatility!C73*(1+Stress_Data!E72)</f>
        <v>37171.200000000004</v>
      </c>
      <c r="Q72" s="12">
        <f t="shared" si="31"/>
        <v>31366.479868454975</v>
      </c>
      <c r="R72" s="12">
        <f>MIN(Parameters!$C$13,MAX(0,N72+M72-Q72))</f>
        <v>0</v>
      </c>
      <c r="S72" s="12">
        <f t="shared" si="32"/>
        <v>0</v>
      </c>
      <c r="T72" s="12">
        <f>(Q72*Stress_Data!C72)+(S72*Stress_Data!C72*(1-Parameters!$B$23))</f>
        <v>109782679.53959242</v>
      </c>
      <c r="V72" s="12">
        <f t="shared" si="33"/>
        <v>570806046.62744164</v>
      </c>
      <c r="W72" s="26">
        <f>W71*(1+IF(A72&lt;10,Parameters!$B$36,IF(A72&lt;=45,Parameters!$B$37,Parameters!$B$38)))</f>
        <v>1.0986267637608202</v>
      </c>
      <c r="X72" s="12">
        <f>Parameters!$B$30*W72</f>
        <v>269163557.12140095</v>
      </c>
      <c r="Y72" s="12">
        <f>(Parameters!$B$15+Parameters!$B$16*I72)*W72</f>
        <v>6591760.5825649211</v>
      </c>
      <c r="Z72" s="12">
        <f>(Parameters!$C$15+Parameters!$C$16*R72)*Stress_Scenario!W72</f>
        <v>1647940.1456412303</v>
      </c>
      <c r="AA72" s="12">
        <f t="shared" si="40"/>
        <v>277403257.84960711</v>
      </c>
      <c r="AB72" s="12">
        <f t="shared" si="34"/>
        <v>293402788.77783453</v>
      </c>
      <c r="AC72" s="6">
        <f>(1+Parameters!$B$39)^-Stress_Scenario!A72</f>
        <v>0.88120122223044539</v>
      </c>
      <c r="AD72" s="12">
        <f t="shared" si="35"/>
        <v>258546896.07684901</v>
      </c>
      <c r="AF72" s="12">
        <f t="shared" si="36"/>
        <v>0</v>
      </c>
      <c r="AG72" s="12">
        <f t="shared" si="43"/>
        <v>0</v>
      </c>
      <c r="AH72" s="12">
        <f t="shared" si="37"/>
        <v>0</v>
      </c>
      <c r="AI72" s="12">
        <f t="shared" si="38"/>
        <v>0</v>
      </c>
    </row>
    <row r="73" spans="1:35" x14ac:dyDescent="0.35">
      <c r="A73" s="5">
        <v>70</v>
      </c>
      <c r="B73" s="12">
        <f>B72*(1-Parameters!$B$9)</f>
        <v>104343.30195048868</v>
      </c>
      <c r="C73" s="21"/>
      <c r="D73" s="12">
        <f>B73*Parameters!$B$6</f>
        <v>73040.311365342073</v>
      </c>
      <c r="E73" s="12">
        <f t="shared" si="41"/>
        <v>50000</v>
      </c>
      <c r="F73" s="12">
        <f t="shared" si="28"/>
        <v>123040.31136534207</v>
      </c>
      <c r="G73" s="12">
        <f>Parameters!$B$25*Demand_Volatility!B74*Stress_Data!F73</f>
        <v>66711.06</v>
      </c>
      <c r="H73" s="12">
        <f t="shared" si="29"/>
        <v>66711.06</v>
      </c>
      <c r="I73" s="12">
        <f>MIN(Parameters!$B$13,MAX(0,E73+D73-H73))</f>
        <v>50000</v>
      </c>
      <c r="J73" s="12">
        <f t="shared" si="30"/>
        <v>6329.2513653420756</v>
      </c>
      <c r="K73" s="12">
        <f>(H73*Stress_Data!B73*Stress_Data!D73)+(J73*Stress_Data!B73*Stress_Data!D73*(1-Parameters!$B$22))</f>
        <v>476975575.76755744</v>
      </c>
      <c r="M73" s="12">
        <f>B73*Parameters!$B$7</f>
        <v>31302.990585146603</v>
      </c>
      <c r="N73" s="12">
        <f t="shared" si="42"/>
        <v>0</v>
      </c>
      <c r="O73" s="12">
        <f t="shared" si="39"/>
        <v>31302.990585146603</v>
      </c>
      <c r="P73" s="12">
        <f>Parameters!$B$26*Demand_Volatility!C74*(1+Stress_Data!E73)</f>
        <v>35031.040000000001</v>
      </c>
      <c r="Q73" s="12">
        <f t="shared" si="31"/>
        <v>31302.990585146603</v>
      </c>
      <c r="R73" s="12">
        <f>MIN(Parameters!$C$13,MAX(0,N73+M73-Q73))</f>
        <v>0</v>
      </c>
      <c r="S73" s="12">
        <f t="shared" si="32"/>
        <v>0</v>
      </c>
      <c r="T73" s="12">
        <f>(Q73*Stress_Data!C73)+(S73*Stress_Data!C73*(1-Parameters!$B$23))</f>
        <v>109560467.04801311</v>
      </c>
      <c r="V73" s="12">
        <f t="shared" si="33"/>
        <v>586536042.81557059</v>
      </c>
      <c r="W73" s="26">
        <f>W72*(1+IF(A73&lt;10,Parameters!$B$36,IF(A73&lt;=45,Parameters!$B$37,Parameters!$B$38)))</f>
        <v>1.0998585264914478</v>
      </c>
      <c r="X73" s="12">
        <f>Parameters!$B$30*W73</f>
        <v>269465338.99040473</v>
      </c>
      <c r="Y73" s="12">
        <f>(Parameters!$B$15+Parameters!$B$16*I73)*W73</f>
        <v>6599151.1589486869</v>
      </c>
      <c r="Z73" s="12">
        <f>(Parameters!$C$15+Parameters!$C$16*R73)*Stress_Scenario!W73</f>
        <v>1649787.7897371717</v>
      </c>
      <c r="AA73" s="12">
        <f t="shared" si="40"/>
        <v>277714277.93909055</v>
      </c>
      <c r="AB73" s="12">
        <f t="shared" si="34"/>
        <v>308821764.87648004</v>
      </c>
      <c r="AC73" s="6">
        <f>(1+Parameters!$B$39)^-Stress_Scenario!A73</f>
        <v>0.87958755830460267</v>
      </c>
      <c r="AD73" s="12">
        <f t="shared" si="35"/>
        <v>271635782.11902118</v>
      </c>
      <c r="AF73" s="12">
        <f t="shared" si="36"/>
        <v>0</v>
      </c>
      <c r="AG73" s="12">
        <f t="shared" si="43"/>
        <v>0</v>
      </c>
      <c r="AH73" s="12">
        <f t="shared" si="37"/>
        <v>0</v>
      </c>
      <c r="AI73" s="12">
        <f t="shared" si="38"/>
        <v>0</v>
      </c>
    </row>
    <row r="74" spans="1:35" x14ac:dyDescent="0.35">
      <c r="A74" s="5">
        <v>71</v>
      </c>
      <c r="B74" s="12">
        <f>B73*(1-Parameters!$B$9)</f>
        <v>104132.09937096275</v>
      </c>
      <c r="C74" s="21"/>
      <c r="D74" s="12">
        <f>B74*Parameters!$B$6</f>
        <v>72892.469559673918</v>
      </c>
      <c r="E74" s="12">
        <f t="shared" si="41"/>
        <v>50000</v>
      </c>
      <c r="F74" s="12">
        <f t="shared" si="28"/>
        <v>122892.46955967392</v>
      </c>
      <c r="G74" s="12">
        <f>Parameters!$B$25*Demand_Volatility!B75*Stress_Data!F74</f>
        <v>68308.89</v>
      </c>
      <c r="H74" s="12">
        <f t="shared" si="29"/>
        <v>68308.89</v>
      </c>
      <c r="I74" s="12">
        <f>MIN(Parameters!$B$13,MAX(0,E74+D74-H74))</f>
        <v>50000</v>
      </c>
      <c r="J74" s="12">
        <f t="shared" si="30"/>
        <v>4583.579559673919</v>
      </c>
      <c r="K74" s="12">
        <f>(H74*Stress_Data!B74*Stress_Data!D74)+(J74*Stress_Data!B74*Stress_Data!D74*(1-Parameters!$B$22))</f>
        <v>484442916.8096559</v>
      </c>
      <c r="M74" s="12">
        <f>B74*Parameters!$B$7</f>
        <v>31239.629811288825</v>
      </c>
      <c r="N74" s="12">
        <f t="shared" si="42"/>
        <v>0</v>
      </c>
      <c r="O74" s="12">
        <f t="shared" si="39"/>
        <v>31239.629811288825</v>
      </c>
      <c r="P74" s="12">
        <f>Parameters!$B$26*Demand_Volatility!C75*(1+Stress_Data!E74)</f>
        <v>33327.360000000001</v>
      </c>
      <c r="Q74" s="12">
        <f t="shared" si="31"/>
        <v>31239.629811288825</v>
      </c>
      <c r="R74" s="12">
        <f>MIN(Parameters!$C$13,MAX(0,N74+M74-Q74))</f>
        <v>0</v>
      </c>
      <c r="S74" s="12">
        <f t="shared" si="32"/>
        <v>0</v>
      </c>
      <c r="T74" s="12">
        <f>(Q74*Stress_Data!C74)+(S74*Stress_Data!C74*(1-Parameters!$B$23))</f>
        <v>109338704.33951089</v>
      </c>
      <c r="V74" s="12">
        <f t="shared" si="33"/>
        <v>593781621.14916682</v>
      </c>
      <c r="W74" s="26">
        <f>W73*(1+IF(A74&lt;10,Parameters!$B$36,IF(A74&lt;=45,Parameters!$B$37,Parameters!$B$38)))</f>
        <v>1.1010916702547195</v>
      </c>
      <c r="X74" s="12">
        <f>Parameters!$B$30*W74</f>
        <v>269767459.21240628</v>
      </c>
      <c r="Y74" s="12">
        <f>(Parameters!$B$15+Parameters!$B$16*I74)*W74</f>
        <v>6606550.0215283176</v>
      </c>
      <c r="Z74" s="12">
        <f>(Parameters!$C$15+Parameters!$C$16*R74)*Stress_Scenario!W74</f>
        <v>1651637.5053820794</v>
      </c>
      <c r="AA74" s="12">
        <f t="shared" si="40"/>
        <v>278025646.73931664</v>
      </c>
      <c r="AB74" s="12">
        <f t="shared" si="34"/>
        <v>315755974.40985018</v>
      </c>
      <c r="AC74" s="6">
        <f>(1+Parameters!$B$39)^-Stress_Scenario!A74</f>
        <v>0.87797684933524434</v>
      </c>
      <c r="AD74" s="12">
        <f t="shared" si="35"/>
        <v>277226435.57114029</v>
      </c>
      <c r="AF74" s="12">
        <f t="shared" si="36"/>
        <v>0</v>
      </c>
      <c r="AG74" s="12">
        <f t="shared" si="43"/>
        <v>0</v>
      </c>
      <c r="AH74" s="12">
        <f t="shared" si="37"/>
        <v>0</v>
      </c>
      <c r="AI74" s="12">
        <f t="shared" si="38"/>
        <v>0</v>
      </c>
    </row>
    <row r="75" spans="1:35" x14ac:dyDescent="0.35">
      <c r="A75" s="5">
        <v>72</v>
      </c>
      <c r="B75" s="12">
        <f>B74*(1-Parameters!$B$9)</f>
        <v>103921.32428921355</v>
      </c>
      <c r="C75" s="21"/>
      <c r="D75" s="12">
        <f>B75*Parameters!$B$6</f>
        <v>72744.927002449476</v>
      </c>
      <c r="E75" s="12">
        <f t="shared" si="41"/>
        <v>50000</v>
      </c>
      <c r="F75" s="12">
        <f t="shared" si="28"/>
        <v>122744.92700244948</v>
      </c>
      <c r="G75" s="12">
        <f>Parameters!$B$25*Demand_Volatility!B76*Stress_Data!F75</f>
        <v>67937.609999999986</v>
      </c>
      <c r="H75" s="12">
        <f t="shared" si="29"/>
        <v>67937.609999999986</v>
      </c>
      <c r="I75" s="12">
        <f>MIN(Parameters!$B$13,MAX(0,E75+D75-H75))</f>
        <v>50000</v>
      </c>
      <c r="J75" s="12">
        <f t="shared" si="30"/>
        <v>4807.3170024494902</v>
      </c>
      <c r="K75" s="12">
        <f>(H75*Stress_Data!B75*Stress_Data!D75)+(J75*Stress_Data!B75*Stress_Data!D75*(1-Parameters!$B$22))</f>
        <v>482328405.06030852</v>
      </c>
      <c r="M75" s="12">
        <f>B75*Parameters!$B$7</f>
        <v>31176.397286764062</v>
      </c>
      <c r="N75" s="12">
        <f t="shared" si="42"/>
        <v>0</v>
      </c>
      <c r="O75" s="12">
        <f t="shared" si="39"/>
        <v>31176.397286764062</v>
      </c>
      <c r="P75" s="12">
        <f>Parameters!$B$26*Demand_Volatility!C76*(1+Stress_Data!E75)</f>
        <v>35629.440000000002</v>
      </c>
      <c r="Q75" s="12">
        <f t="shared" si="31"/>
        <v>31176.397286764062</v>
      </c>
      <c r="R75" s="12">
        <f>MIN(Parameters!$C$13,MAX(0,N75+M75-Q75))</f>
        <v>0</v>
      </c>
      <c r="S75" s="12">
        <f t="shared" si="32"/>
        <v>0</v>
      </c>
      <c r="T75" s="12">
        <f>(Q75*Stress_Data!C75)+(S75*Stress_Data!C75*(1-Parameters!$B$23))</f>
        <v>109117390.50367422</v>
      </c>
      <c r="V75" s="12">
        <f t="shared" si="33"/>
        <v>591445795.56398273</v>
      </c>
      <c r="W75" s="26">
        <f>W74*(1+IF(A75&lt;10,Parameters!$B$36,IF(A75&lt;=45,Parameters!$B$37,Parameters!$B$38)))</f>
        <v>1.1023261965990272</v>
      </c>
      <c r="X75" s="12">
        <f>Parameters!$B$30*W75</f>
        <v>270069918.16676164</v>
      </c>
      <c r="Y75" s="12">
        <f>(Parameters!$B$15+Parameters!$B$16*I75)*W75</f>
        <v>6613957.1795941629</v>
      </c>
      <c r="Z75" s="12">
        <f>(Parameters!$C$15+Parameters!$C$16*R75)*Stress_Scenario!W75</f>
        <v>1653489.2948985407</v>
      </c>
      <c r="AA75" s="12">
        <f t="shared" si="40"/>
        <v>278337364.64125437</v>
      </c>
      <c r="AB75" s="12">
        <f t="shared" si="34"/>
        <v>313108430.92272836</v>
      </c>
      <c r="AC75" s="6">
        <f>(1+Parameters!$B$39)^-Stress_Scenario!A75</f>
        <v>0.87636908991122608</v>
      </c>
      <c r="AD75" s="12">
        <f t="shared" si="35"/>
        <v>274398550.65128344</v>
      </c>
      <c r="AF75" s="12">
        <f t="shared" si="36"/>
        <v>0</v>
      </c>
      <c r="AG75" s="12">
        <f t="shared" si="43"/>
        <v>0</v>
      </c>
      <c r="AH75" s="12">
        <f t="shared" si="37"/>
        <v>0</v>
      </c>
      <c r="AI75" s="12">
        <f t="shared" si="38"/>
        <v>0</v>
      </c>
    </row>
    <row r="76" spans="1:35" x14ac:dyDescent="0.35">
      <c r="A76" s="5">
        <v>73</v>
      </c>
      <c r="B76" s="12">
        <f>B75*(1-Parameters!$B$9)</f>
        <v>103710.97583993746</v>
      </c>
      <c r="C76" s="21"/>
      <c r="D76" s="12">
        <f>B76*Parameters!$B$6</f>
        <v>72597.683087956219</v>
      </c>
      <c r="E76" s="12">
        <f t="shared" si="41"/>
        <v>50000</v>
      </c>
      <c r="F76" s="12">
        <f t="shared" si="28"/>
        <v>122597.68308795622</v>
      </c>
      <c r="G76" s="12">
        <f>Parameters!$B$25*Demand_Volatility!B77*Stress_Data!F76</f>
        <v>67493.399999999994</v>
      </c>
      <c r="H76" s="12">
        <f t="shared" si="29"/>
        <v>67493.399999999994</v>
      </c>
      <c r="I76" s="12">
        <f>MIN(Parameters!$B$13,MAX(0,E76+D76-H76))</f>
        <v>50000</v>
      </c>
      <c r="J76" s="12">
        <f t="shared" si="30"/>
        <v>5104.2830879562243</v>
      </c>
      <c r="K76" s="12">
        <f>(H76*Stress_Data!B76*Stress_Data!D76)+(J76*Stress_Data!B76*Stress_Data!D76*(1-Parameters!$B$22))</f>
        <v>479859609.60824144</v>
      </c>
      <c r="M76" s="12">
        <f>B76*Parameters!$B$7</f>
        <v>31113.292751981237</v>
      </c>
      <c r="N76" s="12">
        <f t="shared" si="42"/>
        <v>0</v>
      </c>
      <c r="O76" s="12">
        <f t="shared" si="39"/>
        <v>31113.292751981237</v>
      </c>
      <c r="P76" s="12">
        <f>Parameters!$B$26*Demand_Volatility!C77*(1+Stress_Data!E76)</f>
        <v>33397.760000000002</v>
      </c>
      <c r="Q76" s="12">
        <f t="shared" si="31"/>
        <v>31113.292751981237</v>
      </c>
      <c r="R76" s="12">
        <f>MIN(Parameters!$C$13,MAX(0,N76+M76-Q76))</f>
        <v>0</v>
      </c>
      <c r="S76" s="12">
        <f t="shared" si="32"/>
        <v>0</v>
      </c>
      <c r="T76" s="12">
        <f>(Q76*Stress_Data!C76)+(S76*Stress_Data!C76*(1-Parameters!$B$23))</f>
        <v>108896524.63193433</v>
      </c>
      <c r="V76" s="12">
        <f t="shared" si="33"/>
        <v>588756134.24017572</v>
      </c>
      <c r="W76" s="26">
        <f>W75*(1+IF(A76&lt;10,Parameters!$B$36,IF(A76&lt;=45,Parameters!$B$37,Parameters!$B$38)))</f>
        <v>1.1035621070744983</v>
      </c>
      <c r="X76" s="12">
        <f>Parameters!$B$30*W76</f>
        <v>270372716.23325211</v>
      </c>
      <c r="Y76" s="12">
        <f>(Parameters!$B$15+Parameters!$B$16*I76)*W76</f>
        <v>6621372.6424469901</v>
      </c>
      <c r="Z76" s="12">
        <f>(Parameters!$C$15+Parameters!$C$16*R76)*Stress_Scenario!W76</f>
        <v>1655343.1606117475</v>
      </c>
      <c r="AA76" s="12">
        <f t="shared" si="40"/>
        <v>278649432.03631085</v>
      </c>
      <c r="AB76" s="12">
        <f t="shared" si="34"/>
        <v>310106702.20386487</v>
      </c>
      <c r="AC76" s="6">
        <f>(1+Parameters!$B$39)^-Stress_Scenario!A76</f>
        <v>0.87476427463131323</v>
      </c>
      <c r="AD76" s="12">
        <f t="shared" si="35"/>
        <v>271270264.41167253</v>
      </c>
      <c r="AF76" s="12">
        <f t="shared" si="36"/>
        <v>0</v>
      </c>
      <c r="AG76" s="12">
        <f t="shared" si="43"/>
        <v>0</v>
      </c>
      <c r="AH76" s="12">
        <f t="shared" si="37"/>
        <v>0</v>
      </c>
      <c r="AI76" s="12">
        <f t="shared" si="38"/>
        <v>0</v>
      </c>
    </row>
    <row r="77" spans="1:35" x14ac:dyDescent="0.35">
      <c r="A77" s="5">
        <v>74</v>
      </c>
      <c r="B77" s="12">
        <f>B76*(1-Parameters!$B$9)</f>
        <v>103501.05315958238</v>
      </c>
      <c r="C77" s="21"/>
      <c r="D77" s="12">
        <f>B77*Parameters!$B$6</f>
        <v>72450.737211707659</v>
      </c>
      <c r="E77" s="12">
        <f t="shared" si="41"/>
        <v>50000</v>
      </c>
      <c r="F77" s="12">
        <f t="shared" si="28"/>
        <v>122450.73721170766</v>
      </c>
      <c r="G77" s="12">
        <f>Parameters!$B$25*Demand_Volatility!B78*Stress_Data!F77</f>
        <v>63694.41</v>
      </c>
      <c r="H77" s="12">
        <f t="shared" si="29"/>
        <v>63694.41</v>
      </c>
      <c r="I77" s="12">
        <f>MIN(Parameters!$B$13,MAX(0,E77+D77-H77))</f>
        <v>50000</v>
      </c>
      <c r="J77" s="12">
        <f t="shared" si="30"/>
        <v>8756.3272117076558</v>
      </c>
      <c r="K77" s="12">
        <f>(H77*Stress_Data!B77*Stress_Data!D77)+(J77*Stress_Data!B77*Stress_Data!D77*(1-Parameters!$B$22))</f>
        <v>461065734.35273755</v>
      </c>
      <c r="M77" s="12">
        <f>B77*Parameters!$B$7</f>
        <v>31050.315947874715</v>
      </c>
      <c r="N77" s="12">
        <f t="shared" si="42"/>
        <v>0</v>
      </c>
      <c r="O77" s="12">
        <f t="shared" si="39"/>
        <v>31050.315947874715</v>
      </c>
      <c r="P77" s="12">
        <f>Parameters!$B$26*Demand_Volatility!C78*(1+Stress_Data!E77)</f>
        <v>37505.600000000006</v>
      </c>
      <c r="Q77" s="12">
        <f t="shared" si="31"/>
        <v>31050.315947874715</v>
      </c>
      <c r="R77" s="12">
        <f>MIN(Parameters!$C$13,MAX(0,N77+M77-Q77))</f>
        <v>0</v>
      </c>
      <c r="S77" s="12">
        <f t="shared" si="32"/>
        <v>0</v>
      </c>
      <c r="T77" s="12">
        <f>(Q77*Stress_Data!C77)+(S77*Stress_Data!C77*(1-Parameters!$B$23))</f>
        <v>108676105.81756151</v>
      </c>
      <c r="V77" s="12">
        <f t="shared" si="33"/>
        <v>569741840.17029905</v>
      </c>
      <c r="W77" s="26">
        <f>W76*(1+IF(A77&lt;10,Parameters!$B$36,IF(A77&lt;=45,Parameters!$B$37,Parameters!$B$38)))</f>
        <v>1.1047994032329989</v>
      </c>
      <c r="X77" s="12">
        <f>Parameters!$B$30*W77</f>
        <v>270675853.79208469</v>
      </c>
      <c r="Y77" s="12">
        <f>(Parameters!$B$15+Parameters!$B$16*I77)*W77</f>
        <v>6628796.419397993</v>
      </c>
      <c r="Z77" s="12">
        <f>(Parameters!$C$15+Parameters!$C$16*R77)*Stress_Scenario!W77</f>
        <v>1657199.1048494983</v>
      </c>
      <c r="AA77" s="12">
        <f t="shared" si="40"/>
        <v>278961849.31633222</v>
      </c>
      <c r="AB77" s="12">
        <f t="shared" si="34"/>
        <v>290779990.85396683</v>
      </c>
      <c r="AC77" s="6">
        <f>(1+Parameters!$B$39)^-Stress_Scenario!A77</f>
        <v>0.8731623981041613</v>
      </c>
      <c r="AD77" s="12">
        <f t="shared" si="35"/>
        <v>253898154.13475576</v>
      </c>
      <c r="AF77" s="12">
        <f t="shared" si="36"/>
        <v>0</v>
      </c>
      <c r="AG77" s="12">
        <f t="shared" si="43"/>
        <v>0</v>
      </c>
      <c r="AH77" s="12">
        <f t="shared" si="37"/>
        <v>0</v>
      </c>
      <c r="AI77" s="12">
        <f t="shared" si="38"/>
        <v>0</v>
      </c>
    </row>
    <row r="78" spans="1:35" x14ac:dyDescent="0.35">
      <c r="A78" s="5">
        <v>75</v>
      </c>
      <c r="B78" s="12">
        <f>B77*(1-Parameters!$B$9)</f>
        <v>103291.55538634413</v>
      </c>
      <c r="C78" s="21"/>
      <c r="D78" s="12">
        <f>B78*Parameters!$B$6</f>
        <v>72304.088770440881</v>
      </c>
      <c r="E78" s="12">
        <f t="shared" si="41"/>
        <v>50000</v>
      </c>
      <c r="F78" s="12">
        <f t="shared" si="28"/>
        <v>122304.08877044088</v>
      </c>
      <c r="G78" s="12">
        <f>Parameters!$B$25*Demand_Volatility!B79*Stress_Data!F78</f>
        <v>65013.78</v>
      </c>
      <c r="H78" s="12">
        <f t="shared" si="29"/>
        <v>65013.78</v>
      </c>
      <c r="I78" s="12">
        <f>MIN(Parameters!$B$13,MAX(0,E78+D78-H78))</f>
        <v>50000</v>
      </c>
      <c r="J78" s="12">
        <f t="shared" si="30"/>
        <v>7290.3087704408827</v>
      </c>
      <c r="K78" s="12">
        <f>(H78*Stress_Data!B78*Stress_Data!D78)+(J78*Stress_Data!B78*Stress_Data!D78*(1-Parameters!$B$22))</f>
        <v>467180466.53163153</v>
      </c>
      <c r="M78" s="12">
        <f>B78*Parameters!$B$7</f>
        <v>30987.466615903239</v>
      </c>
      <c r="N78" s="12">
        <f t="shared" si="42"/>
        <v>0</v>
      </c>
      <c r="O78" s="12">
        <f t="shared" si="39"/>
        <v>30987.466615903239</v>
      </c>
      <c r="P78" s="12">
        <f>Parameters!$B$26*Demand_Volatility!C79*(1+Stress_Data!E78)</f>
        <v>35291.519999999997</v>
      </c>
      <c r="Q78" s="12">
        <f t="shared" si="31"/>
        <v>30987.466615903239</v>
      </c>
      <c r="R78" s="12">
        <f>MIN(Parameters!$C$13,MAX(0,N78+M78-Q78))</f>
        <v>0</v>
      </c>
      <c r="S78" s="12">
        <f t="shared" si="32"/>
        <v>0</v>
      </c>
      <c r="T78" s="12">
        <f>(Q78*Stress_Data!C78)+(S78*Stress_Data!C78*(1-Parameters!$B$23))</f>
        <v>108456133.15566133</v>
      </c>
      <c r="V78" s="12">
        <f t="shared" si="33"/>
        <v>575636599.68729281</v>
      </c>
      <c r="W78" s="26">
        <f>W77*(1+IF(A78&lt;10,Parameters!$B$36,IF(A78&lt;=45,Parameters!$B$37,Parameters!$B$38)))</f>
        <v>1.1060380866281343</v>
      </c>
      <c r="X78" s="12">
        <f>Parameters!$B$30*W78</f>
        <v>270979331.22389293</v>
      </c>
      <c r="Y78" s="12">
        <f>(Parameters!$B$15+Parameters!$B$16*I78)*W78</f>
        <v>6636228.5197688062</v>
      </c>
      <c r="Z78" s="12">
        <f>(Parameters!$C$15+Parameters!$C$16*R78)*Stress_Scenario!W78</f>
        <v>1659057.1299422015</v>
      </c>
      <c r="AA78" s="12">
        <f t="shared" si="40"/>
        <v>279274616.87360394</v>
      </c>
      <c r="AB78" s="12">
        <f t="shared" si="34"/>
        <v>296361982.81368887</v>
      </c>
      <c r="AC78" s="6">
        <f>(1+Parameters!$B$39)^-Stress_Scenario!A78</f>
        <v>0.87156345494829912</v>
      </c>
      <c r="AD78" s="12">
        <f t="shared" si="35"/>
        <v>258298273.65642712</v>
      </c>
      <c r="AF78" s="12">
        <f t="shared" si="36"/>
        <v>0</v>
      </c>
      <c r="AG78" s="12">
        <f t="shared" si="43"/>
        <v>0</v>
      </c>
      <c r="AH78" s="12">
        <f t="shared" si="37"/>
        <v>0</v>
      </c>
      <c r="AI78" s="12">
        <f t="shared" si="38"/>
        <v>0</v>
      </c>
    </row>
    <row r="79" spans="1:35" x14ac:dyDescent="0.35">
      <c r="A79" s="5">
        <v>76</v>
      </c>
      <c r="B79" s="12">
        <f>B78*(1-Parameters!$B$9)</f>
        <v>103082.48166016291</v>
      </c>
      <c r="C79" s="21"/>
      <c r="D79" s="12">
        <f>B79*Parameters!$B$6</f>
        <v>72157.737162114034</v>
      </c>
      <c r="E79" s="12">
        <f t="shared" si="41"/>
        <v>50000</v>
      </c>
      <c r="F79" s="12">
        <f t="shared" si="28"/>
        <v>122157.73716211403</v>
      </c>
      <c r="G79" s="12">
        <f>Parameters!$B$25*Demand_Volatility!B80*Stress_Data!F79</f>
        <v>69873.570000000007</v>
      </c>
      <c r="H79" s="12">
        <f t="shared" si="29"/>
        <v>69873.570000000007</v>
      </c>
      <c r="I79" s="12">
        <f>MIN(Parameters!$B$13,MAX(0,E79+D79-H79))</f>
        <v>50000</v>
      </c>
      <c r="J79" s="12">
        <f t="shared" si="30"/>
        <v>2284.1671621140267</v>
      </c>
      <c r="K79" s="12">
        <f>(H79*Stress_Data!B79*Stress_Data!D79)+(J79*Stress_Data!B79*Stress_Data!D79*(1-Parameters!$B$22))</f>
        <v>490524917.67330503</v>
      </c>
      <c r="M79" s="12">
        <f>B79*Parameters!$B$7</f>
        <v>30924.744498048873</v>
      </c>
      <c r="N79" s="12">
        <f t="shared" si="42"/>
        <v>0</v>
      </c>
      <c r="O79" s="12">
        <f t="shared" si="39"/>
        <v>30924.744498048873</v>
      </c>
      <c r="P79" s="12">
        <f>Parameters!$B$26*Demand_Volatility!C80*(1+Stress_Data!E79)</f>
        <v>34418.559999999998</v>
      </c>
      <c r="Q79" s="12">
        <f t="shared" si="31"/>
        <v>30924.744498048873</v>
      </c>
      <c r="R79" s="12">
        <f>MIN(Parameters!$C$13,MAX(0,N79+M79-Q79))</f>
        <v>0</v>
      </c>
      <c r="S79" s="12">
        <f t="shared" si="32"/>
        <v>0</v>
      </c>
      <c r="T79" s="12">
        <f>(Q79*Stress_Data!C79)+(S79*Stress_Data!C79*(1-Parameters!$B$23))</f>
        <v>108236605.74317105</v>
      </c>
      <c r="V79" s="12">
        <f t="shared" si="33"/>
        <v>598761523.41647613</v>
      </c>
      <c r="W79" s="26">
        <f>W78*(1+IF(A79&lt;10,Parameters!$B$36,IF(A79&lt;=45,Parameters!$B$37,Parameters!$B$38)))</f>
        <v>1.107278158815252</v>
      </c>
      <c r="X79" s="12">
        <f>Parameters!$B$30*W79</f>
        <v>271283148.90973675</v>
      </c>
      <c r="Y79" s="12">
        <f>(Parameters!$B$15+Parameters!$B$16*I79)*W79</f>
        <v>6643668.9528915118</v>
      </c>
      <c r="Z79" s="12">
        <f>(Parameters!$C$15+Parameters!$C$16*R79)*Stress_Scenario!W79</f>
        <v>1660917.238222878</v>
      </c>
      <c r="AA79" s="12">
        <f t="shared" si="40"/>
        <v>279587735.10085118</v>
      </c>
      <c r="AB79" s="12">
        <f t="shared" si="34"/>
        <v>319173788.31562495</v>
      </c>
      <c r="AC79" s="6">
        <f>(1+Parameters!$B$39)^-Stress_Scenario!A79</f>
        <v>0.869967439792109</v>
      </c>
      <c r="AD79" s="12">
        <f t="shared" si="35"/>
        <v>277670803.46969277</v>
      </c>
      <c r="AF79" s="12">
        <f t="shared" si="36"/>
        <v>0</v>
      </c>
      <c r="AG79" s="12">
        <f t="shared" si="43"/>
        <v>0</v>
      </c>
      <c r="AH79" s="12">
        <f t="shared" si="37"/>
        <v>0</v>
      </c>
      <c r="AI79" s="12">
        <f t="shared" si="38"/>
        <v>0</v>
      </c>
    </row>
    <row r="80" spans="1:35" x14ac:dyDescent="0.35">
      <c r="A80" s="5">
        <v>77</v>
      </c>
      <c r="B80" s="12">
        <f>B79*(1-Parameters!$B$9)</f>
        <v>102873.83112271978</v>
      </c>
      <c r="C80" s="21"/>
      <c r="D80" s="12">
        <f>B80*Parameters!$B$6</f>
        <v>72011.681785903842</v>
      </c>
      <c r="E80" s="12">
        <f t="shared" si="41"/>
        <v>50000</v>
      </c>
      <c r="F80" s="12">
        <f t="shared" si="28"/>
        <v>122011.68178590384</v>
      </c>
      <c r="G80" s="12">
        <f>Parameters!$B$25*Demand_Volatility!B81*Stress_Data!F80</f>
        <v>69508.92</v>
      </c>
      <c r="H80" s="12">
        <f t="shared" si="29"/>
        <v>69508.92</v>
      </c>
      <c r="I80" s="12">
        <f>MIN(Parameters!$B$13,MAX(0,E80+D80-H80))</f>
        <v>50000</v>
      </c>
      <c r="J80" s="12">
        <f t="shared" si="30"/>
        <v>2502.7617859038437</v>
      </c>
      <c r="K80" s="12">
        <f>(H80*Stress_Data!B80*Stress_Data!D80)+(J80*Stress_Data!B80*Stress_Data!D80*(1-Parameters!$B$22))</f>
        <v>488445771.82068104</v>
      </c>
      <c r="M80" s="12">
        <f>B80*Parameters!$B$7</f>
        <v>30862.149336815935</v>
      </c>
      <c r="N80" s="12">
        <f t="shared" si="42"/>
        <v>0</v>
      </c>
      <c r="O80" s="12">
        <f t="shared" si="39"/>
        <v>30862.149336815935</v>
      </c>
      <c r="P80" s="12">
        <f>Parameters!$B$26*Demand_Volatility!C81*(1+Stress_Data!E80)</f>
        <v>34168.640000000007</v>
      </c>
      <c r="Q80" s="12">
        <f t="shared" si="31"/>
        <v>30862.149336815935</v>
      </c>
      <c r="R80" s="12">
        <f>MIN(Parameters!$C$13,MAX(0,N80+M80-Q80))</f>
        <v>0</v>
      </c>
      <c r="S80" s="12">
        <f t="shared" si="32"/>
        <v>0</v>
      </c>
      <c r="T80" s="12">
        <f>(Q80*Stress_Data!C80)+(S80*Stress_Data!C80*(1-Parameters!$B$23))</f>
        <v>108017522.67885578</v>
      </c>
      <c r="V80" s="12">
        <f t="shared" si="33"/>
        <v>596463294.49953675</v>
      </c>
      <c r="W80" s="26">
        <f>W79*(1+IF(A80&lt;10,Parameters!$B$36,IF(A80&lt;=45,Parameters!$B$37,Parameters!$B$38)))</f>
        <v>1.1085196213514437</v>
      </c>
      <c r="X80" s="12">
        <f>Parameters!$B$30*W80</f>
        <v>271587307.23110372</v>
      </c>
      <c r="Y80" s="12">
        <f>(Parameters!$B$15+Parameters!$B$16*I80)*W80</f>
        <v>6651117.7281086622</v>
      </c>
      <c r="Z80" s="12">
        <f>(Parameters!$C$15+Parameters!$C$16*R80)*Stress_Scenario!W80</f>
        <v>1662779.4320271655</v>
      </c>
      <c r="AA80" s="12">
        <f t="shared" si="40"/>
        <v>279901204.39123952</v>
      </c>
      <c r="AB80" s="12">
        <f t="shared" si="34"/>
        <v>316562090.10829723</v>
      </c>
      <c r="AC80" s="6">
        <f>(1+Parameters!$B$39)^-Stress_Scenario!A80</f>
        <v>0.86837434727381124</v>
      </c>
      <c r="AD80" s="12">
        <f t="shared" si="35"/>
        <v>274894398.36942601</v>
      </c>
      <c r="AF80" s="12">
        <f t="shared" si="36"/>
        <v>0</v>
      </c>
      <c r="AG80" s="12">
        <f t="shared" si="43"/>
        <v>0</v>
      </c>
      <c r="AH80" s="12">
        <f t="shared" si="37"/>
        <v>0</v>
      </c>
      <c r="AI80" s="12">
        <f t="shared" si="38"/>
        <v>0</v>
      </c>
    </row>
    <row r="81" spans="1:35" x14ac:dyDescent="0.35">
      <c r="A81" s="5">
        <v>78</v>
      </c>
      <c r="B81" s="12">
        <f>B80*(1-Parameters!$B$9)</f>
        <v>102665.60291743315</v>
      </c>
      <c r="C81" s="21"/>
      <c r="D81" s="12">
        <f>B81*Parameters!$B$6</f>
        <v>71865.922042203194</v>
      </c>
      <c r="E81" s="12">
        <f t="shared" si="41"/>
        <v>50000</v>
      </c>
      <c r="F81" s="12">
        <f t="shared" si="28"/>
        <v>121865.92204220319</v>
      </c>
      <c r="G81" s="12">
        <f>Parameters!$B$25*Demand_Volatility!B82*Stress_Data!F81</f>
        <v>63522.03</v>
      </c>
      <c r="H81" s="12">
        <f t="shared" si="29"/>
        <v>63522.03</v>
      </c>
      <c r="I81" s="12">
        <f>MIN(Parameters!$B$13,MAX(0,E81+D81-H81))</f>
        <v>50000</v>
      </c>
      <c r="J81" s="12">
        <f t="shared" si="30"/>
        <v>8343.8920422031952</v>
      </c>
      <c r="K81" s="12">
        <f>(H81*Stress_Data!B81*Stress_Data!D81)+(J81*Stress_Data!B81*Stress_Data!D81*(1-Parameters!$B$22))</f>
        <v>459007173.80321896</v>
      </c>
      <c r="M81" s="12">
        <f>B81*Parameters!$B$7</f>
        <v>30799.680875229944</v>
      </c>
      <c r="N81" s="12">
        <f t="shared" si="42"/>
        <v>0</v>
      </c>
      <c r="O81" s="12">
        <f t="shared" si="39"/>
        <v>30799.680875229944</v>
      </c>
      <c r="P81" s="12">
        <f>Parameters!$B$26*Demand_Volatility!C82*(1+Stress_Data!E81)</f>
        <v>34967.68</v>
      </c>
      <c r="Q81" s="12">
        <f t="shared" si="31"/>
        <v>30799.680875229944</v>
      </c>
      <c r="R81" s="12">
        <f>MIN(Parameters!$C$13,MAX(0,N81+M81-Q81))</f>
        <v>0</v>
      </c>
      <c r="S81" s="12">
        <f t="shared" si="32"/>
        <v>0</v>
      </c>
      <c r="T81" s="12">
        <f>(Q81*Stress_Data!C81)+(S81*Stress_Data!C81*(1-Parameters!$B$23))</f>
        <v>107798883.0633048</v>
      </c>
      <c r="V81" s="12">
        <f t="shared" si="33"/>
        <v>566806056.86652374</v>
      </c>
      <c r="W81" s="26">
        <f>W80*(1+IF(A81&lt;10,Parameters!$B$36,IF(A81&lt;=45,Parameters!$B$37,Parameters!$B$38)))</f>
        <v>1.109762475795546</v>
      </c>
      <c r="X81" s="12">
        <f>Parameters!$B$30*W81</f>
        <v>271891806.56990874</v>
      </c>
      <c r="Y81" s="12">
        <f>(Parameters!$B$15+Parameters!$B$16*I81)*W81</f>
        <v>6658574.8547732756</v>
      </c>
      <c r="Z81" s="12">
        <f>(Parameters!$C$15+Parameters!$C$16*R81)*Stress_Scenario!W81</f>
        <v>1664643.7136933189</v>
      </c>
      <c r="AA81" s="12">
        <f t="shared" si="40"/>
        <v>280215025.13837534</v>
      </c>
      <c r="AB81" s="12">
        <f t="shared" si="34"/>
        <v>286591031.7281484</v>
      </c>
      <c r="AC81" s="6">
        <f>(1+Parameters!$B$39)^-Stress_Scenario!A81</f>
        <v>0.86678417204144342</v>
      </c>
      <c r="AD81" s="12">
        <f t="shared" si="35"/>
        <v>248412570.15098616</v>
      </c>
      <c r="AF81" s="12">
        <f t="shared" si="36"/>
        <v>0</v>
      </c>
      <c r="AG81" s="12">
        <f t="shared" si="43"/>
        <v>0</v>
      </c>
      <c r="AH81" s="12">
        <f t="shared" si="37"/>
        <v>0</v>
      </c>
      <c r="AI81" s="12">
        <f t="shared" si="38"/>
        <v>0</v>
      </c>
    </row>
    <row r="82" spans="1:35" x14ac:dyDescent="0.35">
      <c r="A82" s="5">
        <v>79</v>
      </c>
      <c r="B82" s="12">
        <f>B81*(1-Parameters!$B$9)</f>
        <v>102457.7961894552</v>
      </c>
      <c r="C82" s="21"/>
      <c r="D82" s="12">
        <f>B82*Parameters!$B$6</f>
        <v>71720.457332618636</v>
      </c>
      <c r="E82" s="12">
        <f t="shared" si="41"/>
        <v>50000</v>
      </c>
      <c r="F82" s="12">
        <f t="shared" si="28"/>
        <v>121720.45733261864</v>
      </c>
      <c r="G82" s="12">
        <f>Parameters!$B$25*Demand_Volatility!B83*Stress_Data!F82</f>
        <v>66651.39</v>
      </c>
      <c r="H82" s="12">
        <f t="shared" si="29"/>
        <v>66651.39</v>
      </c>
      <c r="I82" s="12">
        <f>MIN(Parameters!$B$13,MAX(0,E82+D82-H82))</f>
        <v>50000</v>
      </c>
      <c r="J82" s="12">
        <f t="shared" si="30"/>
        <v>5069.067332618637</v>
      </c>
      <c r="K82" s="12">
        <f>(H82*Stress_Data!B82*Stress_Data!D82)+(J82*Stress_Data!B82*Stress_Data!D82*(1-Parameters!$B$22))</f>
        <v>473932510.10890943</v>
      </c>
      <c r="M82" s="12">
        <f>B82*Parameters!$B$7</f>
        <v>30737.338856836559</v>
      </c>
      <c r="N82" s="12">
        <f t="shared" si="42"/>
        <v>0</v>
      </c>
      <c r="O82" s="12">
        <f t="shared" si="39"/>
        <v>30737.338856836559</v>
      </c>
      <c r="P82" s="12">
        <f>Parameters!$B$26*Demand_Volatility!C83*(1+Stress_Data!E82)</f>
        <v>35928.639999999999</v>
      </c>
      <c r="Q82" s="12">
        <f t="shared" si="31"/>
        <v>30737.338856836559</v>
      </c>
      <c r="R82" s="12">
        <f>MIN(Parameters!$C$13,MAX(0,N82+M82-Q82))</f>
        <v>0</v>
      </c>
      <c r="S82" s="12">
        <f t="shared" si="32"/>
        <v>0</v>
      </c>
      <c r="T82" s="12">
        <f>(Q82*Stress_Data!C82)+(S82*Stress_Data!C82*(1-Parameters!$B$23))</f>
        <v>107580685.99892795</v>
      </c>
      <c r="V82" s="12">
        <f t="shared" si="33"/>
        <v>581513196.10783744</v>
      </c>
      <c r="W82" s="26">
        <f>W81*(1+IF(A82&lt;10,Parameters!$B$36,IF(A82&lt;=45,Parameters!$B$37,Parameters!$B$38)))</f>
        <v>1.111006723708144</v>
      </c>
      <c r="X82" s="12">
        <f>Parameters!$B$30*W82</f>
        <v>272196647.30849528</v>
      </c>
      <c r="Y82" s="12">
        <f>(Parameters!$B$15+Parameters!$B$16*I82)*W82</f>
        <v>6666040.3422488645</v>
      </c>
      <c r="Z82" s="12">
        <f>(Parameters!$C$15+Parameters!$C$16*R82)*Stress_Scenario!W82</f>
        <v>1666510.0855622161</v>
      </c>
      <c r="AA82" s="12">
        <f t="shared" si="40"/>
        <v>280529197.73630637</v>
      </c>
      <c r="AB82" s="12">
        <f t="shared" si="34"/>
        <v>300983998.37153107</v>
      </c>
      <c r="AC82" s="6">
        <f>(1+Parameters!$B$39)^-Stress_Scenario!A82</f>
        <v>0.86519690875284494</v>
      </c>
      <c r="AD82" s="12">
        <f t="shared" si="35"/>
        <v>260410424.97512001</v>
      </c>
      <c r="AF82" s="12">
        <f t="shared" si="36"/>
        <v>0</v>
      </c>
      <c r="AG82" s="12">
        <f t="shared" si="43"/>
        <v>0</v>
      </c>
      <c r="AH82" s="12">
        <f t="shared" si="37"/>
        <v>0</v>
      </c>
      <c r="AI82" s="12">
        <f t="shared" si="38"/>
        <v>0</v>
      </c>
    </row>
    <row r="83" spans="1:35" x14ac:dyDescent="0.35">
      <c r="A83" s="5">
        <v>80</v>
      </c>
      <c r="B83" s="12">
        <f>B82*(1-Parameters!$B$9)</f>
        <v>102250.41008566847</v>
      </c>
      <c r="C83" s="21"/>
      <c r="D83" s="12">
        <f>B83*Parameters!$B$6</f>
        <v>71575.287059967915</v>
      </c>
      <c r="E83" s="12">
        <f t="shared" si="41"/>
        <v>50000</v>
      </c>
      <c r="F83" s="12">
        <f t="shared" si="28"/>
        <v>121575.28705996792</v>
      </c>
      <c r="G83" s="12">
        <f>Parameters!$B$25*Demand_Volatility!B84*Stress_Data!F83</f>
        <v>60929.7</v>
      </c>
      <c r="H83" s="12">
        <f t="shared" si="29"/>
        <v>60929.7</v>
      </c>
      <c r="I83" s="12">
        <f>MIN(Parameters!$B$13,MAX(0,E83+D83-H83))</f>
        <v>50000</v>
      </c>
      <c r="J83" s="12">
        <f t="shared" si="30"/>
        <v>10645.587059967918</v>
      </c>
      <c r="K83" s="12">
        <f>(H83*Stress_Data!B83*Stress_Data!D83)+(J83*Stress_Data!B83*Stress_Data!D83*(1-Parameters!$B$22))</f>
        <v>445785710.77226907</v>
      </c>
      <c r="M83" s="12">
        <f>B83*Parameters!$B$7</f>
        <v>30675.123025700537</v>
      </c>
      <c r="N83" s="12">
        <f t="shared" si="42"/>
        <v>0</v>
      </c>
      <c r="O83" s="12">
        <f t="shared" si="39"/>
        <v>30675.123025700537</v>
      </c>
      <c r="P83" s="12">
        <f>Parameters!$B$26*Demand_Volatility!C84*(1+Stress_Data!E83)</f>
        <v>33383.68</v>
      </c>
      <c r="Q83" s="12">
        <f t="shared" si="31"/>
        <v>30675.123025700537</v>
      </c>
      <c r="R83" s="12">
        <f>MIN(Parameters!$C$13,MAX(0,N83+M83-Q83))</f>
        <v>0</v>
      </c>
      <c r="S83" s="12">
        <f t="shared" si="32"/>
        <v>0</v>
      </c>
      <c r="T83" s="12">
        <f>(Q83*Stress_Data!C83)+(S83*Stress_Data!C83*(1-Parameters!$B$23))</f>
        <v>107362930.58995189</v>
      </c>
      <c r="V83" s="12">
        <f t="shared" si="33"/>
        <v>553148641.362221</v>
      </c>
      <c r="W83" s="26">
        <f>W82*(1+IF(A83&lt;10,Parameters!$B$36,IF(A83&lt;=45,Parameters!$B$37,Parameters!$B$38)))</f>
        <v>1.1122523666515725</v>
      </c>
      <c r="X83" s="12">
        <f>Parameters!$B$30*W83</f>
        <v>272501829.82963526</v>
      </c>
      <c r="Y83" s="12">
        <f>(Parameters!$B$15+Parameters!$B$16*I83)*W83</f>
        <v>6673514.1999094347</v>
      </c>
      <c r="Z83" s="12">
        <f>(Parameters!$C$15+Parameters!$C$16*R83)*Stress_Scenario!W83</f>
        <v>1668378.5499773587</v>
      </c>
      <c r="AA83" s="12">
        <f t="shared" si="40"/>
        <v>280843722.57952207</v>
      </c>
      <c r="AB83" s="12">
        <f t="shared" si="34"/>
        <v>272304918.78269893</v>
      </c>
      <c r="AC83" s="6">
        <f>(1+Parameters!$B$39)^-Stress_Scenario!A83</f>
        <v>0.86361255207563647</v>
      </c>
      <c r="AD83" s="12">
        <f t="shared" si="35"/>
        <v>235165945.85267553</v>
      </c>
      <c r="AF83" s="12">
        <f t="shared" si="36"/>
        <v>0</v>
      </c>
      <c r="AG83" s="12">
        <f t="shared" si="43"/>
        <v>0</v>
      </c>
      <c r="AH83" s="12">
        <f t="shared" si="37"/>
        <v>0</v>
      </c>
      <c r="AI83" s="12">
        <f t="shared" si="38"/>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90008-54E5-4C23-9F9A-85CB0A0619C9}">
  <dimension ref="A1:D25"/>
  <sheetViews>
    <sheetView showGridLines="0" zoomScale="80" zoomScaleNormal="80" workbookViewId="0"/>
  </sheetViews>
  <sheetFormatPr defaultRowHeight="14.5" x14ac:dyDescent="0.35"/>
  <cols>
    <col min="1" max="1" width="27.81640625" bestFit="1" customWidth="1"/>
    <col min="2" max="2" width="15.36328125" customWidth="1"/>
    <col min="3" max="3" width="14.1796875" bestFit="1" customWidth="1"/>
  </cols>
  <sheetData>
    <row r="1" spans="1:3" ht="18" x14ac:dyDescent="0.4">
      <c r="A1" s="33" t="s">
        <v>137</v>
      </c>
    </row>
    <row r="3" spans="1:3" x14ac:dyDescent="0.35">
      <c r="A3" s="56" t="s">
        <v>98</v>
      </c>
      <c r="B3" s="56"/>
    </row>
    <row r="4" spans="1:3" x14ac:dyDescent="0.35">
      <c r="A4" s="35" t="s">
        <v>99</v>
      </c>
      <c r="B4" s="36">
        <f>Base_Scenario!B4</f>
        <v>120000</v>
      </c>
    </row>
    <row r="5" spans="1:3" x14ac:dyDescent="0.35">
      <c r="A5" s="35" t="s">
        <v>106</v>
      </c>
      <c r="B5" s="37">
        <f>79/52</f>
        <v>1.5192307692307692</v>
      </c>
    </row>
    <row r="6" spans="1:3" x14ac:dyDescent="0.35">
      <c r="A6" s="35" t="s">
        <v>107</v>
      </c>
      <c r="B6" s="50">
        <f>Parameters!B8</f>
        <v>0.1</v>
      </c>
    </row>
    <row r="7" spans="1:3" x14ac:dyDescent="0.35">
      <c r="A7" s="35" t="s">
        <v>103</v>
      </c>
      <c r="B7" s="35">
        <f>(1-B6)^B5</f>
        <v>0.85208675071390638</v>
      </c>
    </row>
    <row r="8" spans="1:3" x14ac:dyDescent="0.35">
      <c r="A8" s="35" t="s">
        <v>104</v>
      </c>
      <c r="B8" s="36">
        <f>'Sense Checks'!B4*'Sense Checks'!B7</f>
        <v>102250.41008566877</v>
      </c>
    </row>
    <row r="9" spans="1:3" x14ac:dyDescent="0.35">
      <c r="A9" s="35" t="s">
        <v>105</v>
      </c>
      <c r="B9" s="36">
        <f>Base_Scenario!B83</f>
        <v>102250.41008566847</v>
      </c>
      <c r="C9" s="38"/>
    </row>
    <row r="11" spans="1:3" x14ac:dyDescent="0.35">
      <c r="A11" s="56" t="s">
        <v>108</v>
      </c>
      <c r="B11" s="56"/>
    </row>
    <row r="12" spans="1:3" x14ac:dyDescent="0.35">
      <c r="A12" s="35" t="s">
        <v>109</v>
      </c>
      <c r="B12" s="36">
        <f>SUM(Base_Scenario!AD4:AD83)</f>
        <v>22611395570.805477</v>
      </c>
    </row>
    <row r="13" spans="1:3" x14ac:dyDescent="0.35">
      <c r="A13" s="35" t="s">
        <v>110</v>
      </c>
      <c r="B13" s="36">
        <f>SUM(Stress_Scenario!AD4:AD83)</f>
        <v>20846264801.681187</v>
      </c>
    </row>
    <row r="14" spans="1:3" x14ac:dyDescent="0.35">
      <c r="A14" s="35" t="s">
        <v>111</v>
      </c>
      <c r="B14" s="35" t="b">
        <f>B13&lt;B12</f>
        <v>1</v>
      </c>
    </row>
    <row r="16" spans="1:3" x14ac:dyDescent="0.35">
      <c r="A16" s="57" t="s">
        <v>113</v>
      </c>
      <c r="B16" s="58"/>
      <c r="C16" s="59"/>
    </row>
    <row r="17" spans="1:4" x14ac:dyDescent="0.35">
      <c r="A17" s="39" t="s">
        <v>100</v>
      </c>
      <c r="B17" s="39" t="s">
        <v>116</v>
      </c>
      <c r="C17" s="39" t="s">
        <v>117</v>
      </c>
    </row>
    <row r="18" spans="1:4" x14ac:dyDescent="0.35">
      <c r="A18" s="39" t="s">
        <v>118</v>
      </c>
      <c r="B18" s="40">
        <f>SUM(Base_Scenario!AD4:AD12)</f>
        <v>2872687441.1007981</v>
      </c>
      <c r="C18" s="40">
        <f>SUM(Stress_Scenario!AD4:AD12)</f>
        <v>2872687441.1007981</v>
      </c>
    </row>
    <row r="19" spans="1:4" x14ac:dyDescent="0.35">
      <c r="A19" s="39" t="s">
        <v>114</v>
      </c>
      <c r="B19" s="40">
        <f>SUM(Base_Scenario!AD13:AD28)</f>
        <v>4963353493.3300934</v>
      </c>
      <c r="C19" s="40">
        <f>SUM(Stress_Scenario!AD13:AD28)</f>
        <v>1901614288.3347421</v>
      </c>
      <c r="D19" s="34" t="s">
        <v>119</v>
      </c>
    </row>
    <row r="20" spans="1:4" x14ac:dyDescent="0.35">
      <c r="A20" s="39" t="s">
        <v>115</v>
      </c>
      <c r="B20" s="40">
        <f>SUM(Base_Scenario!AD29:AD83)</f>
        <v>14775354636.37459</v>
      </c>
      <c r="C20" s="40">
        <f>SUM(Stress_Scenario!AD29:AD83)</f>
        <v>16071963072.245647</v>
      </c>
      <c r="D20" s="34" t="s">
        <v>120</v>
      </c>
    </row>
    <row r="22" spans="1:4" x14ac:dyDescent="0.35">
      <c r="A22" s="56" t="s">
        <v>121</v>
      </c>
      <c r="B22" s="56"/>
      <c r="C22" s="56"/>
    </row>
    <row r="23" spans="1:4" x14ac:dyDescent="0.35">
      <c r="A23" s="39" t="s">
        <v>122</v>
      </c>
      <c r="B23" s="39" t="s">
        <v>116</v>
      </c>
      <c r="C23" s="39" t="s">
        <v>117</v>
      </c>
    </row>
    <row r="24" spans="1:4" x14ac:dyDescent="0.35">
      <c r="A24" s="39" t="s">
        <v>101</v>
      </c>
      <c r="B24" s="40">
        <f>AVERAGE(Base_Scenario!K4:K83)</f>
        <v>460062700.5468232</v>
      </c>
      <c r="C24" s="40">
        <f>AVERAGE(Stress_Scenario!K4:K83)</f>
        <v>431624523.62460214</v>
      </c>
      <c r="D24" s="34" t="s">
        <v>123</v>
      </c>
    </row>
    <row r="25" spans="1:4" x14ac:dyDescent="0.35">
      <c r="A25" s="39" t="s">
        <v>102</v>
      </c>
      <c r="B25" s="40">
        <f>AVERAGE(Base_Scenario!T4:T83)</f>
        <v>105007630.71221057</v>
      </c>
      <c r="C25" s="40">
        <f>AVERAGE(Stress_Scenario!T4:T83)</f>
        <v>117336891.87829933</v>
      </c>
      <c r="D25" s="34" t="s">
        <v>124</v>
      </c>
    </row>
  </sheetData>
  <mergeCells count="4">
    <mergeCell ref="A3:B3"/>
    <mergeCell ref="A11:B11"/>
    <mergeCell ref="A16:C16"/>
    <mergeCell ref="A22:C2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52"/>
  <sheetViews>
    <sheetView showGridLines="0" zoomScale="80" zoomScaleNormal="80" workbookViewId="0"/>
  </sheetViews>
  <sheetFormatPr defaultRowHeight="14.5" x14ac:dyDescent="0.35"/>
  <cols>
    <col min="1" max="1" width="8" customWidth="1"/>
    <col min="2" max="7" width="14" customWidth="1"/>
  </cols>
  <sheetData>
    <row r="1" spans="1:3" ht="18" x14ac:dyDescent="0.4">
      <c r="A1" s="1" t="s">
        <v>82</v>
      </c>
    </row>
    <row r="3" spans="1:3" ht="15.5" x14ac:dyDescent="0.35">
      <c r="A3" s="2" t="s">
        <v>95</v>
      </c>
    </row>
    <row r="4" spans="1:3" x14ac:dyDescent="0.35">
      <c r="A4" s="11" t="s">
        <v>38</v>
      </c>
      <c r="B4" s="27" t="s">
        <v>96</v>
      </c>
      <c r="C4" s="27" t="s">
        <v>97</v>
      </c>
    </row>
    <row r="5" spans="1:3" x14ac:dyDescent="0.35">
      <c r="A5" s="5">
        <v>1</v>
      </c>
      <c r="B5" s="12">
        <f>Base_Scenario!AB4</f>
        <v>293930508.80000007</v>
      </c>
      <c r="C5" s="12">
        <f>Stress_Scenario!AB4</f>
        <v>293930508.80000007</v>
      </c>
    </row>
    <row r="6" spans="1:3" x14ac:dyDescent="0.35">
      <c r="A6" s="5">
        <v>2</v>
      </c>
      <c r="B6" s="12">
        <f>Base_Scenario!AB5</f>
        <v>327029518.17104506</v>
      </c>
      <c r="C6" s="12">
        <f>Stress_Scenario!AB5</f>
        <v>327029518.17104506</v>
      </c>
    </row>
    <row r="7" spans="1:3" x14ac:dyDescent="0.35">
      <c r="A7" s="5">
        <v>3</v>
      </c>
      <c r="B7" s="12">
        <f>Base_Scenario!AB6</f>
        <v>325046906.36750746</v>
      </c>
      <c r="C7" s="12">
        <f>Stress_Scenario!AB6</f>
        <v>325046906.36750746</v>
      </c>
    </row>
    <row r="8" spans="1:3" x14ac:dyDescent="0.35">
      <c r="A8" s="5">
        <v>4</v>
      </c>
      <c r="B8" s="12">
        <f>Base_Scenario!AB7</f>
        <v>325464951.01615477</v>
      </c>
      <c r="C8" s="12">
        <f>Stress_Scenario!AB7</f>
        <v>325464951.01615477</v>
      </c>
    </row>
    <row r="9" spans="1:3" x14ac:dyDescent="0.35">
      <c r="A9" s="5">
        <v>5</v>
      </c>
      <c r="B9" s="12">
        <f>Base_Scenario!AB8</f>
        <v>324267031.27299577</v>
      </c>
      <c r="C9" s="12">
        <f>Stress_Scenario!AB8</f>
        <v>324267031.27299577</v>
      </c>
    </row>
    <row r="10" spans="1:3" x14ac:dyDescent="0.35">
      <c r="A10" s="5">
        <v>6</v>
      </c>
      <c r="B10" s="12">
        <f>Base_Scenario!AB9</f>
        <v>329384246.72877139</v>
      </c>
      <c r="C10" s="12">
        <f>Stress_Scenario!AB9</f>
        <v>329384246.72877139</v>
      </c>
    </row>
    <row r="11" spans="1:3" x14ac:dyDescent="0.35">
      <c r="A11" s="5">
        <v>7</v>
      </c>
      <c r="B11" s="12">
        <f>Base_Scenario!AB10</f>
        <v>319643670.53496587</v>
      </c>
      <c r="C11" s="12">
        <f>Stress_Scenario!AB10</f>
        <v>319643670.53496587</v>
      </c>
    </row>
    <row r="12" spans="1:3" x14ac:dyDescent="0.35">
      <c r="A12" s="5">
        <v>8</v>
      </c>
      <c r="B12" s="12">
        <f>Base_Scenario!AB11</f>
        <v>318348150.52902448</v>
      </c>
      <c r="C12" s="12">
        <f>Stress_Scenario!AB11</f>
        <v>318348150.52902448</v>
      </c>
    </row>
    <row r="13" spans="1:3" x14ac:dyDescent="0.35">
      <c r="A13" s="5">
        <v>9</v>
      </c>
      <c r="B13" s="12">
        <f>Base_Scenario!AB12</f>
        <v>336237730.07166255</v>
      </c>
      <c r="C13" s="12">
        <f>Stress_Scenario!AB12</f>
        <v>336237730.07166255</v>
      </c>
    </row>
    <row r="14" spans="1:3" x14ac:dyDescent="0.35">
      <c r="A14" s="5">
        <v>10</v>
      </c>
      <c r="B14" s="12">
        <f>Base_Scenario!AB13</f>
        <v>333108300.04685694</v>
      </c>
      <c r="C14" s="12">
        <f>Stress_Scenario!AB13</f>
        <v>149366584.21141338</v>
      </c>
    </row>
    <row r="15" spans="1:3" x14ac:dyDescent="0.35">
      <c r="A15" s="5">
        <v>11</v>
      </c>
      <c r="B15" s="12">
        <f>Base_Scenario!AB14</f>
        <v>325380887.02184045</v>
      </c>
      <c r="C15" s="12">
        <f>Stress_Scenario!AB14</f>
        <v>152992397.89843887</v>
      </c>
    </row>
    <row r="16" spans="1:3" x14ac:dyDescent="0.35">
      <c r="A16" s="5">
        <v>12</v>
      </c>
      <c r="B16" s="12">
        <f>Base_Scenario!AB15</f>
        <v>325521373.0870927</v>
      </c>
      <c r="C16" s="12">
        <f>Stress_Scenario!AB15</f>
        <v>134868385.6856305</v>
      </c>
    </row>
    <row r="17" spans="1:3" x14ac:dyDescent="0.35">
      <c r="A17" s="5">
        <v>13</v>
      </c>
      <c r="B17" s="12">
        <f>Base_Scenario!AB16</f>
        <v>326350988.97633469</v>
      </c>
      <c r="C17" s="12">
        <f>Stress_Scenario!AB16</f>
        <v>124448402.70412436</v>
      </c>
    </row>
    <row r="18" spans="1:3" x14ac:dyDescent="0.35">
      <c r="A18" s="5">
        <v>14</v>
      </c>
      <c r="B18" s="12">
        <f>Base_Scenario!AB17</f>
        <v>332121737.58652043</v>
      </c>
      <c r="C18" s="12">
        <f>Stress_Scenario!AB17</f>
        <v>123253373.18176576</v>
      </c>
    </row>
    <row r="19" spans="1:3" x14ac:dyDescent="0.35">
      <c r="A19" s="5">
        <v>15</v>
      </c>
      <c r="B19" s="12">
        <f>Base_Scenario!AB18</f>
        <v>332503388.6978308</v>
      </c>
      <c r="C19" s="12">
        <f>Stress_Scenario!AB18</f>
        <v>122059198.21962893</v>
      </c>
    </row>
    <row r="20" spans="1:3" x14ac:dyDescent="0.35">
      <c r="A20" s="5">
        <v>16</v>
      </c>
      <c r="B20" s="12">
        <f>Base_Scenario!AB19</f>
        <v>309560386.17366552</v>
      </c>
      <c r="C20" s="12">
        <f>Stress_Scenario!AB19</f>
        <v>120865873.49335834</v>
      </c>
    </row>
    <row r="21" spans="1:3" x14ac:dyDescent="0.35">
      <c r="A21" s="5">
        <v>17</v>
      </c>
      <c r="B21" s="12">
        <f>Base_Scenario!AB20</f>
        <v>308021712.92063713</v>
      </c>
      <c r="C21" s="12">
        <f>Stress_Scenario!AB20</f>
        <v>119673394.68304783</v>
      </c>
    </row>
    <row r="22" spans="1:3" x14ac:dyDescent="0.35">
      <c r="A22" s="5">
        <v>18</v>
      </c>
      <c r="B22" s="12">
        <f>Base_Scenario!AB21</f>
        <v>320417851.04856241</v>
      </c>
      <c r="C22" s="12">
        <f>Stress_Scenario!AB21</f>
        <v>118481757.47322443</v>
      </c>
    </row>
    <row r="23" spans="1:3" x14ac:dyDescent="0.35">
      <c r="A23" s="5">
        <v>19</v>
      </c>
      <c r="B23" s="12">
        <f>Base_Scenario!AB22</f>
        <v>335172315.95045662</v>
      </c>
      <c r="C23" s="12">
        <f>Stress_Scenario!AB22</f>
        <v>117290957.55283245</v>
      </c>
    </row>
    <row r="24" spans="1:3" x14ac:dyDescent="0.35">
      <c r="A24" s="5">
        <v>20</v>
      </c>
      <c r="B24" s="12">
        <f>Base_Scenario!AB23</f>
        <v>314452359.66252613</v>
      </c>
      <c r="C24" s="12">
        <f>Stress_Scenario!AB23</f>
        <v>116100990.615217</v>
      </c>
    </row>
    <row r="25" spans="1:3" x14ac:dyDescent="0.35">
      <c r="A25" s="5">
        <v>21</v>
      </c>
      <c r="B25" s="12">
        <f>Base_Scenario!AB24</f>
        <v>309408208.46416092</v>
      </c>
      <c r="C25" s="12">
        <f>Stress_Scenario!AB24</f>
        <v>114911852.35810855</v>
      </c>
    </row>
    <row r="26" spans="1:3" x14ac:dyDescent="0.35">
      <c r="A26" s="5">
        <v>22</v>
      </c>
      <c r="B26" s="12">
        <f>Base_Scenario!AB25</f>
        <v>311406702.71792781</v>
      </c>
      <c r="C26" s="12">
        <f>Stress_Scenario!AB25</f>
        <v>113723538.48360625</v>
      </c>
    </row>
    <row r="27" spans="1:3" x14ac:dyDescent="0.35">
      <c r="A27" s="5">
        <v>23</v>
      </c>
      <c r="B27" s="12">
        <f>Base_Scenario!AB26</f>
        <v>297933470.78956348</v>
      </c>
      <c r="C27" s="12">
        <f>Stress_Scenario!AB26</f>
        <v>112536044.69816223</v>
      </c>
    </row>
    <row r="28" spans="1:3" x14ac:dyDescent="0.35">
      <c r="A28" s="5">
        <v>24</v>
      </c>
      <c r="B28" s="12">
        <f>Base_Scenario!AB27</f>
        <v>313136069.04796785</v>
      </c>
      <c r="C28" s="12">
        <f>Stress_Scenario!AB27</f>
        <v>111349366.71256539</v>
      </c>
    </row>
    <row r="29" spans="1:3" x14ac:dyDescent="0.35">
      <c r="A29" s="5">
        <v>25</v>
      </c>
      <c r="B29" s="12">
        <f>Base_Scenario!AB28</f>
        <v>329716207.43432057</v>
      </c>
      <c r="C29" s="12">
        <f>Stress_Scenario!AB28</f>
        <v>110163500.24192557</v>
      </c>
    </row>
    <row r="30" spans="1:3" x14ac:dyDescent="0.35">
      <c r="A30" s="5">
        <v>26</v>
      </c>
      <c r="B30" s="12">
        <f>Base_Scenario!AB29</f>
        <v>303653637.33397281</v>
      </c>
      <c r="C30" s="12">
        <f>Stress_Scenario!AB29</f>
        <v>333346242.17174971</v>
      </c>
    </row>
    <row r="31" spans="1:3" x14ac:dyDescent="0.35">
      <c r="A31" s="5">
        <v>27</v>
      </c>
      <c r="B31" s="12">
        <f>Base_Scenario!AB30</f>
        <v>310442422.12008262</v>
      </c>
      <c r="C31" s="12">
        <f>Stress_Scenario!AB30</f>
        <v>342212409.80669385</v>
      </c>
    </row>
    <row r="32" spans="1:3" x14ac:dyDescent="0.35">
      <c r="A32" s="5">
        <v>28</v>
      </c>
      <c r="B32" s="12">
        <f>Base_Scenario!AB31</f>
        <v>329493807.10291588</v>
      </c>
      <c r="C32" s="12">
        <f>Stress_Scenario!AB31</f>
        <v>356541038.03131425</v>
      </c>
    </row>
    <row r="33" spans="1:3" x14ac:dyDescent="0.35">
      <c r="A33" s="5">
        <v>29</v>
      </c>
      <c r="B33" s="12">
        <f>Base_Scenario!AB32</f>
        <v>331849186.99406564</v>
      </c>
      <c r="C33" s="12">
        <f>Stress_Scenario!AB32</f>
        <v>355763427.1891216</v>
      </c>
    </row>
    <row r="34" spans="1:3" x14ac:dyDescent="0.35">
      <c r="A34" s="5">
        <v>30</v>
      </c>
      <c r="B34" s="12">
        <f>Base_Scenario!AB33</f>
        <v>304353508.49065018</v>
      </c>
      <c r="C34" s="12">
        <f>Stress_Scenario!AB33</f>
        <v>336554199.13266402</v>
      </c>
    </row>
    <row r="35" spans="1:3" x14ac:dyDescent="0.35">
      <c r="A35" s="5">
        <v>31</v>
      </c>
      <c r="B35" s="12">
        <f>Base_Scenario!AB34</f>
        <v>318611700.13484883</v>
      </c>
      <c r="C35" s="12">
        <f>Stress_Scenario!AB34</f>
        <v>346028315.78483784</v>
      </c>
    </row>
    <row r="36" spans="1:3" x14ac:dyDescent="0.35">
      <c r="A36" s="5">
        <v>32</v>
      </c>
      <c r="B36" s="12">
        <f>Base_Scenario!AB35</f>
        <v>303210019.62502378</v>
      </c>
      <c r="C36" s="12">
        <f>Stress_Scenario!AB35</f>
        <v>331949981.97770309</v>
      </c>
    </row>
    <row r="37" spans="1:3" x14ac:dyDescent="0.35">
      <c r="A37" s="5">
        <v>33</v>
      </c>
      <c r="B37" s="12">
        <f>Base_Scenario!AB36</f>
        <v>311754663.00324118</v>
      </c>
      <c r="C37" s="12">
        <f>Stress_Scenario!AB36</f>
        <v>341747615.19410676</v>
      </c>
    </row>
    <row r="38" spans="1:3" x14ac:dyDescent="0.35">
      <c r="A38" s="5">
        <v>34</v>
      </c>
      <c r="B38" s="12">
        <f>Base_Scenario!AB37</f>
        <v>307785563.46964669</v>
      </c>
      <c r="C38" s="12">
        <f>Stress_Scenario!AB37</f>
        <v>335865263.44766915</v>
      </c>
    </row>
    <row r="39" spans="1:3" x14ac:dyDescent="0.35">
      <c r="A39" s="5">
        <v>35</v>
      </c>
      <c r="B39" s="12">
        <f>Base_Scenario!AB38</f>
        <v>299609023.34747231</v>
      </c>
      <c r="C39" s="12">
        <f>Stress_Scenario!AB38</f>
        <v>326272953.25877112</v>
      </c>
    </row>
    <row r="40" spans="1:3" x14ac:dyDescent="0.35">
      <c r="A40" s="5">
        <v>36</v>
      </c>
      <c r="B40" s="12">
        <f>Base_Scenario!AB39</f>
        <v>309580675.62821949</v>
      </c>
      <c r="C40" s="12">
        <f>Stress_Scenario!AB39</f>
        <v>333559250.80790138</v>
      </c>
    </row>
    <row r="41" spans="1:3" x14ac:dyDescent="0.35">
      <c r="A41" s="5">
        <v>37</v>
      </c>
      <c r="B41" s="12">
        <f>Base_Scenario!AB40</f>
        <v>309138424.18951452</v>
      </c>
      <c r="C41" s="12">
        <f>Stress_Scenario!AB40</f>
        <v>340593096.60685945</v>
      </c>
    </row>
    <row r="42" spans="1:3" x14ac:dyDescent="0.35">
      <c r="A42" s="5">
        <v>38</v>
      </c>
      <c r="B42" s="12">
        <f>Base_Scenario!AB41</f>
        <v>303423465.59805214</v>
      </c>
      <c r="C42" s="12">
        <f>Stress_Scenario!AB41</f>
        <v>335313052.80250776</v>
      </c>
    </row>
    <row r="43" spans="1:3" x14ac:dyDescent="0.35">
      <c r="A43" s="5">
        <v>39</v>
      </c>
      <c r="B43" s="12">
        <f>Base_Scenario!AB42</f>
        <v>302791243.06526685</v>
      </c>
      <c r="C43" s="12">
        <f>Stress_Scenario!AB42</f>
        <v>327657457.76609075</v>
      </c>
    </row>
    <row r="44" spans="1:3" x14ac:dyDescent="0.35">
      <c r="A44" s="5">
        <v>40</v>
      </c>
      <c r="B44" s="12">
        <f>Base_Scenario!AB43</f>
        <v>321444036.04958421</v>
      </c>
      <c r="C44" s="12">
        <f>Stress_Scenario!AB43</f>
        <v>341910503.03432071</v>
      </c>
    </row>
    <row r="45" spans="1:3" x14ac:dyDescent="0.35">
      <c r="A45" s="5">
        <v>41</v>
      </c>
      <c r="B45" s="12">
        <f>Base_Scenario!AB44</f>
        <v>304967540.44362253</v>
      </c>
      <c r="C45" s="12">
        <f>Stress_Scenario!AB44</f>
        <v>328674829.62362528</v>
      </c>
    </row>
    <row r="46" spans="1:3" x14ac:dyDescent="0.35">
      <c r="A46" s="5">
        <v>42</v>
      </c>
      <c r="B46" s="12">
        <f>Base_Scenario!AB45</f>
        <v>329567403.65619135</v>
      </c>
      <c r="C46" s="12">
        <f>Stress_Scenario!AB45</f>
        <v>346477750.84934747</v>
      </c>
    </row>
    <row r="47" spans="1:3" x14ac:dyDescent="0.35">
      <c r="A47" s="5">
        <v>43</v>
      </c>
      <c r="B47" s="12">
        <f>Base_Scenario!AB46</f>
        <v>295515659.25598657</v>
      </c>
      <c r="C47" s="12">
        <f>Stress_Scenario!AB46</f>
        <v>322821533.87748832</v>
      </c>
    </row>
    <row r="48" spans="1:3" x14ac:dyDescent="0.35">
      <c r="A48" s="5">
        <v>44</v>
      </c>
      <c r="B48" s="12">
        <f>Base_Scenario!AB47</f>
        <v>292376363.68749917</v>
      </c>
      <c r="C48" s="12">
        <f>Stress_Scenario!AB47</f>
        <v>317136890.52469373</v>
      </c>
    </row>
    <row r="49" spans="1:3" x14ac:dyDescent="0.35">
      <c r="A49" s="5">
        <v>45</v>
      </c>
      <c r="B49" s="12">
        <f>Base_Scenario!AB48</f>
        <v>320725189.43031251</v>
      </c>
      <c r="C49" s="12">
        <f>Stress_Scenario!AB48</f>
        <v>338296481.06624103</v>
      </c>
    </row>
    <row r="50" spans="1:3" x14ac:dyDescent="0.35">
      <c r="A50" s="5">
        <v>46</v>
      </c>
      <c r="B50" s="12">
        <f>Base_Scenario!AB49</f>
        <v>284574507.42762685</v>
      </c>
      <c r="C50" s="12">
        <f>Stress_Scenario!AB49</f>
        <v>311431097.78243983</v>
      </c>
    </row>
    <row r="51" spans="1:3" x14ac:dyDescent="0.35">
      <c r="A51" s="5">
        <v>47</v>
      </c>
      <c r="B51" s="12">
        <f>Base_Scenario!AB50</f>
        <v>316500516.34811628</v>
      </c>
      <c r="C51" s="12">
        <f>Stress_Scenario!AB50</f>
        <v>331543225.5693202</v>
      </c>
    </row>
    <row r="52" spans="1:3" x14ac:dyDescent="0.35">
      <c r="A52" s="5">
        <v>48</v>
      </c>
      <c r="B52" s="12">
        <f>Base_Scenario!AB51</f>
        <v>298172223.97498035</v>
      </c>
      <c r="C52" s="12">
        <f>Stress_Scenario!AB51</f>
        <v>319617757.59359801</v>
      </c>
    </row>
    <row r="53" spans="1:3" x14ac:dyDescent="0.35">
      <c r="A53" s="5">
        <v>49</v>
      </c>
      <c r="B53" s="12">
        <f>Base_Scenario!AB52</f>
        <v>314700765.4700197</v>
      </c>
      <c r="C53" s="12">
        <f>Stress_Scenario!AB52</f>
        <v>326761234.68218678</v>
      </c>
    </row>
    <row r="54" spans="1:3" x14ac:dyDescent="0.35">
      <c r="A54" s="5">
        <v>50</v>
      </c>
      <c r="B54" s="12">
        <f>Base_Scenario!AB53</f>
        <v>327501952.15108955</v>
      </c>
      <c r="C54" s="12">
        <f>Stress_Scenario!AB53</f>
        <v>336518895.85818857</v>
      </c>
    </row>
    <row r="55" spans="1:3" x14ac:dyDescent="0.35">
      <c r="A55" s="5">
        <v>51</v>
      </c>
      <c r="B55" s="12">
        <f>Base_Scenario!AB54</f>
        <v>287793269.64700997</v>
      </c>
      <c r="C55" s="12">
        <f>Stress_Scenario!AB54</f>
        <v>315206880.26088274</v>
      </c>
    </row>
    <row r="56" spans="1:3" x14ac:dyDescent="0.35">
      <c r="A56" s="5">
        <v>52</v>
      </c>
      <c r="B56" s="12">
        <f>Base_Scenario!AB55</f>
        <v>302367312.01307279</v>
      </c>
      <c r="C56" s="12">
        <f>Stress_Scenario!AB55</f>
        <v>315383619.16971767</v>
      </c>
    </row>
    <row r="57" spans="1:3" x14ac:dyDescent="0.35">
      <c r="A57" s="5">
        <v>53</v>
      </c>
      <c r="B57" s="12">
        <f>Base_Scenario!AB56</f>
        <v>315726141.87487912</v>
      </c>
      <c r="C57" s="12">
        <f>Stress_Scenario!AB56</f>
        <v>333145137.86829966</v>
      </c>
    </row>
    <row r="58" spans="1:3" x14ac:dyDescent="0.35">
      <c r="A58" s="5">
        <v>54</v>
      </c>
      <c r="B58" s="12">
        <f>Base_Scenario!AB57</f>
        <v>308242587.81199348</v>
      </c>
      <c r="C58" s="12">
        <f>Stress_Scenario!AB57</f>
        <v>321740561.54838419</v>
      </c>
    </row>
    <row r="59" spans="1:3" x14ac:dyDescent="0.35">
      <c r="A59" s="5">
        <v>55</v>
      </c>
      <c r="B59" s="12">
        <f>Base_Scenario!AB58</f>
        <v>322167492.24620235</v>
      </c>
      <c r="C59" s="12">
        <f>Stress_Scenario!AB58</f>
        <v>330340577.14186519</v>
      </c>
    </row>
    <row r="60" spans="1:3" x14ac:dyDescent="0.35">
      <c r="A60" s="5">
        <v>56</v>
      </c>
      <c r="B60" s="12">
        <f>Base_Scenario!AB59</f>
        <v>281262679.53000277</v>
      </c>
      <c r="C60" s="12">
        <f>Stress_Scenario!AB59</f>
        <v>302934475.26476651</v>
      </c>
    </row>
    <row r="61" spans="1:3" x14ac:dyDescent="0.35">
      <c r="A61" s="5">
        <v>57</v>
      </c>
      <c r="B61" s="12">
        <f>Base_Scenario!AB60</f>
        <v>305628323.78636765</v>
      </c>
      <c r="C61" s="12">
        <f>Stress_Scenario!AB60</f>
        <v>317504902.0332312</v>
      </c>
    </row>
    <row r="62" spans="1:3" x14ac:dyDescent="0.35">
      <c r="A62" s="5">
        <v>58</v>
      </c>
      <c r="B62" s="12">
        <f>Base_Scenario!AB61</f>
        <v>285652497.70937049</v>
      </c>
      <c r="C62" s="12">
        <f>Stress_Scenario!AB61</f>
        <v>304716020.25551218</v>
      </c>
    </row>
    <row r="63" spans="1:3" x14ac:dyDescent="0.35">
      <c r="A63" s="5">
        <v>59</v>
      </c>
      <c r="B63" s="12">
        <f>Base_Scenario!AB62</f>
        <v>341013307.84020638</v>
      </c>
      <c r="C63" s="12">
        <f>Stress_Scenario!AB62</f>
        <v>344389537.2799626</v>
      </c>
    </row>
    <row r="64" spans="1:3" x14ac:dyDescent="0.35">
      <c r="A64" s="5">
        <v>60</v>
      </c>
      <c r="B64" s="12">
        <f>Base_Scenario!AB63</f>
        <v>319854126.0904882</v>
      </c>
      <c r="C64" s="12">
        <f>Stress_Scenario!AB63</f>
        <v>324471772.75502628</v>
      </c>
    </row>
    <row r="65" spans="1:3" x14ac:dyDescent="0.35">
      <c r="A65" s="5">
        <v>61</v>
      </c>
      <c r="B65" s="12">
        <f>Base_Scenario!AB64</f>
        <v>297425993.40387291</v>
      </c>
      <c r="C65" s="12">
        <f>Stress_Scenario!AB64</f>
        <v>320299705.78922755</v>
      </c>
    </row>
    <row r="66" spans="1:3" x14ac:dyDescent="0.35">
      <c r="A66" s="5">
        <v>62</v>
      </c>
      <c r="B66" s="12">
        <f>Base_Scenario!AB65</f>
        <v>279645440.60880888</v>
      </c>
      <c r="C66" s="12">
        <f>Stress_Scenario!AB65</f>
        <v>301867598.01516223</v>
      </c>
    </row>
    <row r="67" spans="1:3" x14ac:dyDescent="0.35">
      <c r="A67" s="5">
        <v>63</v>
      </c>
      <c r="B67" s="12">
        <f>Base_Scenario!AB66</f>
        <v>283371508.20897472</v>
      </c>
      <c r="C67" s="12">
        <f>Stress_Scenario!AB66</f>
        <v>319765762.6054883</v>
      </c>
    </row>
    <row r="68" spans="1:3" x14ac:dyDescent="0.35">
      <c r="A68" s="5">
        <v>64</v>
      </c>
      <c r="B68" s="12">
        <f>Base_Scenario!AB67</f>
        <v>286717678.54641485</v>
      </c>
      <c r="C68" s="12">
        <f>Stress_Scenario!AB67</f>
        <v>306142517.06491464</v>
      </c>
    </row>
    <row r="69" spans="1:3" x14ac:dyDescent="0.35">
      <c r="A69" s="5">
        <v>65</v>
      </c>
      <c r="B69" s="12">
        <f>Base_Scenario!AB68</f>
        <v>278581246.73506558</v>
      </c>
      <c r="C69" s="12">
        <f>Stress_Scenario!AB68</f>
        <v>303780230.43019402</v>
      </c>
    </row>
    <row r="70" spans="1:3" x14ac:dyDescent="0.35">
      <c r="A70" s="5">
        <v>66</v>
      </c>
      <c r="B70" s="12">
        <f>Base_Scenario!AB69</f>
        <v>273972672.27177709</v>
      </c>
      <c r="C70" s="12">
        <f>Stress_Scenario!AB69</f>
        <v>311420595.06211096</v>
      </c>
    </row>
    <row r="71" spans="1:3" x14ac:dyDescent="0.35">
      <c r="A71" s="5">
        <v>67</v>
      </c>
      <c r="B71" s="12">
        <f>Base_Scenario!AB70</f>
        <v>278001359.60392779</v>
      </c>
      <c r="C71" s="12">
        <f>Stress_Scenario!AB70</f>
        <v>306252796.34947437</v>
      </c>
    </row>
    <row r="72" spans="1:3" x14ac:dyDescent="0.35">
      <c r="A72" s="5">
        <v>68</v>
      </c>
      <c r="B72" s="12">
        <f>Base_Scenario!AB71</f>
        <v>274931034.38251555</v>
      </c>
      <c r="C72" s="12">
        <f>Stress_Scenario!AB71</f>
        <v>313701046.52510673</v>
      </c>
    </row>
    <row r="73" spans="1:3" x14ac:dyDescent="0.35">
      <c r="A73" s="5">
        <v>69</v>
      </c>
      <c r="B73" s="12">
        <f>Base_Scenario!AB72</f>
        <v>278445576.24233174</v>
      </c>
      <c r="C73" s="12">
        <f>Stress_Scenario!AB72</f>
        <v>293402788.77783453</v>
      </c>
    </row>
    <row r="74" spans="1:3" x14ac:dyDescent="0.35">
      <c r="A74" s="5">
        <v>70</v>
      </c>
      <c r="B74" s="12">
        <f>Base_Scenario!AB73</f>
        <v>271098160.07652885</v>
      </c>
      <c r="C74" s="12">
        <f>Stress_Scenario!AB73</f>
        <v>308821764.87648004</v>
      </c>
    </row>
    <row r="75" spans="1:3" x14ac:dyDescent="0.35">
      <c r="A75" s="5">
        <v>71</v>
      </c>
      <c r="B75" s="12">
        <f>Base_Scenario!AB74</f>
        <v>264982430.80917105</v>
      </c>
      <c r="C75" s="12">
        <f>Stress_Scenario!AB74</f>
        <v>315755974.40985018</v>
      </c>
    </row>
    <row r="76" spans="1:3" x14ac:dyDescent="0.35">
      <c r="A76" s="5">
        <v>72</v>
      </c>
      <c r="B76" s="12">
        <f>Base_Scenario!AB75</f>
        <v>270578940.94010663</v>
      </c>
      <c r="C76" s="12">
        <f>Stress_Scenario!AB75</f>
        <v>313108430.92272836</v>
      </c>
    </row>
    <row r="77" spans="1:3" x14ac:dyDescent="0.35">
      <c r="A77" s="5">
        <v>73</v>
      </c>
      <c r="B77" s="12">
        <f>Base_Scenario!AB76</f>
        <v>262935363.94666427</v>
      </c>
      <c r="C77" s="12">
        <f>Stress_Scenario!AB76</f>
        <v>310106702.20386487</v>
      </c>
    </row>
    <row r="78" spans="1:3" x14ac:dyDescent="0.35">
      <c r="A78" s="5">
        <v>74</v>
      </c>
      <c r="B78" s="12">
        <f>Base_Scenario!AB77</f>
        <v>271021777.54461169</v>
      </c>
      <c r="C78" s="12">
        <f>Stress_Scenario!AB77</f>
        <v>290779990.85396683</v>
      </c>
    </row>
    <row r="79" spans="1:3" x14ac:dyDescent="0.35">
      <c r="A79" s="5">
        <v>75</v>
      </c>
      <c r="B79" s="12">
        <f>Base_Scenario!AB78</f>
        <v>262738343.60616606</v>
      </c>
      <c r="C79" s="12">
        <f>Stress_Scenario!AB78</f>
        <v>296361982.81368887</v>
      </c>
    </row>
    <row r="80" spans="1:3" x14ac:dyDescent="0.35">
      <c r="A80" s="5">
        <v>76</v>
      </c>
      <c r="B80" s="12">
        <f>Base_Scenario!AB79</f>
        <v>261410981.13375413</v>
      </c>
      <c r="C80" s="12">
        <f>Stress_Scenario!AB79</f>
        <v>319173788.31562495</v>
      </c>
    </row>
    <row r="81" spans="1:3" x14ac:dyDescent="0.35">
      <c r="A81" s="5">
        <v>77</v>
      </c>
      <c r="B81" s="12">
        <f>Base_Scenario!AB80</f>
        <v>260085558.59891403</v>
      </c>
      <c r="C81" s="12">
        <f>Stress_Scenario!AB80</f>
        <v>316562090.10829723</v>
      </c>
    </row>
    <row r="82" spans="1:3" x14ac:dyDescent="0.35">
      <c r="A82" s="5">
        <v>78</v>
      </c>
      <c r="B82" s="12">
        <f>Base_Scenario!AB81</f>
        <v>258762071.3739695</v>
      </c>
      <c r="C82" s="12">
        <f>Stress_Scenario!AB81</f>
        <v>286591031.7281484</v>
      </c>
    </row>
    <row r="83" spans="1:3" x14ac:dyDescent="0.35">
      <c r="A83" s="5">
        <v>79</v>
      </c>
      <c r="B83" s="12">
        <f>Base_Scenario!AB82</f>
        <v>257440514.83995306</v>
      </c>
      <c r="C83" s="12">
        <f>Stress_Scenario!AB82</f>
        <v>300983998.37153107</v>
      </c>
    </row>
    <row r="84" spans="1:3" x14ac:dyDescent="0.35">
      <c r="A84" s="5">
        <v>80</v>
      </c>
      <c r="B84" s="12">
        <f>Base_Scenario!AB83</f>
        <v>255067864.94783694</v>
      </c>
      <c r="C84" s="12">
        <f>Stress_Scenario!AB83</f>
        <v>272304918.78269893</v>
      </c>
    </row>
    <row r="87" spans="1:3" ht="15.5" x14ac:dyDescent="0.35">
      <c r="A87" s="2" t="s">
        <v>144</v>
      </c>
    </row>
    <row r="88" spans="1:3" x14ac:dyDescent="0.35">
      <c r="A88" s="11" t="s">
        <v>38</v>
      </c>
      <c r="B88" s="11" t="s">
        <v>145</v>
      </c>
      <c r="C88" s="11" t="s">
        <v>135</v>
      </c>
    </row>
    <row r="89" spans="1:3" x14ac:dyDescent="0.35">
      <c r="A89" s="5">
        <v>1</v>
      </c>
      <c r="B89" s="12">
        <f>Base_Scenario!I4</f>
        <v>40828.199999999997</v>
      </c>
      <c r="C89" s="12">
        <f>Stress_Scenario!I4</f>
        <v>40828.199999999997</v>
      </c>
    </row>
    <row r="90" spans="1:3" x14ac:dyDescent="0.35">
      <c r="A90" s="5">
        <v>2</v>
      </c>
      <c r="B90" s="12">
        <f>Base_Scenario!I5</f>
        <v>44934.374551805959</v>
      </c>
      <c r="C90" s="12">
        <f>Stress_Scenario!I5</f>
        <v>44934.374551805959</v>
      </c>
    </row>
    <row r="91" spans="1:3" x14ac:dyDescent="0.35">
      <c r="A91" s="5">
        <v>3</v>
      </c>
      <c r="B91" s="12">
        <f>Base_Scenario!I6</f>
        <v>49760.067806049236</v>
      </c>
      <c r="C91" s="12">
        <f>Stress_Scenario!I6</f>
        <v>49760.067806049236</v>
      </c>
    </row>
    <row r="92" spans="1:3" x14ac:dyDescent="0.35">
      <c r="A92" s="5">
        <v>4</v>
      </c>
      <c r="B92" s="12">
        <f>Base_Scenario!I7</f>
        <v>50000</v>
      </c>
      <c r="C92" s="12">
        <f>Stress_Scenario!I7</f>
        <v>50000</v>
      </c>
    </row>
    <row r="93" spans="1:3" x14ac:dyDescent="0.35">
      <c r="A93" s="5">
        <v>5</v>
      </c>
      <c r="B93" s="12">
        <f>Base_Scenario!I8</f>
        <v>50000</v>
      </c>
      <c r="C93" s="12">
        <f>Stress_Scenario!I8</f>
        <v>50000</v>
      </c>
    </row>
    <row r="94" spans="1:3" x14ac:dyDescent="0.35">
      <c r="A94" s="5">
        <v>6</v>
      </c>
      <c r="B94" s="12">
        <f>Base_Scenario!I9</f>
        <v>50000</v>
      </c>
      <c r="C94" s="12">
        <f>Stress_Scenario!I9</f>
        <v>50000</v>
      </c>
    </row>
    <row r="95" spans="1:3" x14ac:dyDescent="0.35">
      <c r="A95" s="5">
        <v>7</v>
      </c>
      <c r="B95" s="12">
        <f>Base_Scenario!I10</f>
        <v>50000</v>
      </c>
      <c r="C95" s="12">
        <f>Stress_Scenario!I10</f>
        <v>50000</v>
      </c>
    </row>
    <row r="96" spans="1:3" x14ac:dyDescent="0.35">
      <c r="A96" s="5">
        <v>8</v>
      </c>
      <c r="B96" s="12">
        <f>Base_Scenario!I11</f>
        <v>50000</v>
      </c>
      <c r="C96" s="12">
        <f>Stress_Scenario!I11</f>
        <v>50000</v>
      </c>
    </row>
    <row r="97" spans="1:3" x14ac:dyDescent="0.35">
      <c r="A97" s="5">
        <v>9</v>
      </c>
      <c r="B97" s="12">
        <f>Base_Scenario!I12</f>
        <v>50000</v>
      </c>
      <c r="C97" s="12">
        <f>Stress_Scenario!I12</f>
        <v>50000</v>
      </c>
    </row>
    <row r="98" spans="1:3" x14ac:dyDescent="0.35">
      <c r="A98" s="5">
        <v>10</v>
      </c>
      <c r="B98" s="12">
        <f>Base_Scenario!I13</f>
        <v>50000</v>
      </c>
      <c r="C98" s="12">
        <f>Stress_Scenario!I13</f>
        <v>50000</v>
      </c>
    </row>
    <row r="99" spans="1:3" x14ac:dyDescent="0.35">
      <c r="A99" s="5">
        <v>11</v>
      </c>
      <c r="B99" s="12">
        <f>Base_Scenario!I14</f>
        <v>50000</v>
      </c>
      <c r="C99" s="12">
        <f>Stress_Scenario!I14</f>
        <v>50000</v>
      </c>
    </row>
    <row r="100" spans="1:3" x14ac:dyDescent="0.35">
      <c r="A100" s="5">
        <v>12</v>
      </c>
      <c r="B100" s="12">
        <f>Base_Scenario!I15</f>
        <v>50000</v>
      </c>
      <c r="C100" s="12">
        <f>Stress_Scenario!I15</f>
        <v>50000</v>
      </c>
    </row>
    <row r="101" spans="1:3" x14ac:dyDescent="0.35">
      <c r="A101" s="5">
        <v>13</v>
      </c>
      <c r="B101" s="12">
        <f>Base_Scenario!I16</f>
        <v>50000</v>
      </c>
      <c r="C101" s="12">
        <f>Stress_Scenario!I16</f>
        <v>50000</v>
      </c>
    </row>
    <row r="102" spans="1:3" x14ac:dyDescent="0.35">
      <c r="A102" s="5">
        <v>14</v>
      </c>
      <c r="B102" s="12">
        <f>Base_Scenario!I17</f>
        <v>50000</v>
      </c>
      <c r="C102" s="12">
        <f>Stress_Scenario!I17</f>
        <v>50000</v>
      </c>
    </row>
    <row r="103" spans="1:3" x14ac:dyDescent="0.35">
      <c r="A103" s="5">
        <v>15</v>
      </c>
      <c r="B103" s="12">
        <f>Base_Scenario!I18</f>
        <v>50000</v>
      </c>
      <c r="C103" s="12">
        <f>Stress_Scenario!I18</f>
        <v>50000</v>
      </c>
    </row>
    <row r="104" spans="1:3" x14ac:dyDescent="0.35">
      <c r="A104" s="5">
        <v>16</v>
      </c>
      <c r="B104" s="12">
        <f>Base_Scenario!I19</f>
        <v>50000</v>
      </c>
      <c r="C104" s="12">
        <f>Stress_Scenario!I19</f>
        <v>50000</v>
      </c>
    </row>
    <row r="105" spans="1:3" x14ac:dyDescent="0.35">
      <c r="A105" s="5">
        <v>17</v>
      </c>
      <c r="B105" s="12">
        <f>Base_Scenario!I20</f>
        <v>50000</v>
      </c>
      <c r="C105" s="12">
        <f>Stress_Scenario!I20</f>
        <v>50000</v>
      </c>
    </row>
    <row r="106" spans="1:3" x14ac:dyDescent="0.35">
      <c r="A106" s="5">
        <v>18</v>
      </c>
      <c r="B106" s="12">
        <f>Base_Scenario!I21</f>
        <v>50000</v>
      </c>
      <c r="C106" s="12">
        <f>Stress_Scenario!I21</f>
        <v>50000</v>
      </c>
    </row>
    <row r="107" spans="1:3" x14ac:dyDescent="0.35">
      <c r="A107" s="5">
        <v>19</v>
      </c>
      <c r="B107" s="12">
        <f>Base_Scenario!I22</f>
        <v>50000</v>
      </c>
      <c r="C107" s="12">
        <f>Stress_Scenario!I22</f>
        <v>50000</v>
      </c>
    </row>
    <row r="108" spans="1:3" x14ac:dyDescent="0.35">
      <c r="A108" s="5">
        <v>20</v>
      </c>
      <c r="B108" s="12">
        <f>Base_Scenario!I23</f>
        <v>50000</v>
      </c>
      <c r="C108" s="12">
        <f>Stress_Scenario!I23</f>
        <v>50000</v>
      </c>
    </row>
    <row r="109" spans="1:3" x14ac:dyDescent="0.35">
      <c r="A109" s="5">
        <v>21</v>
      </c>
      <c r="B109" s="12">
        <f>Base_Scenario!I24</f>
        <v>50000</v>
      </c>
      <c r="C109" s="12">
        <f>Stress_Scenario!I24</f>
        <v>50000</v>
      </c>
    </row>
    <row r="110" spans="1:3" x14ac:dyDescent="0.35">
      <c r="A110" s="5">
        <v>22</v>
      </c>
      <c r="B110" s="12">
        <f>Base_Scenario!I25</f>
        <v>50000</v>
      </c>
      <c r="C110" s="12">
        <f>Stress_Scenario!I25</f>
        <v>50000</v>
      </c>
    </row>
    <row r="111" spans="1:3" x14ac:dyDescent="0.35">
      <c r="A111" s="5">
        <v>23</v>
      </c>
      <c r="B111" s="12">
        <f>Base_Scenario!I26</f>
        <v>50000</v>
      </c>
      <c r="C111" s="12">
        <f>Stress_Scenario!I26</f>
        <v>50000</v>
      </c>
    </row>
    <row r="112" spans="1:3" x14ac:dyDescent="0.35">
      <c r="A112" s="5">
        <v>24</v>
      </c>
      <c r="B112" s="12">
        <f>Base_Scenario!I27</f>
        <v>50000</v>
      </c>
      <c r="C112" s="12">
        <f>Stress_Scenario!I27</f>
        <v>50000</v>
      </c>
    </row>
    <row r="113" spans="1:3" x14ac:dyDescent="0.35">
      <c r="A113" s="5">
        <v>25</v>
      </c>
      <c r="B113" s="12">
        <f>Base_Scenario!I28</f>
        <v>49594.979762115545</v>
      </c>
      <c r="C113" s="12">
        <f>Stress_Scenario!I28</f>
        <v>50000</v>
      </c>
    </row>
    <row r="114" spans="1:3" x14ac:dyDescent="0.35">
      <c r="A114" s="5">
        <v>26</v>
      </c>
      <c r="B114" s="12">
        <f>Base_Scenario!I29</f>
        <v>50000</v>
      </c>
      <c r="C114" s="12">
        <f>Stress_Scenario!I29</f>
        <v>50000</v>
      </c>
    </row>
    <row r="115" spans="1:3" x14ac:dyDescent="0.35">
      <c r="A115" s="5">
        <v>27</v>
      </c>
      <c r="B115" s="12">
        <f>Base_Scenario!I30</f>
        <v>50000</v>
      </c>
      <c r="C115" s="12">
        <f>Stress_Scenario!I30</f>
        <v>50000</v>
      </c>
    </row>
    <row r="116" spans="1:3" x14ac:dyDescent="0.35">
      <c r="A116" s="5">
        <v>28</v>
      </c>
      <c r="B116" s="12">
        <f>Base_Scenario!I31</f>
        <v>48876.096733297862</v>
      </c>
      <c r="C116" s="12">
        <f>Stress_Scenario!I31</f>
        <v>50000</v>
      </c>
    </row>
    <row r="117" spans="1:3" x14ac:dyDescent="0.35">
      <c r="A117" s="5">
        <v>29</v>
      </c>
      <c r="B117" s="12">
        <f>Base_Scenario!I32</f>
        <v>47458.619653606453</v>
      </c>
      <c r="C117" s="12">
        <f>Stress_Scenario!I32</f>
        <v>50000</v>
      </c>
    </row>
    <row r="118" spans="1:3" x14ac:dyDescent="0.35">
      <c r="A118" s="5">
        <v>30</v>
      </c>
      <c r="B118" s="12">
        <f>Base_Scenario!I33</f>
        <v>50000</v>
      </c>
      <c r="C118" s="12">
        <f>Stress_Scenario!I33</f>
        <v>50000</v>
      </c>
    </row>
    <row r="119" spans="1:3" x14ac:dyDescent="0.35">
      <c r="A119" s="5">
        <v>31</v>
      </c>
      <c r="B119" s="12">
        <f>Base_Scenario!I34</f>
        <v>50000</v>
      </c>
      <c r="C119" s="12">
        <f>Stress_Scenario!I34</f>
        <v>50000</v>
      </c>
    </row>
    <row r="120" spans="1:3" x14ac:dyDescent="0.35">
      <c r="A120" s="5">
        <v>32</v>
      </c>
      <c r="B120" s="12">
        <f>Base_Scenario!I35</f>
        <v>50000</v>
      </c>
      <c r="C120" s="12">
        <f>Stress_Scenario!I35</f>
        <v>50000</v>
      </c>
    </row>
    <row r="121" spans="1:3" x14ac:dyDescent="0.35">
      <c r="A121" s="5">
        <v>33</v>
      </c>
      <c r="B121" s="12">
        <f>Base_Scenario!I36</f>
        <v>50000</v>
      </c>
      <c r="C121" s="12">
        <f>Stress_Scenario!I36</f>
        <v>50000</v>
      </c>
    </row>
    <row r="122" spans="1:3" x14ac:dyDescent="0.35">
      <c r="A122" s="5">
        <v>34</v>
      </c>
      <c r="B122" s="12">
        <f>Base_Scenario!I37</f>
        <v>50000</v>
      </c>
      <c r="C122" s="12">
        <f>Stress_Scenario!I37</f>
        <v>50000</v>
      </c>
    </row>
    <row r="123" spans="1:3" x14ac:dyDescent="0.35">
      <c r="A123" s="5">
        <v>35</v>
      </c>
      <c r="B123" s="12">
        <f>Base_Scenario!I38</f>
        <v>50000</v>
      </c>
      <c r="C123" s="12">
        <f>Stress_Scenario!I38</f>
        <v>50000</v>
      </c>
    </row>
    <row r="124" spans="1:3" x14ac:dyDescent="0.35">
      <c r="A124" s="5">
        <v>36</v>
      </c>
      <c r="B124" s="12">
        <f>Base_Scenario!I39</f>
        <v>49360.192604751937</v>
      </c>
      <c r="C124" s="12">
        <f>Stress_Scenario!I39</f>
        <v>50000</v>
      </c>
    </row>
    <row r="125" spans="1:3" x14ac:dyDescent="0.35">
      <c r="A125" s="5">
        <v>37</v>
      </c>
      <c r="B125" s="12">
        <f>Base_Scenario!I40</f>
        <v>49341.999637497516</v>
      </c>
      <c r="C125" s="12">
        <f>Stress_Scenario!I40</f>
        <v>50000</v>
      </c>
    </row>
    <row r="126" spans="1:3" x14ac:dyDescent="0.35">
      <c r="A126" s="5">
        <v>38</v>
      </c>
      <c r="B126" s="12">
        <f>Base_Scenario!I41</f>
        <v>50000</v>
      </c>
      <c r="C126" s="12">
        <f>Stress_Scenario!I41</f>
        <v>50000</v>
      </c>
    </row>
    <row r="127" spans="1:3" x14ac:dyDescent="0.35">
      <c r="A127" s="5">
        <v>39</v>
      </c>
      <c r="B127" s="12">
        <f>Base_Scenario!I42</f>
        <v>50000</v>
      </c>
      <c r="C127" s="12">
        <f>Stress_Scenario!I42</f>
        <v>50000</v>
      </c>
    </row>
    <row r="128" spans="1:3" x14ac:dyDescent="0.35">
      <c r="A128" s="5">
        <v>40</v>
      </c>
      <c r="B128" s="12">
        <f>Base_Scenario!I43</f>
        <v>47496.171263673677</v>
      </c>
      <c r="C128" s="12">
        <f>Stress_Scenario!I43</f>
        <v>50000</v>
      </c>
    </row>
    <row r="129" spans="1:3" x14ac:dyDescent="0.35">
      <c r="A129" s="5">
        <v>41</v>
      </c>
      <c r="B129" s="12">
        <f>Base_Scenario!I44</f>
        <v>47791.435427979159</v>
      </c>
      <c r="C129" s="12">
        <f>Stress_Scenario!I44</f>
        <v>50000</v>
      </c>
    </row>
    <row r="130" spans="1:3" x14ac:dyDescent="0.35">
      <c r="A130" s="5">
        <v>42</v>
      </c>
      <c r="B130" s="12">
        <f>Base_Scenario!I45</f>
        <v>43382.510495356721</v>
      </c>
      <c r="C130" s="12">
        <f>Stress_Scenario!I45</f>
        <v>50000</v>
      </c>
    </row>
    <row r="131" spans="1:3" x14ac:dyDescent="0.35">
      <c r="A131" s="5">
        <v>43</v>
      </c>
      <c r="B131" s="12">
        <f>Base_Scenario!I46</f>
        <v>44292.713824573977</v>
      </c>
      <c r="C131" s="12">
        <f>Stress_Scenario!I46</f>
        <v>50000</v>
      </c>
    </row>
    <row r="132" spans="1:3" x14ac:dyDescent="0.35">
      <c r="A132" s="5">
        <v>44</v>
      </c>
      <c r="B132" s="12">
        <f>Base_Scenario!I47</f>
        <v>46177.762132028656</v>
      </c>
      <c r="C132" s="12">
        <f>Stress_Scenario!I47</f>
        <v>50000</v>
      </c>
    </row>
    <row r="133" spans="1:3" x14ac:dyDescent="0.35">
      <c r="A133" s="5">
        <v>45</v>
      </c>
      <c r="B133" s="12">
        <f>Base_Scenario!I48</f>
        <v>42548.371493048893</v>
      </c>
      <c r="C133" s="12">
        <f>Stress_Scenario!I48</f>
        <v>50000</v>
      </c>
    </row>
    <row r="134" spans="1:3" x14ac:dyDescent="0.35">
      <c r="A134" s="5">
        <v>46</v>
      </c>
      <c r="B134" s="12">
        <f>Base_Scenario!I49</f>
        <v>45050.257343190795</v>
      </c>
      <c r="C134" s="12">
        <f>Stress_Scenario!I49</f>
        <v>50000</v>
      </c>
    </row>
    <row r="135" spans="1:3" x14ac:dyDescent="0.35">
      <c r="A135" s="5">
        <v>47</v>
      </c>
      <c r="B135" s="12">
        <f>Base_Scenario!I50</f>
        <v>42326.934479533433</v>
      </c>
      <c r="C135" s="12">
        <f>Stress_Scenario!I50</f>
        <v>50000</v>
      </c>
    </row>
    <row r="136" spans="1:3" x14ac:dyDescent="0.35">
      <c r="A136" s="5">
        <v>48</v>
      </c>
      <c r="B136" s="12">
        <f>Base_Scenario!I51</f>
        <v>42124.117061971177</v>
      </c>
      <c r="C136" s="12">
        <f>Stress_Scenario!I51</f>
        <v>50000</v>
      </c>
    </row>
    <row r="137" spans="1:3" x14ac:dyDescent="0.35">
      <c r="A137" s="5">
        <v>49</v>
      </c>
      <c r="B137" s="12">
        <f>Base_Scenario!I52</f>
        <v>39832.318614503456</v>
      </c>
      <c r="C137" s="12">
        <f>Stress_Scenario!I52</f>
        <v>50000</v>
      </c>
    </row>
    <row r="138" spans="1:3" x14ac:dyDescent="0.35">
      <c r="A138" s="5">
        <v>50</v>
      </c>
      <c r="B138" s="12">
        <f>Base_Scenario!I53</f>
        <v>34820.052026521807</v>
      </c>
      <c r="C138" s="12">
        <f>Stress_Scenario!I53</f>
        <v>50000</v>
      </c>
    </row>
    <row r="139" spans="1:3" x14ac:dyDescent="0.35">
      <c r="A139" s="5">
        <v>51</v>
      </c>
      <c r="B139" s="12">
        <f>Base_Scenario!I54</f>
        <v>34599.029554094523</v>
      </c>
      <c r="C139" s="12">
        <f>Stress_Scenario!I54</f>
        <v>50000</v>
      </c>
    </row>
    <row r="140" spans="1:3" x14ac:dyDescent="0.35">
      <c r="A140" s="5">
        <v>52</v>
      </c>
      <c r="B140" s="12">
        <f>Base_Scenario!I55</f>
        <v>33974.762821248427</v>
      </c>
      <c r="C140" s="12">
        <f>Stress_Scenario!I55</f>
        <v>50000</v>
      </c>
    </row>
    <row r="141" spans="1:3" x14ac:dyDescent="0.35">
      <c r="A141" s="5">
        <v>53</v>
      </c>
      <c r="B141" s="12">
        <f>Base_Scenario!I56</f>
        <v>28696.56282124827</v>
      </c>
      <c r="C141" s="12">
        <f>Stress_Scenario!I56</f>
        <v>50000</v>
      </c>
    </row>
    <row r="142" spans="1:3" x14ac:dyDescent="0.35">
      <c r="A142" s="5">
        <v>54</v>
      </c>
      <c r="B142" s="12">
        <f>Base_Scenario!I57</f>
        <v>25815.939917873475</v>
      </c>
      <c r="C142" s="12">
        <f>Stress_Scenario!I57</f>
        <v>50000</v>
      </c>
    </row>
    <row r="143" spans="1:3" x14ac:dyDescent="0.35">
      <c r="A143" s="5">
        <v>55</v>
      </c>
      <c r="B143" s="12">
        <f>Base_Scenario!I58</f>
        <v>20497.203846692268</v>
      </c>
      <c r="C143" s="12">
        <f>Stress_Scenario!I58</f>
        <v>50000</v>
      </c>
    </row>
    <row r="144" spans="1:3" x14ac:dyDescent="0.35">
      <c r="A144" s="5">
        <v>56</v>
      </c>
      <c r="B144" s="12">
        <f>Base_Scenario!I59</f>
        <v>21445.463716333223</v>
      </c>
      <c r="C144" s="12">
        <f>Stress_Scenario!I59</f>
        <v>50000</v>
      </c>
    </row>
    <row r="145" spans="1:3" x14ac:dyDescent="0.35">
      <c r="A145" s="5">
        <v>57</v>
      </c>
      <c r="B145" s="12">
        <f>Base_Scenario!I60</f>
        <v>18513.228009754326</v>
      </c>
      <c r="C145" s="12">
        <f>Stress_Scenario!I60</f>
        <v>50000</v>
      </c>
    </row>
    <row r="146" spans="1:3" x14ac:dyDescent="0.35">
      <c r="A146" s="5">
        <v>58</v>
      </c>
      <c r="B146" s="12">
        <f>Base_Scenario!I61</f>
        <v>18315.204585509302</v>
      </c>
      <c r="C146" s="12">
        <f>Stress_Scenario!I61</f>
        <v>50000</v>
      </c>
    </row>
    <row r="147" spans="1:3" x14ac:dyDescent="0.35">
      <c r="A147" s="5">
        <v>59</v>
      </c>
      <c r="B147" s="12">
        <f>Base_Scenario!I62</f>
        <v>8168.9006790115818</v>
      </c>
      <c r="C147" s="12">
        <f>Stress_Scenario!I62</f>
        <v>50000</v>
      </c>
    </row>
    <row r="148" spans="1:3" x14ac:dyDescent="0.35">
      <c r="A148" s="5">
        <v>60</v>
      </c>
      <c r="B148" s="12">
        <f>Base_Scenario!I63</f>
        <v>2481.2229037955258</v>
      </c>
      <c r="C148" s="12">
        <f>Stress_Scenario!I63</f>
        <v>50000</v>
      </c>
    </row>
    <row r="149" spans="1:3" x14ac:dyDescent="0.35">
      <c r="A149" s="5">
        <v>61</v>
      </c>
      <c r="B149" s="12">
        <f>Base_Scenario!I64</f>
        <v>0</v>
      </c>
      <c r="C149" s="12">
        <f>Stress_Scenario!I64</f>
        <v>50000</v>
      </c>
    </row>
    <row r="150" spans="1:3" x14ac:dyDescent="0.35">
      <c r="A150" s="5">
        <v>62</v>
      </c>
      <c r="B150" s="12">
        <f>Base_Scenario!I65</f>
        <v>0</v>
      </c>
      <c r="C150" s="12">
        <f>Stress_Scenario!I65</f>
        <v>50000</v>
      </c>
    </row>
    <row r="151" spans="1:3" x14ac:dyDescent="0.35">
      <c r="A151" s="5">
        <v>63</v>
      </c>
      <c r="B151" s="12">
        <f>Base_Scenario!I66</f>
        <v>0</v>
      </c>
      <c r="C151" s="12">
        <f>Stress_Scenario!I66</f>
        <v>50000</v>
      </c>
    </row>
    <row r="152" spans="1:3" x14ac:dyDescent="0.35">
      <c r="A152" s="5">
        <v>64</v>
      </c>
      <c r="B152" s="12">
        <f>Base_Scenario!I67</f>
        <v>0</v>
      </c>
      <c r="C152" s="12">
        <f>Stress_Scenario!I67</f>
        <v>50000</v>
      </c>
    </row>
    <row r="153" spans="1:3" x14ac:dyDescent="0.35">
      <c r="A153" s="5">
        <v>65</v>
      </c>
      <c r="B153" s="12">
        <f>Base_Scenario!I68</f>
        <v>0</v>
      </c>
      <c r="C153" s="12">
        <f>Stress_Scenario!I68</f>
        <v>50000</v>
      </c>
    </row>
    <row r="154" spans="1:3" x14ac:dyDescent="0.35">
      <c r="A154" s="5">
        <v>66</v>
      </c>
      <c r="B154" s="12">
        <f>Base_Scenario!I69</f>
        <v>0</v>
      </c>
      <c r="C154" s="12">
        <f>Stress_Scenario!I69</f>
        <v>50000</v>
      </c>
    </row>
    <row r="155" spans="1:3" x14ac:dyDescent="0.35">
      <c r="A155" s="5">
        <v>67</v>
      </c>
      <c r="B155" s="12">
        <f>Base_Scenario!I70</f>
        <v>0</v>
      </c>
      <c r="C155" s="12">
        <f>Stress_Scenario!I70</f>
        <v>50000</v>
      </c>
    </row>
    <row r="156" spans="1:3" x14ac:dyDescent="0.35">
      <c r="A156" s="5">
        <v>68</v>
      </c>
      <c r="B156" s="12">
        <f>Base_Scenario!I71</f>
        <v>0</v>
      </c>
      <c r="C156" s="12">
        <f>Stress_Scenario!I71</f>
        <v>50000</v>
      </c>
    </row>
    <row r="157" spans="1:3" x14ac:dyDescent="0.35">
      <c r="A157" s="5">
        <v>69</v>
      </c>
      <c r="B157" s="12">
        <f>Base_Scenario!I72</f>
        <v>0</v>
      </c>
      <c r="C157" s="12">
        <f>Stress_Scenario!I72</f>
        <v>50000</v>
      </c>
    </row>
    <row r="158" spans="1:3" x14ac:dyDescent="0.35">
      <c r="A158" s="5">
        <v>70</v>
      </c>
      <c r="B158" s="12">
        <f>Base_Scenario!I73</f>
        <v>0</v>
      </c>
      <c r="C158" s="12">
        <f>Stress_Scenario!I73</f>
        <v>50000</v>
      </c>
    </row>
    <row r="159" spans="1:3" x14ac:dyDescent="0.35">
      <c r="A159" s="5">
        <v>71</v>
      </c>
      <c r="B159" s="12">
        <f>Base_Scenario!I74</f>
        <v>0</v>
      </c>
      <c r="C159" s="12">
        <f>Stress_Scenario!I74</f>
        <v>50000</v>
      </c>
    </row>
    <row r="160" spans="1:3" x14ac:dyDescent="0.35">
      <c r="A160" s="5">
        <v>72</v>
      </c>
      <c r="B160" s="12">
        <f>Base_Scenario!I75</f>
        <v>0</v>
      </c>
      <c r="C160" s="12">
        <f>Stress_Scenario!I75</f>
        <v>50000</v>
      </c>
    </row>
    <row r="161" spans="1:3" x14ac:dyDescent="0.35">
      <c r="A161" s="5">
        <v>73</v>
      </c>
      <c r="B161" s="12">
        <f>Base_Scenario!I76</f>
        <v>0</v>
      </c>
      <c r="C161" s="12">
        <f>Stress_Scenario!I76</f>
        <v>50000</v>
      </c>
    </row>
    <row r="162" spans="1:3" x14ac:dyDescent="0.35">
      <c r="A162" s="5">
        <v>74</v>
      </c>
      <c r="B162" s="12">
        <f>Base_Scenario!I77</f>
        <v>0</v>
      </c>
      <c r="C162" s="12">
        <f>Stress_Scenario!I77</f>
        <v>50000</v>
      </c>
    </row>
    <row r="163" spans="1:3" x14ac:dyDescent="0.35">
      <c r="A163" s="5">
        <v>75</v>
      </c>
      <c r="B163" s="12">
        <f>Base_Scenario!I78</f>
        <v>0</v>
      </c>
      <c r="C163" s="12">
        <f>Stress_Scenario!I78</f>
        <v>50000</v>
      </c>
    </row>
    <row r="164" spans="1:3" x14ac:dyDescent="0.35">
      <c r="A164" s="5">
        <v>76</v>
      </c>
      <c r="B164" s="12">
        <f>Base_Scenario!I79</f>
        <v>0</v>
      </c>
      <c r="C164" s="12">
        <f>Stress_Scenario!I79</f>
        <v>50000</v>
      </c>
    </row>
    <row r="165" spans="1:3" x14ac:dyDescent="0.35">
      <c r="A165" s="5">
        <v>77</v>
      </c>
      <c r="B165" s="12">
        <f>Base_Scenario!I80</f>
        <v>0</v>
      </c>
      <c r="C165" s="12">
        <f>Stress_Scenario!I80</f>
        <v>50000</v>
      </c>
    </row>
    <row r="166" spans="1:3" x14ac:dyDescent="0.35">
      <c r="A166" s="5">
        <v>78</v>
      </c>
      <c r="B166" s="12">
        <f>Base_Scenario!I81</f>
        <v>0</v>
      </c>
      <c r="C166" s="12">
        <f>Stress_Scenario!I81</f>
        <v>50000</v>
      </c>
    </row>
    <row r="167" spans="1:3" x14ac:dyDescent="0.35">
      <c r="A167" s="5">
        <v>79</v>
      </c>
      <c r="B167" s="12">
        <f>Base_Scenario!I82</f>
        <v>0</v>
      </c>
      <c r="C167" s="12">
        <f>Stress_Scenario!I82</f>
        <v>50000</v>
      </c>
    </row>
    <row r="168" spans="1:3" x14ac:dyDescent="0.35">
      <c r="A168" s="5">
        <v>80</v>
      </c>
      <c r="B168" s="12">
        <f>Base_Scenario!I83</f>
        <v>0</v>
      </c>
      <c r="C168" s="12">
        <f>Stress_Scenario!I83</f>
        <v>50000</v>
      </c>
    </row>
    <row r="171" spans="1:3" ht="15.5" x14ac:dyDescent="0.35">
      <c r="A171" s="2" t="s">
        <v>146</v>
      </c>
    </row>
    <row r="172" spans="1:3" x14ac:dyDescent="0.35">
      <c r="A172" s="11" t="s">
        <v>38</v>
      </c>
      <c r="B172" s="11" t="s">
        <v>145</v>
      </c>
      <c r="C172" s="11" t="s">
        <v>135</v>
      </c>
    </row>
    <row r="173" spans="1:3" x14ac:dyDescent="0.35">
      <c r="A173" s="5">
        <v>1</v>
      </c>
      <c r="B173" s="12">
        <f>Base_Scenario!R4</f>
        <v>11910.400000000001</v>
      </c>
      <c r="C173" s="12">
        <f>Stress_Scenario!R4</f>
        <v>11910.400000000001</v>
      </c>
    </row>
    <row r="174" spans="1:3" x14ac:dyDescent="0.35">
      <c r="A174" s="5">
        <v>2</v>
      </c>
      <c r="B174" s="12">
        <f>Base_Scenario!R5</f>
        <v>15000</v>
      </c>
      <c r="C174" s="12">
        <f>Stress_Scenario!R5</f>
        <v>15000</v>
      </c>
    </row>
    <row r="175" spans="1:3" x14ac:dyDescent="0.35">
      <c r="A175" s="5">
        <v>3</v>
      </c>
      <c r="B175" s="12">
        <f>Base_Scenario!R6</f>
        <v>15000</v>
      </c>
      <c r="C175" s="12">
        <f>Stress_Scenario!R6</f>
        <v>15000</v>
      </c>
    </row>
    <row r="176" spans="1:3" x14ac:dyDescent="0.35">
      <c r="A176" s="5">
        <v>4</v>
      </c>
      <c r="B176" s="12">
        <f>Base_Scenario!R7</f>
        <v>15000</v>
      </c>
      <c r="C176" s="12">
        <f>Stress_Scenario!R7</f>
        <v>15000</v>
      </c>
    </row>
    <row r="177" spans="1:3" x14ac:dyDescent="0.35">
      <c r="A177" s="5">
        <v>5</v>
      </c>
      <c r="B177" s="12">
        <f>Base_Scenario!R8</f>
        <v>15000</v>
      </c>
      <c r="C177" s="12">
        <f>Stress_Scenario!R8</f>
        <v>15000</v>
      </c>
    </row>
    <row r="178" spans="1:3" x14ac:dyDescent="0.35">
      <c r="A178" s="5">
        <v>6</v>
      </c>
      <c r="B178" s="12">
        <f>Base_Scenario!R9</f>
        <v>15000</v>
      </c>
      <c r="C178" s="12">
        <f>Stress_Scenario!R9</f>
        <v>15000</v>
      </c>
    </row>
    <row r="179" spans="1:3" x14ac:dyDescent="0.35">
      <c r="A179" s="5">
        <v>7</v>
      </c>
      <c r="B179" s="12">
        <f>Base_Scenario!R10</f>
        <v>15000</v>
      </c>
      <c r="C179" s="12">
        <f>Stress_Scenario!R10</f>
        <v>15000</v>
      </c>
    </row>
    <row r="180" spans="1:3" x14ac:dyDescent="0.35">
      <c r="A180" s="5">
        <v>8</v>
      </c>
      <c r="B180" s="12">
        <f>Base_Scenario!R11</f>
        <v>15000</v>
      </c>
      <c r="C180" s="12">
        <f>Stress_Scenario!R11</f>
        <v>15000</v>
      </c>
    </row>
    <row r="181" spans="1:3" x14ac:dyDescent="0.35">
      <c r="A181" s="5">
        <v>9</v>
      </c>
      <c r="B181" s="12">
        <f>Base_Scenario!R12</f>
        <v>15000</v>
      </c>
      <c r="C181" s="12">
        <f>Stress_Scenario!R12</f>
        <v>15000</v>
      </c>
    </row>
    <row r="182" spans="1:3" x14ac:dyDescent="0.35">
      <c r="A182" s="5">
        <v>10</v>
      </c>
      <c r="B182" s="12">
        <f>Base_Scenario!R13</f>
        <v>15000</v>
      </c>
      <c r="C182" s="12">
        <f>Stress_Scenario!R13</f>
        <v>9325.4723079645773</v>
      </c>
    </row>
    <row r="183" spans="1:3" x14ac:dyDescent="0.35">
      <c r="A183" s="5">
        <v>11</v>
      </c>
      <c r="B183" s="12">
        <f>Base_Scenario!R14</f>
        <v>15000</v>
      </c>
      <c r="C183" s="12">
        <f>Stress_Scenario!R14</f>
        <v>2427.3933079222043</v>
      </c>
    </row>
    <row r="184" spans="1:3" x14ac:dyDescent="0.35">
      <c r="A184" s="5">
        <v>12</v>
      </c>
      <c r="B184" s="12">
        <f>Base_Scenario!R15</f>
        <v>15000</v>
      </c>
      <c r="C184" s="12">
        <f>Stress_Scenario!R15</f>
        <v>0</v>
      </c>
    </row>
    <row r="185" spans="1:3" x14ac:dyDescent="0.35">
      <c r="A185" s="5">
        <v>13</v>
      </c>
      <c r="B185" s="12">
        <f>Base_Scenario!R16</f>
        <v>15000</v>
      </c>
      <c r="C185" s="12">
        <f>Stress_Scenario!R16</f>
        <v>0</v>
      </c>
    </row>
    <row r="186" spans="1:3" x14ac:dyDescent="0.35">
      <c r="A186" s="5">
        <v>14</v>
      </c>
      <c r="B186" s="12">
        <f>Base_Scenario!R17</f>
        <v>15000</v>
      </c>
      <c r="C186" s="12">
        <f>Stress_Scenario!R17</f>
        <v>0</v>
      </c>
    </row>
    <row r="187" spans="1:3" x14ac:dyDescent="0.35">
      <c r="A187" s="5">
        <v>15</v>
      </c>
      <c r="B187" s="12">
        <f>Base_Scenario!R18</f>
        <v>15000</v>
      </c>
      <c r="C187" s="12">
        <f>Stress_Scenario!R18</f>
        <v>0</v>
      </c>
    </row>
    <row r="188" spans="1:3" x14ac:dyDescent="0.35">
      <c r="A188" s="5">
        <v>16</v>
      </c>
      <c r="B188" s="12">
        <f>Base_Scenario!R19</f>
        <v>15000</v>
      </c>
      <c r="C188" s="12">
        <f>Stress_Scenario!R19</f>
        <v>0</v>
      </c>
    </row>
    <row r="189" spans="1:3" x14ac:dyDescent="0.35">
      <c r="A189" s="5">
        <v>17</v>
      </c>
      <c r="B189" s="12">
        <f>Base_Scenario!R20</f>
        <v>15000</v>
      </c>
      <c r="C189" s="12">
        <f>Stress_Scenario!R20</f>
        <v>0</v>
      </c>
    </row>
    <row r="190" spans="1:3" x14ac:dyDescent="0.35">
      <c r="A190" s="5">
        <v>18</v>
      </c>
      <c r="B190" s="12">
        <f>Base_Scenario!R21</f>
        <v>15000</v>
      </c>
      <c r="C190" s="12">
        <f>Stress_Scenario!R21</f>
        <v>0</v>
      </c>
    </row>
    <row r="191" spans="1:3" x14ac:dyDescent="0.35">
      <c r="A191" s="5">
        <v>19</v>
      </c>
      <c r="B191" s="12">
        <f>Base_Scenario!R22</f>
        <v>15000</v>
      </c>
      <c r="C191" s="12">
        <f>Stress_Scenario!R22</f>
        <v>0</v>
      </c>
    </row>
    <row r="192" spans="1:3" x14ac:dyDescent="0.35">
      <c r="A192" s="5">
        <v>20</v>
      </c>
      <c r="B192" s="12">
        <f>Base_Scenario!R23</f>
        <v>15000</v>
      </c>
      <c r="C192" s="12">
        <f>Stress_Scenario!R23</f>
        <v>0</v>
      </c>
    </row>
    <row r="193" spans="1:3" x14ac:dyDescent="0.35">
      <c r="A193" s="5">
        <v>21</v>
      </c>
      <c r="B193" s="12">
        <f>Base_Scenario!R24</f>
        <v>15000</v>
      </c>
      <c r="C193" s="12">
        <f>Stress_Scenario!R24</f>
        <v>0</v>
      </c>
    </row>
    <row r="194" spans="1:3" x14ac:dyDescent="0.35">
      <c r="A194" s="5">
        <v>22</v>
      </c>
      <c r="B194" s="12">
        <f>Base_Scenario!R25</f>
        <v>15000</v>
      </c>
      <c r="C194" s="12">
        <f>Stress_Scenario!R25</f>
        <v>0</v>
      </c>
    </row>
    <row r="195" spans="1:3" x14ac:dyDescent="0.35">
      <c r="A195" s="5">
        <v>23</v>
      </c>
      <c r="B195" s="12">
        <f>Base_Scenario!R26</f>
        <v>15000</v>
      </c>
      <c r="C195" s="12">
        <f>Stress_Scenario!R26</f>
        <v>0</v>
      </c>
    </row>
    <row r="196" spans="1:3" x14ac:dyDescent="0.35">
      <c r="A196" s="5">
        <v>24</v>
      </c>
      <c r="B196" s="12">
        <f>Base_Scenario!R27</f>
        <v>15000</v>
      </c>
      <c r="C196" s="12">
        <f>Stress_Scenario!R27</f>
        <v>0</v>
      </c>
    </row>
    <row r="197" spans="1:3" x14ac:dyDescent="0.35">
      <c r="A197" s="5">
        <v>25</v>
      </c>
      <c r="B197" s="12">
        <f>Base_Scenario!R28</f>
        <v>15000</v>
      </c>
      <c r="C197" s="12">
        <f>Stress_Scenario!R28</f>
        <v>0</v>
      </c>
    </row>
    <row r="198" spans="1:3" x14ac:dyDescent="0.35">
      <c r="A198" s="5">
        <v>26</v>
      </c>
      <c r="B198" s="12">
        <f>Base_Scenario!R29</f>
        <v>15000</v>
      </c>
      <c r="C198" s="12">
        <f>Stress_Scenario!R29</f>
        <v>0</v>
      </c>
    </row>
    <row r="199" spans="1:3" x14ac:dyDescent="0.35">
      <c r="A199" s="5">
        <v>27</v>
      </c>
      <c r="B199" s="12">
        <f>Base_Scenario!R30</f>
        <v>15000</v>
      </c>
      <c r="C199" s="12">
        <f>Stress_Scenario!R30</f>
        <v>89.558729818469146</v>
      </c>
    </row>
    <row r="200" spans="1:3" x14ac:dyDescent="0.35">
      <c r="A200" s="5">
        <v>28</v>
      </c>
      <c r="B200" s="12">
        <f>Base_Scenario!R31</f>
        <v>15000</v>
      </c>
      <c r="C200" s="12">
        <f>Stress_Scenario!R31</f>
        <v>0</v>
      </c>
    </row>
    <row r="201" spans="1:3" x14ac:dyDescent="0.35">
      <c r="A201" s="5">
        <v>29</v>
      </c>
      <c r="B201" s="12">
        <f>Base_Scenario!R32</f>
        <v>15000</v>
      </c>
      <c r="C201" s="12">
        <f>Stress_Scenario!R32</f>
        <v>0</v>
      </c>
    </row>
    <row r="202" spans="1:3" x14ac:dyDescent="0.35">
      <c r="A202" s="5">
        <v>30</v>
      </c>
      <c r="B202" s="12">
        <f>Base_Scenario!R33</f>
        <v>15000</v>
      </c>
      <c r="C202" s="12">
        <f>Stress_Scenario!R33</f>
        <v>0</v>
      </c>
    </row>
    <row r="203" spans="1:3" x14ac:dyDescent="0.35">
      <c r="A203" s="5">
        <v>31</v>
      </c>
      <c r="B203" s="12">
        <f>Base_Scenario!R34</f>
        <v>15000</v>
      </c>
      <c r="C203" s="12">
        <f>Stress_Scenario!R34</f>
        <v>0</v>
      </c>
    </row>
    <row r="204" spans="1:3" x14ac:dyDescent="0.35">
      <c r="A204" s="5">
        <v>32</v>
      </c>
      <c r="B204" s="12">
        <f>Base_Scenario!R35</f>
        <v>15000</v>
      </c>
      <c r="C204" s="12">
        <f>Stress_Scenario!R35</f>
        <v>0</v>
      </c>
    </row>
    <row r="205" spans="1:3" x14ac:dyDescent="0.35">
      <c r="A205" s="5">
        <v>33</v>
      </c>
      <c r="B205" s="12">
        <f>Base_Scenario!R36</f>
        <v>15000</v>
      </c>
      <c r="C205" s="12">
        <f>Stress_Scenario!R36</f>
        <v>0</v>
      </c>
    </row>
    <row r="206" spans="1:3" x14ac:dyDescent="0.35">
      <c r="A206" s="5">
        <v>34</v>
      </c>
      <c r="B206" s="12">
        <f>Base_Scenario!R37</f>
        <v>15000</v>
      </c>
      <c r="C206" s="12">
        <f>Stress_Scenario!R37</f>
        <v>0</v>
      </c>
    </row>
    <row r="207" spans="1:3" x14ac:dyDescent="0.35">
      <c r="A207" s="5">
        <v>35</v>
      </c>
      <c r="B207" s="12">
        <f>Base_Scenario!R38</f>
        <v>15000</v>
      </c>
      <c r="C207" s="12">
        <f>Stress_Scenario!R38</f>
        <v>0</v>
      </c>
    </row>
    <row r="208" spans="1:3" x14ac:dyDescent="0.35">
      <c r="A208" s="5">
        <v>36</v>
      </c>
      <c r="B208" s="12">
        <f>Base_Scenario!R39</f>
        <v>15000</v>
      </c>
      <c r="C208" s="12">
        <f>Stress_Scenario!R39</f>
        <v>2066.6539734651233</v>
      </c>
    </row>
    <row r="209" spans="1:3" x14ac:dyDescent="0.35">
      <c r="A209" s="5">
        <v>37</v>
      </c>
      <c r="B209" s="12">
        <f>Base_Scenario!R40</f>
        <v>15000</v>
      </c>
      <c r="C209" s="12">
        <f>Stress_Scenario!R40</f>
        <v>922.06841607037495</v>
      </c>
    </row>
    <row r="210" spans="1:3" x14ac:dyDescent="0.35">
      <c r="A210" s="5">
        <v>38</v>
      </c>
      <c r="B210" s="12">
        <f>Base_Scenario!R41</f>
        <v>15000</v>
      </c>
      <c r="C210" s="12">
        <f>Stress_Scenario!R41</f>
        <v>0</v>
      </c>
    </row>
    <row r="211" spans="1:3" x14ac:dyDescent="0.35">
      <c r="A211" s="5">
        <v>39</v>
      </c>
      <c r="B211" s="12">
        <f>Base_Scenario!R42</f>
        <v>15000</v>
      </c>
      <c r="C211" s="12">
        <f>Stress_Scenario!R42</f>
        <v>0</v>
      </c>
    </row>
    <row r="212" spans="1:3" x14ac:dyDescent="0.35">
      <c r="A212" s="5">
        <v>40</v>
      </c>
      <c r="B212" s="12">
        <f>Base_Scenario!R43</f>
        <v>15000</v>
      </c>
      <c r="C212" s="12">
        <f>Stress_Scenario!R43</f>
        <v>0</v>
      </c>
    </row>
    <row r="213" spans="1:3" x14ac:dyDescent="0.35">
      <c r="A213" s="5">
        <v>41</v>
      </c>
      <c r="B213" s="12">
        <f>Base_Scenario!R44</f>
        <v>14984.627498988055</v>
      </c>
      <c r="C213" s="12">
        <f>Stress_Scenario!R44</f>
        <v>0</v>
      </c>
    </row>
    <row r="214" spans="1:3" x14ac:dyDescent="0.35">
      <c r="A214" s="5">
        <v>42</v>
      </c>
      <c r="B214" s="12">
        <f>Base_Scenario!R45</f>
        <v>15000</v>
      </c>
      <c r="C214" s="12">
        <f>Stress_Scenario!R45</f>
        <v>0</v>
      </c>
    </row>
    <row r="215" spans="1:3" x14ac:dyDescent="0.35">
      <c r="A215" s="5">
        <v>43</v>
      </c>
      <c r="B215" s="12">
        <f>Base_Scenario!R46</f>
        <v>15000</v>
      </c>
      <c r="C215" s="12">
        <f>Stress_Scenario!R46</f>
        <v>0</v>
      </c>
    </row>
    <row r="216" spans="1:3" x14ac:dyDescent="0.35">
      <c r="A216" s="5">
        <v>44</v>
      </c>
      <c r="B216" s="12">
        <f>Base_Scenario!R47</f>
        <v>14665.04927462343</v>
      </c>
      <c r="C216" s="12">
        <f>Stress_Scenario!R47</f>
        <v>0</v>
      </c>
    </row>
    <row r="217" spans="1:3" x14ac:dyDescent="0.35">
      <c r="A217" s="5">
        <v>45</v>
      </c>
      <c r="B217" s="12">
        <f>Base_Scenario!R48</f>
        <v>15000</v>
      </c>
      <c r="C217" s="12">
        <f>Stress_Scenario!R48</f>
        <v>0</v>
      </c>
    </row>
    <row r="218" spans="1:3" x14ac:dyDescent="0.35">
      <c r="A218" s="5">
        <v>46</v>
      </c>
      <c r="B218" s="12">
        <f>Base_Scenario!R49</f>
        <v>15000</v>
      </c>
      <c r="C218" s="12">
        <f>Stress_Scenario!R49</f>
        <v>0</v>
      </c>
    </row>
    <row r="219" spans="1:3" x14ac:dyDescent="0.35">
      <c r="A219" s="5">
        <v>47</v>
      </c>
      <c r="B219" s="12">
        <f>Base_Scenario!R50</f>
        <v>14481.090201289706</v>
      </c>
      <c r="C219" s="12">
        <f>Stress_Scenario!R50</f>
        <v>0</v>
      </c>
    </row>
    <row r="220" spans="1:3" x14ac:dyDescent="0.35">
      <c r="A220" s="5">
        <v>48</v>
      </c>
      <c r="B220" s="12">
        <f>Base_Scenario!R51</f>
        <v>14551.79702233446</v>
      </c>
      <c r="C220" s="12">
        <f>Stress_Scenario!R51</f>
        <v>0</v>
      </c>
    </row>
    <row r="221" spans="1:3" x14ac:dyDescent="0.35">
      <c r="A221" s="5">
        <v>49</v>
      </c>
      <c r="B221" s="12">
        <f>Base_Scenario!R52</f>
        <v>12969.054830562578</v>
      </c>
      <c r="C221" s="12">
        <f>Stress_Scenario!R52</f>
        <v>0</v>
      </c>
    </row>
    <row r="222" spans="1:3" x14ac:dyDescent="0.35">
      <c r="A222" s="5">
        <v>50</v>
      </c>
      <c r="B222" s="12">
        <f>Base_Scenario!R53</f>
        <v>12107.397721427587</v>
      </c>
      <c r="C222" s="12">
        <f>Stress_Scenario!R53</f>
        <v>0</v>
      </c>
    </row>
    <row r="223" spans="1:3" x14ac:dyDescent="0.35">
      <c r="A223" s="5">
        <v>51</v>
      </c>
      <c r="B223" s="12">
        <f>Base_Scenario!R54</f>
        <v>14261.359518958747</v>
      </c>
      <c r="C223" s="12">
        <f>Stress_Scenario!R54</f>
        <v>0</v>
      </c>
    </row>
    <row r="224" spans="1:3" x14ac:dyDescent="0.35">
      <c r="A224" s="5">
        <v>52</v>
      </c>
      <c r="B224" s="12">
        <f>Base_Scenario!R55</f>
        <v>12208.67377631041</v>
      </c>
      <c r="C224" s="12">
        <f>Stress_Scenario!R55</f>
        <v>0</v>
      </c>
    </row>
    <row r="225" spans="1:3" x14ac:dyDescent="0.35">
      <c r="A225" s="5">
        <v>53</v>
      </c>
      <c r="B225" s="12">
        <f>Base_Scenario!R56</f>
        <v>14295.073776310343</v>
      </c>
      <c r="C225" s="12">
        <f>Stress_Scenario!R56</f>
        <v>0</v>
      </c>
    </row>
    <row r="226" spans="1:3" x14ac:dyDescent="0.35">
      <c r="A226" s="5">
        <v>54</v>
      </c>
      <c r="B226" s="12">
        <f>Base_Scenario!R57</f>
        <v>13855.092532006856</v>
      </c>
      <c r="C226" s="12">
        <f>Stress_Scenario!R57</f>
        <v>0</v>
      </c>
    </row>
    <row r="227" spans="1:3" x14ac:dyDescent="0.35">
      <c r="A227" s="5">
        <v>55</v>
      </c>
      <c r="B227" s="12">
        <f>Base_Scenario!R58</f>
        <v>13263.26278721491</v>
      </c>
      <c r="C227" s="12">
        <f>Stress_Scenario!R58</f>
        <v>0</v>
      </c>
    </row>
    <row r="228" spans="1:3" x14ac:dyDescent="0.35">
      <c r="A228" s="5">
        <v>56</v>
      </c>
      <c r="B228" s="12">
        <f>Base_Scenario!R59</f>
        <v>13310.117017061042</v>
      </c>
      <c r="C228" s="12">
        <f>Stress_Scenario!R59</f>
        <v>0</v>
      </c>
    </row>
    <row r="229" spans="1:3" x14ac:dyDescent="0.35">
      <c r="A229" s="5">
        <v>57</v>
      </c>
      <c r="B229" s="12">
        <f>Base_Scenario!R60</f>
        <v>12606.987428527231</v>
      </c>
      <c r="C229" s="12">
        <f>Stress_Scenario!R60</f>
        <v>0</v>
      </c>
    </row>
    <row r="230" spans="1:3" x14ac:dyDescent="0.35">
      <c r="A230" s="5">
        <v>58</v>
      </c>
      <c r="B230" s="12">
        <f>Base_Scenario!R61</f>
        <v>12616.405960993652</v>
      </c>
      <c r="C230" s="12">
        <f>Stress_Scenario!R61</f>
        <v>0</v>
      </c>
    </row>
    <row r="231" spans="1:3" x14ac:dyDescent="0.35">
      <c r="A231" s="5">
        <v>59</v>
      </c>
      <c r="B231" s="12">
        <f>Base_Scenario!R62</f>
        <v>13604.104286780333</v>
      </c>
      <c r="C231" s="12">
        <f>Stress_Scenario!R62</f>
        <v>0</v>
      </c>
    </row>
    <row r="232" spans="1:3" x14ac:dyDescent="0.35">
      <c r="A232" s="5">
        <v>60</v>
      </c>
      <c r="B232" s="12">
        <f>Base_Scenario!R63</f>
        <v>12536.613811687734</v>
      </c>
      <c r="C232" s="12">
        <f>Stress_Scenario!R63</f>
        <v>0</v>
      </c>
    </row>
    <row r="233" spans="1:3" x14ac:dyDescent="0.35">
      <c r="A233" s="5">
        <v>61</v>
      </c>
      <c r="B233" s="12">
        <f>Base_Scenario!R64</f>
        <v>12102.065675536174</v>
      </c>
      <c r="C233" s="12">
        <f>Stress_Scenario!R64</f>
        <v>0</v>
      </c>
    </row>
    <row r="234" spans="1:3" x14ac:dyDescent="0.35">
      <c r="A234" s="5">
        <v>62</v>
      </c>
      <c r="B234" s="12">
        <f>Base_Scenario!R65</f>
        <v>12166.190752704246</v>
      </c>
      <c r="C234" s="12">
        <f>Stress_Scenario!R65</f>
        <v>0</v>
      </c>
    </row>
    <row r="235" spans="1:3" x14ac:dyDescent="0.35">
      <c r="A235" s="5">
        <v>63</v>
      </c>
      <c r="B235" s="12">
        <f>Base_Scenario!R66</f>
        <v>10655.519652666044</v>
      </c>
      <c r="C235" s="12">
        <f>Stress_Scenario!R66</f>
        <v>0</v>
      </c>
    </row>
    <row r="236" spans="1:3" x14ac:dyDescent="0.35">
      <c r="A236" s="5">
        <v>64</v>
      </c>
      <c r="B236" s="12">
        <f>Base_Scenario!R67</f>
        <v>7701.3827205274429</v>
      </c>
      <c r="C236" s="12">
        <f>Stress_Scenario!R67</f>
        <v>0</v>
      </c>
    </row>
    <row r="237" spans="1:3" x14ac:dyDescent="0.35">
      <c r="A237" s="5">
        <v>65</v>
      </c>
      <c r="B237" s="12">
        <f>Base_Scenario!R68</f>
        <v>6875.1100375611277</v>
      </c>
      <c r="C237" s="12">
        <f>Stress_Scenario!R68</f>
        <v>0</v>
      </c>
    </row>
    <row r="238" spans="1:3" x14ac:dyDescent="0.35">
      <c r="A238" s="5">
        <v>66</v>
      </c>
      <c r="B238" s="12">
        <f>Base_Scenario!R69</f>
        <v>7066.4314217406682</v>
      </c>
      <c r="C238" s="12">
        <f>Stress_Scenario!R69</f>
        <v>0</v>
      </c>
    </row>
    <row r="239" spans="1:3" x14ac:dyDescent="0.35">
      <c r="A239" s="5">
        <v>67</v>
      </c>
      <c r="B239" s="12">
        <f>Base_Scenario!R70</f>
        <v>5590.6764282734512</v>
      </c>
      <c r="C239" s="12">
        <f>Stress_Scenario!R70</f>
        <v>0</v>
      </c>
    </row>
    <row r="240" spans="1:3" x14ac:dyDescent="0.35">
      <c r="A240" s="5">
        <v>68</v>
      </c>
      <c r="B240" s="12">
        <f>Base_Scenario!R71</f>
        <v>4662.3743501325444</v>
      </c>
      <c r="C240" s="12">
        <f>Stress_Scenario!R71</f>
        <v>0</v>
      </c>
    </row>
    <row r="241" spans="1:3" x14ac:dyDescent="0.35">
      <c r="A241" s="5">
        <v>69</v>
      </c>
      <c r="B241" s="12">
        <f>Base_Scenario!R72</f>
        <v>2236.8542185875194</v>
      </c>
      <c r="C241" s="12">
        <f>Stress_Scenario!R72</f>
        <v>0</v>
      </c>
    </row>
    <row r="242" spans="1:3" x14ac:dyDescent="0.35">
      <c r="A242" s="5">
        <v>70</v>
      </c>
      <c r="B242" s="12">
        <f>Base_Scenario!R73</f>
        <v>1693.4448037341244</v>
      </c>
      <c r="C242" s="12">
        <f>Stress_Scenario!R73</f>
        <v>0</v>
      </c>
    </row>
    <row r="243" spans="1:3" x14ac:dyDescent="0.35">
      <c r="A243" s="5">
        <v>71</v>
      </c>
      <c r="B243" s="12">
        <f>Base_Scenario!R74</f>
        <v>2635.4746150229548</v>
      </c>
      <c r="C243" s="12">
        <f>Stress_Scenario!R74</f>
        <v>0</v>
      </c>
    </row>
    <row r="244" spans="1:3" x14ac:dyDescent="0.35">
      <c r="A244" s="5">
        <v>72</v>
      </c>
      <c r="B244" s="12">
        <f>Base_Scenario!R75</f>
        <v>1421.4719017870157</v>
      </c>
      <c r="C244" s="12">
        <f>Stress_Scenario!R75</f>
        <v>0</v>
      </c>
    </row>
    <row r="245" spans="1:3" x14ac:dyDescent="0.35">
      <c r="A245" s="5">
        <v>73</v>
      </c>
      <c r="B245" s="12">
        <f>Base_Scenario!R76</f>
        <v>2173.1646537682536</v>
      </c>
      <c r="C245" s="12">
        <f>Stress_Scenario!R76</f>
        <v>0</v>
      </c>
    </row>
    <row r="246" spans="1:3" x14ac:dyDescent="0.35">
      <c r="A246" s="5">
        <v>74</v>
      </c>
      <c r="B246" s="12">
        <f>Base_Scenario!R77</f>
        <v>0</v>
      </c>
      <c r="C246" s="12">
        <f>Stress_Scenario!R77</f>
        <v>0</v>
      </c>
    </row>
    <row r="247" spans="1:3" x14ac:dyDescent="0.35">
      <c r="A247" s="5">
        <v>75</v>
      </c>
      <c r="B247" s="12">
        <f>Base_Scenario!R78</f>
        <v>0</v>
      </c>
      <c r="C247" s="12">
        <f>Stress_Scenario!R78</f>
        <v>0</v>
      </c>
    </row>
    <row r="248" spans="1:3" x14ac:dyDescent="0.35">
      <c r="A248" s="5">
        <v>76</v>
      </c>
      <c r="B248" s="12">
        <f>Base_Scenario!R79</f>
        <v>0</v>
      </c>
      <c r="C248" s="12">
        <f>Stress_Scenario!R79</f>
        <v>0</v>
      </c>
    </row>
    <row r="249" spans="1:3" x14ac:dyDescent="0.35">
      <c r="A249" s="5">
        <v>77</v>
      </c>
      <c r="B249" s="12">
        <f>Base_Scenario!R80</f>
        <v>0</v>
      </c>
      <c r="C249" s="12">
        <f>Stress_Scenario!R80</f>
        <v>0</v>
      </c>
    </row>
    <row r="250" spans="1:3" x14ac:dyDescent="0.35">
      <c r="A250" s="5">
        <v>78</v>
      </c>
      <c r="B250" s="12">
        <f>Base_Scenario!R81</f>
        <v>0</v>
      </c>
      <c r="C250" s="12">
        <f>Stress_Scenario!R81</f>
        <v>0</v>
      </c>
    </row>
    <row r="251" spans="1:3" x14ac:dyDescent="0.35">
      <c r="A251" s="5">
        <v>79</v>
      </c>
      <c r="B251" s="12">
        <f>Base_Scenario!R82</f>
        <v>0</v>
      </c>
      <c r="C251" s="12">
        <f>Stress_Scenario!R82</f>
        <v>0</v>
      </c>
    </row>
    <row r="252" spans="1:3" x14ac:dyDescent="0.35">
      <c r="A252" s="5">
        <v>80</v>
      </c>
      <c r="B252" s="12">
        <f>Base_Scenario!R83</f>
        <v>326.32302570053798</v>
      </c>
      <c r="C252" s="12">
        <f>Stress_Scenario!R83</f>
        <v>0</v>
      </c>
    </row>
  </sheetData>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74D6C390916B4A8494C33A5D3CA82B" ma:contentTypeVersion="18" ma:contentTypeDescription="Create a new document." ma:contentTypeScope="" ma:versionID="061ed7418ccd0ab96bbd5383361f11e3">
  <xsd:schema xmlns:xsd="http://www.w3.org/2001/XMLSchema" xmlns:xs="http://www.w3.org/2001/XMLSchema" xmlns:p="http://schemas.microsoft.com/office/2006/metadata/properties" xmlns:ns1="http://schemas.microsoft.com/sharepoint/v3" xmlns:ns2="307a12b3-3a39-4e5f-afa6-4629bb16037e" xmlns:ns3="1f0d55de-41a8-442a-939a-8c7a93a15acc" targetNamespace="http://schemas.microsoft.com/office/2006/metadata/properties" ma:root="true" ma:fieldsID="d0fab99a09af8f4f7597e523ca27625f" ns1:_="" ns2:_="" ns3:_="">
    <xsd:import namespace="http://schemas.microsoft.com/sharepoint/v3"/>
    <xsd:import namespace="307a12b3-3a39-4e5f-afa6-4629bb16037e"/>
    <xsd:import namespace="1f0d55de-41a8-442a-939a-8c7a93a15a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7a12b3-3a39-4e5f-afa6-4629bb160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90f828-4d96-4d10-bc53-6c3febba0be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d55de-41a8-442a-939a-8c7a93a15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38ea2c-1d97-4ed9-8a85-6ab57bb76901}" ma:internalName="TaxCatchAll" ma:showField="CatchAllData" ma:web="1f0d55de-41a8-442a-939a-8c7a93a15ac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7a12b3-3a39-4e5f-afa6-4629bb16037e">
      <Terms xmlns="http://schemas.microsoft.com/office/infopath/2007/PartnerControls"/>
    </lcf76f155ced4ddcb4097134ff3c332f>
    <_ip_UnifiedCompliancePolicyUIAction xmlns="http://schemas.microsoft.com/sharepoint/v3" xsi:nil="true"/>
    <TaxCatchAll xmlns="1f0d55de-41a8-442a-939a-8c7a93a15acc"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0373D0-F474-497B-98AB-E7CAB9384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7a12b3-3a39-4e5f-afa6-4629bb16037e"/>
    <ds:schemaRef ds:uri="1f0d55de-41a8-442a-939a-8c7a93a1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45D6AE-2984-473E-B3C3-6715B566B6D0}">
  <ds:schemaRefs>
    <ds:schemaRef ds:uri="http://schemas.microsoft.com/office/2006/metadata/properties"/>
    <ds:schemaRef ds:uri="http://schemas.microsoft.com/office/infopath/2007/PartnerControls"/>
    <ds:schemaRef ds:uri="307a12b3-3a39-4e5f-afa6-4629bb16037e"/>
    <ds:schemaRef ds:uri="http://schemas.microsoft.com/sharepoint/v3"/>
    <ds:schemaRef ds:uri="1f0d55de-41a8-442a-939a-8c7a93a15acc"/>
  </ds:schemaRefs>
</ds:datastoreItem>
</file>

<file path=customXml/itemProps3.xml><?xml version="1.0" encoding="utf-8"?>
<ds:datastoreItem xmlns:ds="http://schemas.openxmlformats.org/officeDocument/2006/customXml" ds:itemID="{398ACA23-A6C1-41EE-A1C6-1C209AC2FD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Audit Trail</vt:lpstr>
      <vt:lpstr>Parameters</vt:lpstr>
      <vt:lpstr>Stress_Data</vt:lpstr>
      <vt:lpstr>Demand_Volatility</vt:lpstr>
      <vt:lpstr>JB_Test</vt:lpstr>
      <vt:lpstr>Base_Scenario</vt:lpstr>
      <vt:lpstr>Stress_Scenario</vt:lpstr>
      <vt:lpstr>Sense Checks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2026-03-09T12:52:16Z</dcterms:created>
  <dcterms:modified xsi:type="dcterms:W3CDTF">2026-08-12T09:40:57Z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{15F193A5-F539-45AD-9E11-C674E58C214F}</vt:lpwstr>
  </property>
  <property fmtid="{D5CDD505-2E9C-101B-9397-08002B2CF9AE}" pid="3" name="ContentTypeId">
    <vt:lpwstr>0x010100FE74D6C390916B4A8494C33A5D3CA82B</vt:lpwstr>
  </property>
  <property fmtid="{D5CDD505-2E9C-101B-9397-08002B2CF9AE}" pid="4" name="MediaServiceImageTags">
    <vt:lpwstr/>
  </property>
</Properties>
</file>