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yotiShinde-SeniorMa\Desktop\May 26\Solution checking\CM\"/>
    </mc:Choice>
  </mc:AlternateContent>
  <xr:revisionPtr revIDLastSave="0" documentId="13_ncr:1_{61DD6502-EAB0-41FD-B1B3-AABB91580C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1 Data" sheetId="1" r:id="rId1"/>
    <sheet name="Q1(i)" sheetId="2" r:id="rId2"/>
    <sheet name="Q1(ii)" sheetId="3" r:id="rId3"/>
    <sheet name="Q1(iii)" sheetId="4" r:id="rId4"/>
    <sheet name="Q1(iv)" sheetId="5" r:id="rId5"/>
    <sheet name="Q1(v)" sheetId="16" r:id="rId6"/>
    <sheet name="Q2(i)" sheetId="6" r:id="rId7"/>
    <sheet name="Q2(ii)" sheetId="7" r:id="rId8"/>
    <sheet name="Q2(iii)" sheetId="12" r:id="rId9"/>
    <sheet name="Q3 Data" sheetId="8" r:id="rId10"/>
    <sheet name="Q3(i)" sheetId="9" r:id="rId11"/>
    <sheet name="Q3(ii)" sheetId="10" r:id="rId12"/>
    <sheet name="Q3(iii)" sheetId="11" r:id="rId13"/>
    <sheet name="Q3(iv)" sheetId="15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3" l="1"/>
  <c r="M9" i="16"/>
  <c r="K18" i="16"/>
  <c r="K17" i="16"/>
  <c r="K16" i="16"/>
  <c r="K15" i="16"/>
  <c r="K14" i="16"/>
  <c r="K13" i="16"/>
  <c r="K12" i="16"/>
  <c r="K11" i="16"/>
  <c r="K10" i="16"/>
  <c r="K9" i="16"/>
  <c r="J18" i="16"/>
  <c r="J17" i="16"/>
  <c r="J16" i="16"/>
  <c r="J15" i="16"/>
  <c r="J14" i="16"/>
  <c r="J13" i="16"/>
  <c r="J12" i="16"/>
  <c r="J11" i="16"/>
  <c r="J10" i="16"/>
  <c r="J9" i="16"/>
  <c r="I9" i="16"/>
  <c r="I10" i="16" s="1"/>
  <c r="I11" i="16" s="1"/>
  <c r="I12" i="16" s="1"/>
  <c r="I13" i="16" s="1"/>
  <c r="I14" i="16" s="1"/>
  <c r="I15" i="16" s="1"/>
  <c r="I16" i="16" s="1"/>
  <c r="I17" i="16" s="1"/>
  <c r="I18" i="16" s="1"/>
  <c r="H9" i="16"/>
  <c r="H10" i="16" s="1"/>
  <c r="H11" i="16" s="1"/>
  <c r="H12" i="16" s="1"/>
  <c r="H13" i="16" s="1"/>
  <c r="H14" i="16" s="1"/>
  <c r="H15" i="16" s="1"/>
  <c r="H16" i="16" s="1"/>
  <c r="H17" i="16" s="1"/>
  <c r="H18" i="16" s="1"/>
  <c r="G18" i="16"/>
  <c r="G17" i="16"/>
  <c r="G16" i="16"/>
  <c r="G15" i="16"/>
  <c r="G14" i="16"/>
  <c r="G13" i="16"/>
  <c r="G12" i="16"/>
  <c r="G11" i="16"/>
  <c r="G10" i="16"/>
  <c r="G9" i="16"/>
  <c r="F10" i="16"/>
  <c r="F11" i="16" s="1"/>
  <c r="L14" i="16" l="1"/>
  <c r="P14" i="16" s="1"/>
  <c r="L15" i="16"/>
  <c r="P15" i="16" s="1"/>
  <c r="L16" i="16"/>
  <c r="P16" i="16" s="1"/>
  <c r="L9" i="16"/>
  <c r="N9" i="16" s="1"/>
  <c r="L17" i="16"/>
  <c r="P17" i="16" s="1"/>
  <c r="L10" i="16"/>
  <c r="P10" i="16" s="1"/>
  <c r="L18" i="16"/>
  <c r="P18" i="16" s="1"/>
  <c r="L13" i="16"/>
  <c r="P13" i="16" s="1"/>
  <c r="L11" i="16"/>
  <c r="P11" i="16" s="1"/>
  <c r="M10" i="16"/>
  <c r="F12" i="16"/>
  <c r="M11" i="16"/>
  <c r="L12" i="16"/>
  <c r="P12" i="16" s="1"/>
  <c r="Q11" i="16" l="1"/>
  <c r="P9" i="16"/>
  <c r="Q9" i="16" s="1"/>
  <c r="N11" i="16"/>
  <c r="N10" i="16"/>
  <c r="Q10" i="16"/>
  <c r="F13" i="16"/>
  <c r="M12" i="16"/>
  <c r="N12" i="16" l="1"/>
  <c r="Q12" i="16"/>
  <c r="F14" i="16"/>
  <c r="M13" i="16"/>
  <c r="Q13" i="16" l="1"/>
  <c r="N13" i="16"/>
  <c r="F15" i="16"/>
  <c r="M14" i="16"/>
  <c r="N14" i="16" l="1"/>
  <c r="Q14" i="16"/>
  <c r="F16" i="16"/>
  <c r="M15" i="16"/>
  <c r="N15" i="16" l="1"/>
  <c r="Q15" i="16"/>
  <c r="F17" i="16"/>
  <c r="M16" i="16"/>
  <c r="N16" i="16" l="1"/>
  <c r="Q16" i="16"/>
  <c r="F18" i="16"/>
  <c r="M18" i="16" s="1"/>
  <c r="M17" i="16"/>
  <c r="N17" i="16" l="1"/>
  <c r="Q17" i="16"/>
  <c r="N18" i="16"/>
  <c r="Q18" i="16"/>
  <c r="Q19" i="16" l="1"/>
  <c r="L3" i="16" s="1"/>
  <c r="N19" i="16"/>
  <c r="L2" i="16" s="1"/>
  <c r="S13" i="4"/>
  <c r="Z13" i="4" s="1"/>
  <c r="S13" i="3"/>
  <c r="Y13" i="3" s="1"/>
  <c r="S13" i="2"/>
  <c r="Z13" i="2" s="1"/>
  <c r="F5" i="15"/>
  <c r="F8" i="15"/>
  <c r="F14" i="15" s="1"/>
  <c r="E14" i="15"/>
  <c r="C15" i="15"/>
  <c r="C16" i="15" s="1"/>
  <c r="C17" i="15" s="1"/>
  <c r="C18" i="15" s="1"/>
  <c r="C19" i="15" s="1"/>
  <c r="C20" i="15" s="1"/>
  <c r="C21" i="15" s="1"/>
  <c r="C22" i="15" s="1"/>
  <c r="C23" i="15" s="1"/>
  <c r="C24" i="15" s="1"/>
  <c r="C25" i="15" s="1"/>
  <c r="C26" i="15" s="1"/>
  <c r="C27" i="15" s="1"/>
  <c r="C28" i="15" s="1"/>
  <c r="C29" i="15" s="1"/>
  <c r="C30" i="15" s="1"/>
  <c r="C31" i="15" s="1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C49" i="15" s="1"/>
  <c r="C50" i="15" s="1"/>
  <c r="C51" i="15" s="1"/>
  <c r="C52" i="15" s="1"/>
  <c r="C53" i="15" s="1"/>
  <c r="C54" i="15" s="1"/>
  <c r="C55" i="15" s="1"/>
  <c r="C56" i="15" s="1"/>
  <c r="C57" i="15" s="1"/>
  <c r="C58" i="15" s="1"/>
  <c r="C59" i="15" s="1"/>
  <c r="C60" i="15" s="1"/>
  <c r="C61" i="15" s="1"/>
  <c r="C62" i="15" s="1"/>
  <c r="C63" i="15" s="1"/>
  <c r="C64" i="15" s="1"/>
  <c r="C65" i="15" s="1"/>
  <c r="C66" i="15" s="1"/>
  <c r="C67" i="15" s="1"/>
  <c r="C68" i="15" s="1"/>
  <c r="C69" i="15" s="1"/>
  <c r="C70" i="15" s="1"/>
  <c r="C71" i="15" s="1"/>
  <c r="C72" i="15" s="1"/>
  <c r="C73" i="15" s="1"/>
  <c r="G12" i="12"/>
  <c r="H12" i="12" s="1"/>
  <c r="M4" i="12"/>
  <c r="M5" i="12" s="1"/>
  <c r="M7" i="12" s="1"/>
  <c r="F32" i="12" s="1"/>
  <c r="E32" i="12"/>
  <c r="F7" i="12"/>
  <c r="C32" i="12" s="1"/>
  <c r="D32" i="12" s="1"/>
  <c r="A13" i="12"/>
  <c r="B14" i="12"/>
  <c r="A14" i="12" s="1"/>
  <c r="F4" i="12"/>
  <c r="D22" i="11"/>
  <c r="C22" i="11"/>
  <c r="C21" i="11"/>
  <c r="E21" i="11" s="1"/>
  <c r="C20" i="11"/>
  <c r="E20" i="11" s="1"/>
  <c r="C19" i="11"/>
  <c r="E19" i="11" s="1"/>
  <c r="C18" i="11"/>
  <c r="E18" i="11" s="1"/>
  <c r="D12" i="11"/>
  <c r="C12" i="11"/>
  <c r="C11" i="11"/>
  <c r="E11" i="11" s="1"/>
  <c r="C10" i="11"/>
  <c r="E10" i="11" s="1"/>
  <c r="C9" i="11"/>
  <c r="E9" i="11" s="1"/>
  <c r="C8" i="11"/>
  <c r="E8" i="11" s="1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E4" i="10" s="1"/>
  <c r="F18" i="11" s="1"/>
  <c r="G18" i="11" s="1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0" i="7"/>
  <c r="E13" i="7"/>
  <c r="E12" i="7"/>
  <c r="E11" i="7"/>
  <c r="B11" i="7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C3" i="7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C3" i="6"/>
  <c r="B18" i="6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C12" i="6"/>
  <c r="C11" i="6"/>
  <c r="C10" i="6"/>
  <c r="C9" i="6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B8" i="5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AH12" i="4"/>
  <c r="AI13" i="4" s="1"/>
  <c r="V27" i="4"/>
  <c r="M27" i="4"/>
  <c r="V26" i="4"/>
  <c r="M26" i="4"/>
  <c r="V25" i="4"/>
  <c r="M25" i="4"/>
  <c r="V24" i="4"/>
  <c r="M24" i="4"/>
  <c r="V23" i="4"/>
  <c r="M23" i="4"/>
  <c r="V22" i="4"/>
  <c r="M22" i="4"/>
  <c r="V21" i="4"/>
  <c r="M21" i="4"/>
  <c r="V20" i="4"/>
  <c r="M20" i="4"/>
  <c r="V19" i="4"/>
  <c r="M19" i="4"/>
  <c r="V18" i="4"/>
  <c r="M18" i="4"/>
  <c r="V17" i="4"/>
  <c r="M17" i="4"/>
  <c r="V16" i="4"/>
  <c r="M16" i="4"/>
  <c r="V15" i="4"/>
  <c r="M15" i="4"/>
  <c r="V14" i="4"/>
  <c r="T14" i="4"/>
  <c r="T15" i="4" s="1"/>
  <c r="T16" i="4" s="1"/>
  <c r="M14" i="4"/>
  <c r="B14" i="4"/>
  <c r="AM13" i="4"/>
  <c r="U13" i="4"/>
  <c r="AA13" i="4" s="1"/>
  <c r="O13" i="4"/>
  <c r="M13" i="4"/>
  <c r="F13" i="4"/>
  <c r="J13" i="4" s="1"/>
  <c r="C13" i="4"/>
  <c r="C14" i="4" s="1"/>
  <c r="B8" i="4"/>
  <c r="R24" i="4" s="1"/>
  <c r="B7" i="4"/>
  <c r="Q27" i="4" s="1"/>
  <c r="AI13" i="2"/>
  <c r="E5" i="3"/>
  <c r="T14" i="3" s="1"/>
  <c r="T15" i="3" s="1"/>
  <c r="T16" i="3" s="1"/>
  <c r="T17" i="3" s="1"/>
  <c r="B8" i="3"/>
  <c r="R16" i="3" s="1"/>
  <c r="B7" i="3"/>
  <c r="Q27" i="3" s="1"/>
  <c r="B8" i="2"/>
  <c r="R27" i="2" s="1"/>
  <c r="B7" i="2"/>
  <c r="Q27" i="2" s="1"/>
  <c r="T14" i="2"/>
  <c r="AG27" i="3"/>
  <c r="V27" i="3"/>
  <c r="M27" i="3"/>
  <c r="V26" i="3"/>
  <c r="M26" i="3"/>
  <c r="V25" i="3"/>
  <c r="M25" i="3"/>
  <c r="V24" i="3"/>
  <c r="M24" i="3"/>
  <c r="V23" i="3"/>
  <c r="M23" i="3"/>
  <c r="V22" i="3"/>
  <c r="M22" i="3"/>
  <c r="V21" i="3"/>
  <c r="M21" i="3"/>
  <c r="V20" i="3"/>
  <c r="M20" i="3"/>
  <c r="V19" i="3"/>
  <c r="M19" i="3"/>
  <c r="V18" i="3"/>
  <c r="M18" i="3"/>
  <c r="V17" i="3"/>
  <c r="M17" i="3"/>
  <c r="V16" i="3"/>
  <c r="M16" i="3"/>
  <c r="V15" i="3"/>
  <c r="M15" i="3"/>
  <c r="V14" i="3"/>
  <c r="M14" i="3"/>
  <c r="B14" i="3"/>
  <c r="B15" i="3" s="1"/>
  <c r="U13" i="3"/>
  <c r="Z13" i="3" s="1"/>
  <c r="O13" i="3"/>
  <c r="M13" i="3"/>
  <c r="F13" i="3"/>
  <c r="J13" i="3" s="1"/>
  <c r="C13" i="3"/>
  <c r="C14" i="3" s="1"/>
  <c r="E14" i="3" s="1"/>
  <c r="AM13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U13" i="2"/>
  <c r="AA13" i="2" s="1"/>
  <c r="O13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N13" i="2" s="1"/>
  <c r="W13" i="2" s="1"/>
  <c r="F13" i="2"/>
  <c r="J13" i="2" s="1"/>
  <c r="C13" i="2"/>
  <c r="C14" i="2" s="1"/>
  <c r="E14" i="2" s="1"/>
  <c r="B14" i="2"/>
  <c r="B15" i="2" s="1"/>
  <c r="AM15" i="2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12" i="11" l="1"/>
  <c r="E13" i="10"/>
  <c r="E14" i="10"/>
  <c r="E9" i="10"/>
  <c r="E7" i="10"/>
  <c r="F21" i="11" s="1"/>
  <c r="E21" i="10"/>
  <c r="E15" i="10"/>
  <c r="E5" i="10"/>
  <c r="F19" i="11" s="1"/>
  <c r="G19" i="11" s="1"/>
  <c r="E17" i="10"/>
  <c r="E6" i="10"/>
  <c r="F20" i="11" s="1"/>
  <c r="E18" i="10"/>
  <c r="F9" i="11"/>
  <c r="G9" i="11" s="1"/>
  <c r="H9" i="11" s="1"/>
  <c r="I12" i="12"/>
  <c r="E10" i="10"/>
  <c r="E22" i="10"/>
  <c r="E12" i="10"/>
  <c r="E23" i="10"/>
  <c r="E16" i="10"/>
  <c r="E22" i="11"/>
  <c r="E19" i="10"/>
  <c r="R23" i="4"/>
  <c r="E8" i="10"/>
  <c r="F22" i="11" s="1"/>
  <c r="E20" i="10"/>
  <c r="H18" i="11"/>
  <c r="H32" i="12"/>
  <c r="E11" i="10"/>
  <c r="F8" i="11"/>
  <c r="G8" i="11" s="1"/>
  <c r="H8" i="11" s="1"/>
  <c r="F14" i="4"/>
  <c r="F10" i="11"/>
  <c r="G10" i="11" s="1"/>
  <c r="H10" i="11" s="1"/>
  <c r="F11" i="11"/>
  <c r="G11" i="11" s="1"/>
  <c r="H11" i="11" s="1"/>
  <c r="G14" i="15"/>
  <c r="D15" i="15" s="1"/>
  <c r="F15" i="15" s="1"/>
  <c r="O15" i="3"/>
  <c r="F12" i="11"/>
  <c r="G12" i="11" s="1"/>
  <c r="H12" i="11" s="1"/>
  <c r="R14" i="4"/>
  <c r="R18" i="4"/>
  <c r="C22" i="5"/>
  <c r="F5" i="5" s="1"/>
  <c r="E15" i="15"/>
  <c r="E16" i="15" s="1"/>
  <c r="E17" i="15" s="1"/>
  <c r="E18" i="15" s="1"/>
  <c r="E19" i="15" s="1"/>
  <c r="E20" i="15" s="1"/>
  <c r="E21" i="15" s="1"/>
  <c r="E22" i="15" s="1"/>
  <c r="E23" i="15" s="1"/>
  <c r="E24" i="15" s="1"/>
  <c r="E25" i="15" s="1"/>
  <c r="E26" i="15" s="1"/>
  <c r="E27" i="15" s="1"/>
  <c r="E28" i="15" s="1"/>
  <c r="E29" i="15" s="1"/>
  <c r="E30" i="15" s="1"/>
  <c r="E31" i="15" s="1"/>
  <c r="E32" i="15" s="1"/>
  <c r="E33" i="15" s="1"/>
  <c r="E34" i="15" s="1"/>
  <c r="E35" i="15" s="1"/>
  <c r="E36" i="15" s="1"/>
  <c r="E37" i="15" s="1"/>
  <c r="E38" i="15" s="1"/>
  <c r="E39" i="15" s="1"/>
  <c r="E40" i="15" s="1"/>
  <c r="E41" i="15" s="1"/>
  <c r="E42" i="15" s="1"/>
  <c r="E43" i="15" s="1"/>
  <c r="E44" i="15" s="1"/>
  <c r="E45" i="15" s="1"/>
  <c r="E46" i="15" s="1"/>
  <c r="E47" i="15" s="1"/>
  <c r="E48" i="15" s="1"/>
  <c r="E49" i="15" s="1"/>
  <c r="E50" i="15" s="1"/>
  <c r="E51" i="15" s="1"/>
  <c r="E52" i="15" s="1"/>
  <c r="E53" i="15" s="1"/>
  <c r="E54" i="15" s="1"/>
  <c r="E55" i="15" s="1"/>
  <c r="E56" i="15" s="1"/>
  <c r="E57" i="15" s="1"/>
  <c r="E58" i="15" s="1"/>
  <c r="E59" i="15" s="1"/>
  <c r="E60" i="15" s="1"/>
  <c r="E61" i="15" s="1"/>
  <c r="E62" i="15" s="1"/>
  <c r="E63" i="15" s="1"/>
  <c r="E64" i="15" s="1"/>
  <c r="E65" i="15" s="1"/>
  <c r="E66" i="15" s="1"/>
  <c r="E67" i="15" s="1"/>
  <c r="E68" i="15" s="1"/>
  <c r="E69" i="15" s="1"/>
  <c r="E70" i="15" s="1"/>
  <c r="E71" i="15" s="1"/>
  <c r="E72" i="15" s="1"/>
  <c r="E73" i="15" s="1"/>
  <c r="C26" i="12"/>
  <c r="C27" i="12"/>
  <c r="C14" i="12"/>
  <c r="C17" i="12"/>
  <c r="C18" i="12"/>
  <c r="C19" i="12"/>
  <c r="C20" i="12"/>
  <c r="C21" i="12"/>
  <c r="C22" i="12"/>
  <c r="C23" i="12"/>
  <c r="C24" i="12"/>
  <c r="C25" i="12"/>
  <c r="C30" i="12"/>
  <c r="C28" i="12"/>
  <c r="C13" i="12"/>
  <c r="C29" i="12"/>
  <c r="C15" i="12"/>
  <c r="C31" i="12"/>
  <c r="C16" i="12"/>
  <c r="B15" i="12"/>
  <c r="D9" i="6"/>
  <c r="E9" i="6" s="1"/>
  <c r="D11" i="6"/>
  <c r="E11" i="6" s="1"/>
  <c r="D10" i="6"/>
  <c r="E10" i="6" s="1"/>
  <c r="D12" i="6"/>
  <c r="E12" i="6" s="1"/>
  <c r="O14" i="4"/>
  <c r="N25" i="3"/>
  <c r="R25" i="3"/>
  <c r="B15" i="4"/>
  <c r="F15" i="4" s="1"/>
  <c r="R20" i="3"/>
  <c r="R15" i="4"/>
  <c r="R27" i="4"/>
  <c r="E13" i="4"/>
  <c r="I13" i="4" s="1"/>
  <c r="K13" i="4" s="1"/>
  <c r="H14" i="4" s="1"/>
  <c r="N25" i="4"/>
  <c r="N22" i="4"/>
  <c r="AM14" i="4"/>
  <c r="R22" i="4"/>
  <c r="R15" i="3"/>
  <c r="R19" i="4"/>
  <c r="R26" i="4"/>
  <c r="E13" i="3"/>
  <c r="I13" i="3" s="1"/>
  <c r="N14" i="2"/>
  <c r="W14" i="2" s="1"/>
  <c r="T17" i="4"/>
  <c r="E14" i="4"/>
  <c r="C15" i="4"/>
  <c r="N14" i="4"/>
  <c r="N26" i="4"/>
  <c r="N18" i="4"/>
  <c r="N13" i="4"/>
  <c r="N21" i="4"/>
  <c r="R13" i="4"/>
  <c r="R17" i="4"/>
  <c r="R21" i="4"/>
  <c r="R25" i="4"/>
  <c r="N17" i="4"/>
  <c r="N16" i="4"/>
  <c r="N20" i="4"/>
  <c r="N24" i="4"/>
  <c r="Y13" i="4"/>
  <c r="R16" i="4"/>
  <c r="R20" i="4"/>
  <c r="N15" i="4"/>
  <c r="N19" i="4"/>
  <c r="N23" i="4"/>
  <c r="N27" i="4"/>
  <c r="AM14" i="2"/>
  <c r="R13" i="3"/>
  <c r="R17" i="3"/>
  <c r="R23" i="3"/>
  <c r="R18" i="3"/>
  <c r="N24" i="3"/>
  <c r="R22" i="3"/>
  <c r="R27" i="3"/>
  <c r="O14" i="3"/>
  <c r="R24" i="3"/>
  <c r="R26" i="3"/>
  <c r="F14" i="3"/>
  <c r="R19" i="3"/>
  <c r="R14" i="3"/>
  <c r="N17" i="3"/>
  <c r="T18" i="3"/>
  <c r="N16" i="3"/>
  <c r="N14" i="3"/>
  <c r="N15" i="3"/>
  <c r="N22" i="3"/>
  <c r="C15" i="3"/>
  <c r="E15" i="3" s="1"/>
  <c r="F15" i="3"/>
  <c r="B16" i="3"/>
  <c r="N23" i="3"/>
  <c r="N26" i="3"/>
  <c r="N20" i="3"/>
  <c r="R21" i="3"/>
  <c r="N21" i="3"/>
  <c r="N13" i="3"/>
  <c r="N19" i="3"/>
  <c r="N27" i="3"/>
  <c r="X13" i="3"/>
  <c r="N18" i="3"/>
  <c r="F14" i="2"/>
  <c r="E13" i="2"/>
  <c r="I13" i="2" s="1"/>
  <c r="K13" i="2" s="1"/>
  <c r="AD13" i="2" s="1"/>
  <c r="O14" i="2"/>
  <c r="R13" i="2"/>
  <c r="R14" i="2"/>
  <c r="N27" i="2"/>
  <c r="T15" i="2"/>
  <c r="P13" i="2"/>
  <c r="AB13" i="2" s="1"/>
  <c r="N26" i="2"/>
  <c r="W26" i="2" s="1"/>
  <c r="N20" i="2"/>
  <c r="W20" i="2" s="1"/>
  <c r="N18" i="2"/>
  <c r="W18" i="2" s="1"/>
  <c r="N16" i="2"/>
  <c r="W16" i="2" s="1"/>
  <c r="N25" i="2"/>
  <c r="W25" i="2" s="1"/>
  <c r="N24" i="2"/>
  <c r="W24" i="2" s="1"/>
  <c r="N23" i="2"/>
  <c r="W23" i="2" s="1"/>
  <c r="N22" i="2"/>
  <c r="W22" i="2" s="1"/>
  <c r="N21" i="2"/>
  <c r="W21" i="2" s="1"/>
  <c r="N19" i="2"/>
  <c r="W19" i="2" s="1"/>
  <c r="N17" i="2"/>
  <c r="W17" i="2" s="1"/>
  <c r="N15" i="2"/>
  <c r="W15" i="2" s="1"/>
  <c r="B16" i="2"/>
  <c r="F15" i="2"/>
  <c r="C15" i="2"/>
  <c r="O15" i="2"/>
  <c r="Y13" i="2"/>
  <c r="R26" i="2"/>
  <c r="R25" i="2"/>
  <c r="R20" i="2"/>
  <c r="R18" i="2"/>
  <c r="R16" i="2"/>
  <c r="R24" i="2"/>
  <c r="R23" i="2"/>
  <c r="R22" i="2"/>
  <c r="R21" i="2"/>
  <c r="R19" i="2"/>
  <c r="R17" i="2"/>
  <c r="R15" i="2"/>
  <c r="G20" i="11" l="1"/>
  <c r="G21" i="11" s="1"/>
  <c r="G22" i="11" s="1"/>
  <c r="H22" i="11" s="1"/>
  <c r="AH13" i="2"/>
  <c r="AJ13" i="2" s="1"/>
  <c r="H4" i="11"/>
  <c r="H13" i="11"/>
  <c r="H21" i="11"/>
  <c r="H19" i="11"/>
  <c r="AD13" i="4"/>
  <c r="G15" i="15"/>
  <c r="D16" i="15" s="1"/>
  <c r="F16" i="15" s="1"/>
  <c r="D30" i="12"/>
  <c r="H30" i="12" s="1"/>
  <c r="D21" i="12"/>
  <c r="H21" i="12" s="1"/>
  <c r="D28" i="12"/>
  <c r="H28" i="12" s="1"/>
  <c r="D26" i="12"/>
  <c r="H26" i="12" s="1"/>
  <c r="D25" i="12"/>
  <c r="H25" i="12" s="1"/>
  <c r="D24" i="12"/>
  <c r="H24" i="12" s="1"/>
  <c r="D23" i="12"/>
  <c r="H23" i="12" s="1"/>
  <c r="D22" i="12"/>
  <c r="H22" i="12" s="1"/>
  <c r="D20" i="12"/>
  <c r="H20" i="12" s="1"/>
  <c r="D19" i="12"/>
  <c r="H19" i="12" s="1"/>
  <c r="D18" i="12"/>
  <c r="H18" i="12" s="1"/>
  <c r="D17" i="12"/>
  <c r="H17" i="12" s="1"/>
  <c r="D16" i="12"/>
  <c r="H16" i="12" s="1"/>
  <c r="D14" i="12"/>
  <c r="H14" i="12" s="1"/>
  <c r="I14" i="12" s="1"/>
  <c r="D31" i="12"/>
  <c r="H31" i="12" s="1"/>
  <c r="D27" i="12"/>
  <c r="H27" i="12" s="1"/>
  <c r="D15" i="12"/>
  <c r="H15" i="12" s="1"/>
  <c r="I15" i="12" s="1"/>
  <c r="D29" i="12"/>
  <c r="H29" i="12" s="1"/>
  <c r="D13" i="12"/>
  <c r="H13" i="12" s="1"/>
  <c r="I13" i="12" s="1"/>
  <c r="A15" i="12"/>
  <c r="B16" i="12"/>
  <c r="E13" i="6"/>
  <c r="C17" i="6" s="1"/>
  <c r="AA14" i="4"/>
  <c r="Z14" i="4"/>
  <c r="Y14" i="4"/>
  <c r="AC13" i="4"/>
  <c r="O15" i="4"/>
  <c r="P15" i="4" s="1"/>
  <c r="B16" i="4"/>
  <c r="AM15" i="4"/>
  <c r="P14" i="2"/>
  <c r="H14" i="2"/>
  <c r="AA14" i="2" s="1"/>
  <c r="P14" i="4"/>
  <c r="E15" i="4"/>
  <c r="C16" i="4"/>
  <c r="AE13" i="4"/>
  <c r="T18" i="4"/>
  <c r="J14" i="4"/>
  <c r="I14" i="4"/>
  <c r="AC14" i="4" s="1"/>
  <c r="P13" i="4"/>
  <c r="AB13" i="4" s="1"/>
  <c r="P15" i="2"/>
  <c r="AC13" i="2"/>
  <c r="AD13" i="3"/>
  <c r="K13" i="3"/>
  <c r="AB13" i="3"/>
  <c r="P14" i="3"/>
  <c r="P15" i="3"/>
  <c r="P13" i="3"/>
  <c r="AA13" i="3" s="1"/>
  <c r="F16" i="3"/>
  <c r="B17" i="3"/>
  <c r="O16" i="3"/>
  <c r="P16" i="3" s="1"/>
  <c r="C16" i="3"/>
  <c r="E16" i="3" s="1"/>
  <c r="T19" i="3"/>
  <c r="E15" i="2"/>
  <c r="C16" i="2"/>
  <c r="B17" i="2"/>
  <c r="AM16" i="2"/>
  <c r="F16" i="2"/>
  <c r="O16" i="2"/>
  <c r="P16" i="2" s="1"/>
  <c r="AE13" i="2"/>
  <c r="T16" i="2"/>
  <c r="H20" i="11" l="1"/>
  <c r="H23" i="11" s="1"/>
  <c r="AI14" i="2"/>
  <c r="K14" i="4"/>
  <c r="I16" i="12"/>
  <c r="AB14" i="4"/>
  <c r="AF13" i="4"/>
  <c r="I14" i="2"/>
  <c r="AC14" i="2" s="1"/>
  <c r="J14" i="2"/>
  <c r="AB14" i="2" s="1"/>
  <c r="AE14" i="4"/>
  <c r="G16" i="15"/>
  <c r="D17" i="15" s="1"/>
  <c r="F17" i="15" s="1"/>
  <c r="A16" i="12"/>
  <c r="B17" i="12"/>
  <c r="I17" i="12" s="1"/>
  <c r="D17" i="6"/>
  <c r="F17" i="6" s="1"/>
  <c r="C18" i="6" s="1"/>
  <c r="B17" i="4"/>
  <c r="F16" i="4"/>
  <c r="AM16" i="4"/>
  <c r="O16" i="4"/>
  <c r="P16" i="4" s="1"/>
  <c r="AF13" i="2"/>
  <c r="AL13" i="2" s="1"/>
  <c r="Z14" i="2"/>
  <c r="Y14" i="2"/>
  <c r="AD14" i="4"/>
  <c r="H15" i="4"/>
  <c r="C17" i="4"/>
  <c r="E16" i="4"/>
  <c r="T19" i="4"/>
  <c r="AC13" i="3"/>
  <c r="AE13" i="3" s="1"/>
  <c r="H14" i="3"/>
  <c r="F17" i="3"/>
  <c r="B18" i="3"/>
  <c r="O17" i="3"/>
  <c r="P17" i="3" s="1"/>
  <c r="C17" i="3"/>
  <c r="E17" i="3" s="1"/>
  <c r="T20" i="3"/>
  <c r="B18" i="2"/>
  <c r="F17" i="2"/>
  <c r="AM17" i="2"/>
  <c r="O17" i="2"/>
  <c r="P17" i="2" s="1"/>
  <c r="T17" i="2"/>
  <c r="C17" i="2"/>
  <c r="E16" i="2"/>
  <c r="K14" i="2" l="1"/>
  <c r="AH14" i="2" s="1"/>
  <c r="AI15" i="2" s="1"/>
  <c r="AF14" i="4"/>
  <c r="G17" i="15"/>
  <c r="D18" i="15" s="1"/>
  <c r="F18" i="15" s="1"/>
  <c r="AE14" i="2"/>
  <c r="B18" i="12"/>
  <c r="I18" i="12" s="1"/>
  <c r="A17" i="12"/>
  <c r="D18" i="6"/>
  <c r="F18" i="6" s="1"/>
  <c r="C19" i="6" s="1"/>
  <c r="D19" i="6" s="1"/>
  <c r="F19" i="6" s="1"/>
  <c r="C20" i="6" s="1"/>
  <c r="D20" i="6" s="1"/>
  <c r="F20" i="6" s="1"/>
  <c r="C21" i="6" s="1"/>
  <c r="D21" i="6" s="1"/>
  <c r="F21" i="6" s="1"/>
  <c r="C22" i="6" s="1"/>
  <c r="D22" i="6" s="1"/>
  <c r="F22" i="6" s="1"/>
  <c r="C23" i="6" s="1"/>
  <c r="O17" i="4"/>
  <c r="P17" i="4" s="1"/>
  <c r="F17" i="4"/>
  <c r="B18" i="4"/>
  <c r="AM17" i="4"/>
  <c r="E17" i="4"/>
  <c r="C18" i="4"/>
  <c r="T20" i="4"/>
  <c r="J15" i="4"/>
  <c r="AB15" i="4" s="1"/>
  <c r="I15" i="4"/>
  <c r="AC15" i="4" s="1"/>
  <c r="Y15" i="4"/>
  <c r="AA15" i="4"/>
  <c r="Z15" i="4"/>
  <c r="Y14" i="3"/>
  <c r="I14" i="3"/>
  <c r="AB14" i="3" s="1"/>
  <c r="J14" i="3"/>
  <c r="AA14" i="3" s="1"/>
  <c r="Z14" i="3"/>
  <c r="X14" i="3"/>
  <c r="O18" i="3"/>
  <c r="P18" i="3" s="1"/>
  <c r="F18" i="3"/>
  <c r="B19" i="3"/>
  <c r="T21" i="3"/>
  <c r="C18" i="3"/>
  <c r="E18" i="3" s="1"/>
  <c r="C18" i="2"/>
  <c r="E17" i="2"/>
  <c r="T18" i="2"/>
  <c r="B19" i="2"/>
  <c r="O18" i="2"/>
  <c r="P18" i="2" s="1"/>
  <c r="F18" i="2"/>
  <c r="AM18" i="2"/>
  <c r="AJ14" i="2" l="1"/>
  <c r="H15" i="2"/>
  <c r="AD14" i="2"/>
  <c r="AF14" i="2" s="1"/>
  <c r="G18" i="15"/>
  <c r="D19" i="15" s="1"/>
  <c r="F19" i="15" s="1"/>
  <c r="B19" i="12"/>
  <c r="I19" i="12" s="1"/>
  <c r="A18" i="12"/>
  <c r="D23" i="6"/>
  <c r="F23" i="6" s="1"/>
  <c r="C24" i="6" s="1"/>
  <c r="F18" i="4"/>
  <c r="AM18" i="4"/>
  <c r="O18" i="4"/>
  <c r="P18" i="4" s="1"/>
  <c r="B19" i="4"/>
  <c r="K15" i="4"/>
  <c r="AE15" i="4"/>
  <c r="T21" i="4"/>
  <c r="E18" i="4"/>
  <c r="C19" i="4"/>
  <c r="AD14" i="3"/>
  <c r="C19" i="3"/>
  <c r="E19" i="3" s="1"/>
  <c r="T22" i="3"/>
  <c r="K14" i="3"/>
  <c r="O19" i="3"/>
  <c r="P19" i="3" s="1"/>
  <c r="F19" i="3"/>
  <c r="B20" i="3"/>
  <c r="B20" i="2"/>
  <c r="F19" i="2"/>
  <c r="AM19" i="2"/>
  <c r="O19" i="2"/>
  <c r="P19" i="2" s="1"/>
  <c r="T19" i="2"/>
  <c r="C19" i="2"/>
  <c r="E18" i="2"/>
  <c r="AL14" i="2" l="1"/>
  <c r="I15" i="2"/>
  <c r="J15" i="2"/>
  <c r="AB15" i="2" s="1"/>
  <c r="Z15" i="2"/>
  <c r="Y15" i="2"/>
  <c r="AA15" i="2"/>
  <c r="G19" i="15"/>
  <c r="D20" i="15" s="1"/>
  <c r="F20" i="15" s="1"/>
  <c r="B20" i="12"/>
  <c r="I20" i="12" s="1"/>
  <c r="A19" i="12"/>
  <c r="D24" i="6"/>
  <c r="F24" i="6" s="1"/>
  <c r="C25" i="6" s="1"/>
  <c r="B20" i="4"/>
  <c r="O19" i="4"/>
  <c r="P19" i="4" s="1"/>
  <c r="AM19" i="4"/>
  <c r="F19" i="4"/>
  <c r="C20" i="4"/>
  <c r="E19" i="4"/>
  <c r="T22" i="4"/>
  <c r="AD15" i="4"/>
  <c r="AF15" i="4" s="1"/>
  <c r="H16" i="4"/>
  <c r="B21" i="3"/>
  <c r="O20" i="3"/>
  <c r="P20" i="3" s="1"/>
  <c r="F20" i="3"/>
  <c r="H15" i="3"/>
  <c r="AC14" i="3"/>
  <c r="AE14" i="3" s="1"/>
  <c r="T23" i="3"/>
  <c r="C20" i="3"/>
  <c r="E20" i="3" s="1"/>
  <c r="T20" i="2"/>
  <c r="B21" i="2"/>
  <c r="O20" i="2"/>
  <c r="P20" i="2" s="1"/>
  <c r="AM20" i="2"/>
  <c r="F20" i="2"/>
  <c r="C20" i="2"/>
  <c r="E19" i="2"/>
  <c r="AE15" i="2" l="1"/>
  <c r="K15" i="2"/>
  <c r="AC15" i="2"/>
  <c r="G20" i="15"/>
  <c r="D21" i="15" s="1"/>
  <c r="F21" i="15" s="1"/>
  <c r="B21" i="12"/>
  <c r="I21" i="12" s="1"/>
  <c r="A20" i="12"/>
  <c r="D25" i="6"/>
  <c r="F25" i="6" s="1"/>
  <c r="C26" i="6" s="1"/>
  <c r="O20" i="4"/>
  <c r="P20" i="4" s="1"/>
  <c r="B21" i="4"/>
  <c r="F20" i="4"/>
  <c r="AM20" i="4"/>
  <c r="I16" i="4"/>
  <c r="AC16" i="4" s="1"/>
  <c r="Y16" i="4"/>
  <c r="J16" i="4"/>
  <c r="AB16" i="4" s="1"/>
  <c r="AA16" i="4"/>
  <c r="Z16" i="4"/>
  <c r="T23" i="4"/>
  <c r="C21" i="4"/>
  <c r="E20" i="4"/>
  <c r="T24" i="3"/>
  <c r="C21" i="3"/>
  <c r="E21" i="3" s="1"/>
  <c r="I15" i="3"/>
  <c r="AB15" i="3" s="1"/>
  <c r="J15" i="3"/>
  <c r="AA15" i="3" s="1"/>
  <c r="X15" i="3"/>
  <c r="Y15" i="3"/>
  <c r="Z15" i="3"/>
  <c r="B22" i="3"/>
  <c r="O21" i="3"/>
  <c r="P21" i="3" s="1"/>
  <c r="F21" i="3"/>
  <c r="C21" i="2"/>
  <c r="E20" i="2"/>
  <c r="B22" i="2"/>
  <c r="AM21" i="2"/>
  <c r="O21" i="2"/>
  <c r="P21" i="2" s="1"/>
  <c r="F21" i="2"/>
  <c r="T21" i="2"/>
  <c r="AH15" i="2" l="1"/>
  <c r="AD15" i="2"/>
  <c r="AF15" i="2" s="1"/>
  <c r="H16" i="2"/>
  <c r="G21" i="15"/>
  <c r="D22" i="15" s="1"/>
  <c r="F22" i="15" s="1"/>
  <c r="B22" i="12"/>
  <c r="I22" i="12" s="1"/>
  <c r="A21" i="12"/>
  <c r="D26" i="6"/>
  <c r="F26" i="6" s="1"/>
  <c r="C27" i="6" s="1"/>
  <c r="K16" i="4"/>
  <c r="AD16" i="4" s="1"/>
  <c r="B22" i="4"/>
  <c r="F21" i="4"/>
  <c r="AM21" i="4"/>
  <c r="O21" i="4"/>
  <c r="P21" i="4" s="1"/>
  <c r="T24" i="4"/>
  <c r="E21" i="4"/>
  <c r="C22" i="4"/>
  <c r="AE16" i="4"/>
  <c r="O22" i="3"/>
  <c r="P22" i="3" s="1"/>
  <c r="B23" i="3"/>
  <c r="F22" i="3"/>
  <c r="K15" i="3"/>
  <c r="AD15" i="3"/>
  <c r="C22" i="3"/>
  <c r="E22" i="3" s="1"/>
  <c r="T25" i="3"/>
  <c r="B23" i="2"/>
  <c r="AM22" i="2"/>
  <c r="O22" i="2"/>
  <c r="P22" i="2" s="1"/>
  <c r="F22" i="2"/>
  <c r="T22" i="2"/>
  <c r="C22" i="2"/>
  <c r="E21" i="2"/>
  <c r="Z16" i="2" l="1"/>
  <c r="Y16" i="2"/>
  <c r="AA16" i="2"/>
  <c r="J16" i="2"/>
  <c r="AB16" i="2" s="1"/>
  <c r="I16" i="2"/>
  <c r="AJ15" i="2"/>
  <c r="AL15" i="2" s="1"/>
  <c r="AI16" i="2"/>
  <c r="G22" i="15"/>
  <c r="D23" i="15" s="1"/>
  <c r="F23" i="15" s="1"/>
  <c r="H17" i="4"/>
  <c r="J17" i="4" s="1"/>
  <c r="AB17" i="4" s="1"/>
  <c r="AF16" i="4"/>
  <c r="B23" i="12"/>
  <c r="I23" i="12" s="1"/>
  <c r="A22" i="12"/>
  <c r="D27" i="6"/>
  <c r="F27" i="6" s="1"/>
  <c r="C28" i="6" s="1"/>
  <c r="O22" i="4"/>
  <c r="P22" i="4" s="1"/>
  <c r="B23" i="4"/>
  <c r="F22" i="4"/>
  <c r="AM22" i="4"/>
  <c r="E22" i="4"/>
  <c r="C23" i="4"/>
  <c r="T25" i="4"/>
  <c r="AC15" i="3"/>
  <c r="AE15" i="3" s="1"/>
  <c r="H16" i="3"/>
  <c r="F23" i="3"/>
  <c r="B24" i="3"/>
  <c r="O23" i="3"/>
  <c r="P23" i="3" s="1"/>
  <c r="T26" i="3"/>
  <c r="C23" i="3"/>
  <c r="E23" i="3" s="1"/>
  <c r="C23" i="2"/>
  <c r="E22" i="2"/>
  <c r="T23" i="2"/>
  <c r="B24" i="2"/>
  <c r="F23" i="2"/>
  <c r="AM23" i="2"/>
  <c r="O23" i="2"/>
  <c r="P23" i="2" s="1"/>
  <c r="AC16" i="2" l="1"/>
  <c r="K16" i="2"/>
  <c r="AE16" i="2"/>
  <c r="G23" i="15"/>
  <c r="D24" i="15" s="1"/>
  <c r="F24" i="15" s="1"/>
  <c r="Z17" i="4"/>
  <c r="AA17" i="4"/>
  <c r="Y17" i="4"/>
  <c r="I17" i="4"/>
  <c r="AC17" i="4" s="1"/>
  <c r="B24" i="12"/>
  <c r="I24" i="12" s="1"/>
  <c r="A23" i="12"/>
  <c r="D28" i="6"/>
  <c r="F28" i="6" s="1"/>
  <c r="C29" i="6" s="1"/>
  <c r="AM23" i="4"/>
  <c r="F23" i="4"/>
  <c r="O23" i="4"/>
  <c r="P23" i="4" s="1"/>
  <c r="B24" i="4"/>
  <c r="T26" i="4"/>
  <c r="C24" i="4"/>
  <c r="E23" i="4"/>
  <c r="C24" i="3"/>
  <c r="E24" i="3" s="1"/>
  <c r="T27" i="3"/>
  <c r="F24" i="3"/>
  <c r="B25" i="3"/>
  <c r="O24" i="3"/>
  <c r="P24" i="3" s="1"/>
  <c r="J16" i="3"/>
  <c r="AA16" i="3" s="1"/>
  <c r="I16" i="3"/>
  <c r="AB16" i="3" s="1"/>
  <c r="X16" i="3"/>
  <c r="Y16" i="3"/>
  <c r="Z16" i="3"/>
  <c r="B25" i="2"/>
  <c r="F24" i="2"/>
  <c r="AM24" i="2"/>
  <c r="O24" i="2"/>
  <c r="P24" i="2" s="1"/>
  <c r="T24" i="2"/>
  <c r="C24" i="2"/>
  <c r="E23" i="2"/>
  <c r="AH16" i="2" l="1"/>
  <c r="AD16" i="2"/>
  <c r="AF16" i="2" s="1"/>
  <c r="H17" i="2"/>
  <c r="G24" i="15"/>
  <c r="D25" i="15" s="1"/>
  <c r="F25" i="15" s="1"/>
  <c r="AE17" i="4"/>
  <c r="K17" i="4"/>
  <c r="H18" i="4" s="1"/>
  <c r="B25" i="12"/>
  <c r="I25" i="12" s="1"/>
  <c r="A24" i="12"/>
  <c r="D29" i="6"/>
  <c r="F29" i="6" s="1"/>
  <c r="C30" i="6" s="1"/>
  <c r="O24" i="4"/>
  <c r="P24" i="4" s="1"/>
  <c r="F24" i="4"/>
  <c r="B25" i="4"/>
  <c r="AM24" i="4"/>
  <c r="C25" i="4"/>
  <c r="E24" i="4"/>
  <c r="T27" i="4"/>
  <c r="K16" i="3"/>
  <c r="H17" i="3" s="1"/>
  <c r="AD16" i="3"/>
  <c r="F25" i="3"/>
  <c r="B26" i="3"/>
  <c r="O25" i="3"/>
  <c r="P25" i="3" s="1"/>
  <c r="C25" i="3"/>
  <c r="E25" i="3" s="1"/>
  <c r="C25" i="2"/>
  <c r="E24" i="2"/>
  <c r="B26" i="2"/>
  <c r="AM25" i="2"/>
  <c r="O25" i="2"/>
  <c r="P25" i="2" s="1"/>
  <c r="F25" i="2"/>
  <c r="T25" i="2"/>
  <c r="Z17" i="2" l="1"/>
  <c r="I17" i="2"/>
  <c r="J17" i="2"/>
  <c r="AB17" i="2" s="1"/>
  <c r="AA17" i="2"/>
  <c r="Y17" i="2"/>
  <c r="AE17" i="2" s="1"/>
  <c r="AI17" i="2"/>
  <c r="AJ16" i="2"/>
  <c r="AL16" i="2" s="1"/>
  <c r="G25" i="15"/>
  <c r="D26" i="15" s="1"/>
  <c r="F26" i="15" s="1"/>
  <c r="AD17" i="4"/>
  <c r="AF17" i="4" s="1"/>
  <c r="AC16" i="3"/>
  <c r="AE16" i="3" s="1"/>
  <c r="B26" i="12"/>
  <c r="I26" i="12" s="1"/>
  <c r="A25" i="12"/>
  <c r="D30" i="6"/>
  <c r="F30" i="6" s="1"/>
  <c r="C31" i="6" s="1"/>
  <c r="F25" i="4"/>
  <c r="O25" i="4"/>
  <c r="P25" i="4" s="1"/>
  <c r="B26" i="4"/>
  <c r="AM25" i="4"/>
  <c r="J18" i="4"/>
  <c r="AB18" i="4" s="1"/>
  <c r="I18" i="4"/>
  <c r="AC18" i="4" s="1"/>
  <c r="AA18" i="4"/>
  <c r="Y18" i="4"/>
  <c r="Z18" i="4"/>
  <c r="E25" i="4"/>
  <c r="C26" i="4"/>
  <c r="C26" i="3"/>
  <c r="E26" i="3" s="1"/>
  <c r="O26" i="3"/>
  <c r="P26" i="3" s="1"/>
  <c r="F26" i="3"/>
  <c r="B27" i="3"/>
  <c r="J17" i="3"/>
  <c r="AA17" i="3" s="1"/>
  <c r="I17" i="3"/>
  <c r="AB17" i="3" s="1"/>
  <c r="X17" i="3"/>
  <c r="Y17" i="3"/>
  <c r="Z17" i="3"/>
  <c r="T26" i="2"/>
  <c r="AM26" i="2"/>
  <c r="O26" i="2"/>
  <c r="P26" i="2" s="1"/>
  <c r="F26" i="2"/>
  <c r="B27" i="2"/>
  <c r="C26" i="2"/>
  <c r="E25" i="2"/>
  <c r="AC17" i="2" l="1"/>
  <c r="K17" i="2"/>
  <c r="G26" i="15"/>
  <c r="D27" i="15" s="1"/>
  <c r="F27" i="15" s="1"/>
  <c r="K18" i="4"/>
  <c r="AD18" i="4" s="1"/>
  <c r="B27" i="12"/>
  <c r="I27" i="12" s="1"/>
  <c r="A26" i="12"/>
  <c r="D31" i="6"/>
  <c r="F31" i="6" s="1"/>
  <c r="C32" i="6" s="1"/>
  <c r="B27" i="4"/>
  <c r="O26" i="4"/>
  <c r="P26" i="4" s="1"/>
  <c r="AM26" i="4"/>
  <c r="F26" i="4"/>
  <c r="E26" i="4"/>
  <c r="C27" i="4"/>
  <c r="E27" i="4" s="1"/>
  <c r="AE18" i="4"/>
  <c r="AD17" i="3"/>
  <c r="K17" i="3"/>
  <c r="O27" i="3"/>
  <c r="P27" i="3" s="1"/>
  <c r="F27" i="3"/>
  <c r="C27" i="3"/>
  <c r="E27" i="3" s="1"/>
  <c r="T27" i="2"/>
  <c r="C27" i="2"/>
  <c r="E27" i="2" s="1"/>
  <c r="E26" i="2"/>
  <c r="AM27" i="2"/>
  <c r="O27" i="2"/>
  <c r="P27" i="2" s="1"/>
  <c r="F27" i="2"/>
  <c r="AH17" i="2" l="1"/>
  <c r="H18" i="2"/>
  <c r="AD17" i="2"/>
  <c r="AF17" i="2" s="1"/>
  <c r="G27" i="15"/>
  <c r="D28" i="15" s="1"/>
  <c r="F28" i="15" s="1"/>
  <c r="H19" i="4"/>
  <c r="AA19" i="4" s="1"/>
  <c r="AF18" i="4"/>
  <c r="B28" i="12"/>
  <c r="I28" i="12" s="1"/>
  <c r="A27" i="12"/>
  <c r="D32" i="6"/>
  <c r="F32" i="6" s="1"/>
  <c r="C33" i="6" s="1"/>
  <c r="AM27" i="4"/>
  <c r="O27" i="4"/>
  <c r="P27" i="4" s="1"/>
  <c r="F27" i="4"/>
  <c r="H18" i="3"/>
  <c r="AC17" i="3"/>
  <c r="AE17" i="3" s="1"/>
  <c r="AA18" i="2" l="1"/>
  <c r="I18" i="2"/>
  <c r="J18" i="2"/>
  <c r="AB18" i="2" s="1"/>
  <c r="Z18" i="2"/>
  <c r="Y18" i="2"/>
  <c r="AI18" i="2"/>
  <c r="AJ17" i="2"/>
  <c r="AL17" i="2" s="1"/>
  <c r="G28" i="15"/>
  <c r="D29" i="15" s="1"/>
  <c r="F29" i="15" s="1"/>
  <c r="I19" i="4"/>
  <c r="AC19" i="4" s="1"/>
  <c r="Y19" i="4"/>
  <c r="J19" i="4"/>
  <c r="AB19" i="4" s="1"/>
  <c r="Z19" i="4"/>
  <c r="B29" i="12"/>
  <c r="I29" i="12" s="1"/>
  <c r="A28" i="12"/>
  <c r="D33" i="6"/>
  <c r="F33" i="6" s="1"/>
  <c r="C34" i="6" s="1"/>
  <c r="J18" i="3"/>
  <c r="AA18" i="3" s="1"/>
  <c r="I18" i="3"/>
  <c r="AB18" i="3" s="1"/>
  <c r="Z18" i="3"/>
  <c r="X18" i="3"/>
  <c r="Y18" i="3"/>
  <c r="AE18" i="2" l="1"/>
  <c r="K19" i="4"/>
  <c r="AC18" i="2"/>
  <c r="K18" i="2"/>
  <c r="G29" i="15"/>
  <c r="D30" i="15" s="1"/>
  <c r="F30" i="15" s="1"/>
  <c r="AE19" i="4"/>
  <c r="G30" i="15"/>
  <c r="D31" i="15" s="1"/>
  <c r="F31" i="15" s="1"/>
  <c r="B30" i="12"/>
  <c r="I30" i="12" s="1"/>
  <c r="A29" i="12"/>
  <c r="D34" i="6"/>
  <c r="F34" i="6" s="1"/>
  <c r="C35" i="6" s="1"/>
  <c r="AD19" i="4"/>
  <c r="H20" i="4"/>
  <c r="AD18" i="3"/>
  <c r="K18" i="3"/>
  <c r="AH18" i="2" l="1"/>
  <c r="H19" i="2"/>
  <c r="AD18" i="2"/>
  <c r="AF18" i="2" s="1"/>
  <c r="AF19" i="4"/>
  <c r="G31" i="15"/>
  <c r="D32" i="15" s="1"/>
  <c r="F32" i="15" s="1"/>
  <c r="B31" i="12"/>
  <c r="I31" i="12" s="1"/>
  <c r="A30" i="12"/>
  <c r="D35" i="6"/>
  <c r="F35" i="6" s="1"/>
  <c r="C36" i="6" s="1"/>
  <c r="Y20" i="4"/>
  <c r="J20" i="4"/>
  <c r="AB20" i="4" s="1"/>
  <c r="I20" i="4"/>
  <c r="AC20" i="4" s="1"/>
  <c r="AA20" i="4"/>
  <c r="Z20" i="4"/>
  <c r="H19" i="3"/>
  <c r="AC18" i="3"/>
  <c r="AE18" i="3" s="1"/>
  <c r="Z19" i="2" l="1"/>
  <c r="Y19" i="2"/>
  <c r="AA19" i="2"/>
  <c r="I19" i="2"/>
  <c r="AC19" i="2" s="1"/>
  <c r="J19" i="2"/>
  <c r="AB19" i="2" s="1"/>
  <c r="AI19" i="2"/>
  <c r="AJ18" i="2"/>
  <c r="AL18" i="2" s="1"/>
  <c r="G32" i="15"/>
  <c r="D33" i="15" s="1"/>
  <c r="F33" i="15" s="1"/>
  <c r="B32" i="12"/>
  <c r="A31" i="12"/>
  <c r="D36" i="6"/>
  <c r="F36" i="6" s="1"/>
  <c r="C37" i="6" s="1"/>
  <c r="K20" i="4"/>
  <c r="AE20" i="4"/>
  <c r="J19" i="3"/>
  <c r="AA19" i="3" s="1"/>
  <c r="I19" i="3"/>
  <c r="AB19" i="3" s="1"/>
  <c r="Z19" i="3"/>
  <c r="X19" i="3"/>
  <c r="Y19" i="3"/>
  <c r="K19" i="2" l="1"/>
  <c r="AE19" i="2"/>
  <c r="G33" i="15"/>
  <c r="D34" i="15" s="1"/>
  <c r="F34" i="15" s="1"/>
  <c r="A32" i="12"/>
  <c r="I32" i="12"/>
  <c r="I10" i="12" s="1"/>
  <c r="D37" i="6"/>
  <c r="F37" i="6" s="1"/>
  <c r="C38" i="6" s="1"/>
  <c r="AD20" i="4"/>
  <c r="AF20" i="4" s="1"/>
  <c r="H21" i="4"/>
  <c r="K19" i="3"/>
  <c r="AC19" i="3" s="1"/>
  <c r="AD19" i="3"/>
  <c r="AH19" i="2" l="1"/>
  <c r="AD19" i="2"/>
  <c r="AF19" i="2" s="1"/>
  <c r="H20" i="2"/>
  <c r="G34" i="15"/>
  <c r="D35" i="15" s="1"/>
  <c r="F35" i="15" s="1"/>
  <c r="H20" i="3"/>
  <c r="J20" i="3" s="1"/>
  <c r="AA20" i="3" s="1"/>
  <c r="D38" i="6"/>
  <c r="F38" i="6" s="1"/>
  <c r="C39" i="6" s="1"/>
  <c r="I21" i="4"/>
  <c r="AC21" i="4" s="1"/>
  <c r="J21" i="4"/>
  <c r="AB21" i="4" s="1"/>
  <c r="AA21" i="4"/>
  <c r="Y21" i="4"/>
  <c r="Z21" i="4"/>
  <c r="AE19" i="3"/>
  <c r="AA20" i="2" l="1"/>
  <c r="I20" i="2"/>
  <c r="AC20" i="2" s="1"/>
  <c r="Z20" i="2"/>
  <c r="J20" i="2"/>
  <c r="AB20" i="2" s="1"/>
  <c r="Y20" i="2"/>
  <c r="K20" i="2"/>
  <c r="AH20" i="2" s="1"/>
  <c r="AJ20" i="2" s="1"/>
  <c r="AI20" i="2"/>
  <c r="AJ19" i="2"/>
  <c r="AL19" i="2" s="1"/>
  <c r="AD20" i="2"/>
  <c r="G35" i="15"/>
  <c r="D36" i="15" s="1"/>
  <c r="F36" i="15" s="1"/>
  <c r="AI21" i="2"/>
  <c r="Y20" i="3"/>
  <c r="K21" i="4"/>
  <c r="H22" i="4" s="1"/>
  <c r="Z20" i="3"/>
  <c r="X20" i="3"/>
  <c r="I20" i="3"/>
  <c r="AB20" i="3" s="1"/>
  <c r="D39" i="6"/>
  <c r="F39" i="6" s="1"/>
  <c r="C40" i="6" s="1"/>
  <c r="AE21" i="4"/>
  <c r="G36" i="15" l="1"/>
  <c r="D37" i="15" s="1"/>
  <c r="F37" i="15" s="1"/>
  <c r="AE20" i="2"/>
  <c r="AF20" i="2" s="1"/>
  <c r="AL20" i="2" s="1"/>
  <c r="H21" i="2"/>
  <c r="J21" i="2"/>
  <c r="AB21" i="2" s="1"/>
  <c r="I21" i="2"/>
  <c r="AC21" i="2" s="1"/>
  <c r="AD21" i="4"/>
  <c r="AF21" i="4" s="1"/>
  <c r="AD20" i="3"/>
  <c r="K20" i="3"/>
  <c r="AC20" i="3" s="1"/>
  <c r="G37" i="15"/>
  <c r="D38" i="15" s="1"/>
  <c r="F38" i="15" s="1"/>
  <c r="D40" i="6"/>
  <c r="F40" i="6" s="1"/>
  <c r="C41" i="6" s="1"/>
  <c r="J22" i="4"/>
  <c r="AB22" i="4" s="1"/>
  <c r="I22" i="4"/>
  <c r="AC22" i="4" s="1"/>
  <c r="AA22" i="4"/>
  <c r="Y22" i="4"/>
  <c r="Z22" i="4"/>
  <c r="H21" i="3" l="1"/>
  <c r="Y21" i="2"/>
  <c r="Z21" i="2"/>
  <c r="AA21" i="2"/>
  <c r="K21" i="2"/>
  <c r="AH21" i="2" s="1"/>
  <c r="AE20" i="3"/>
  <c r="K22" i="4"/>
  <c r="AD22" i="4" s="1"/>
  <c r="AI22" i="2"/>
  <c r="AJ21" i="2"/>
  <c r="G38" i="15"/>
  <c r="D39" i="15" s="1"/>
  <c r="F39" i="15" s="1"/>
  <c r="D41" i="6"/>
  <c r="F41" i="6" s="1"/>
  <c r="C42" i="6" s="1"/>
  <c r="AE22" i="4"/>
  <c r="Z21" i="3"/>
  <c r="J21" i="3"/>
  <c r="AA21" i="3" s="1"/>
  <c r="I21" i="3"/>
  <c r="AB21" i="3" s="1"/>
  <c r="X21" i="3"/>
  <c r="Y21" i="3"/>
  <c r="H22" i="2"/>
  <c r="AE21" i="2" l="1"/>
  <c r="AD21" i="2"/>
  <c r="H23" i="4"/>
  <c r="Y23" i="4" s="1"/>
  <c r="AF22" i="4"/>
  <c r="G39" i="15"/>
  <c r="D40" i="15" s="1"/>
  <c r="F40" i="15" s="1"/>
  <c r="D42" i="6"/>
  <c r="F42" i="6" s="1"/>
  <c r="C43" i="6" s="1"/>
  <c r="AD21" i="3"/>
  <c r="K21" i="3"/>
  <c r="AA22" i="2"/>
  <c r="Y22" i="2"/>
  <c r="Z22" i="2"/>
  <c r="J22" i="2"/>
  <c r="AB22" i="2" s="1"/>
  <c r="I22" i="2"/>
  <c r="AC22" i="2" s="1"/>
  <c r="AF21" i="2" l="1"/>
  <c r="AL21" i="2" s="1"/>
  <c r="Z23" i="4"/>
  <c r="AA23" i="4"/>
  <c r="I23" i="4"/>
  <c r="AC23" i="4" s="1"/>
  <c r="J23" i="4"/>
  <c r="AB23" i="4" s="1"/>
  <c r="G40" i="15"/>
  <c r="D41" i="15" s="1"/>
  <c r="F41" i="15" s="1"/>
  <c r="D43" i="6"/>
  <c r="F43" i="6" s="1"/>
  <c r="C44" i="6" s="1"/>
  <c r="K22" i="2"/>
  <c r="AH22" i="2" s="1"/>
  <c r="K23" i="4"/>
  <c r="H22" i="3"/>
  <c r="AC21" i="3"/>
  <c r="AE21" i="3" s="1"/>
  <c r="AE22" i="2"/>
  <c r="AE23" i="4" l="1"/>
  <c r="AD22" i="2"/>
  <c r="AF22" i="2" s="1"/>
  <c r="H23" i="2"/>
  <c r="Y23" i="2" s="1"/>
  <c r="G41" i="15"/>
  <c r="D42" i="15" s="1"/>
  <c r="F42" i="15" s="1"/>
  <c r="D44" i="6"/>
  <c r="F44" i="6" s="1"/>
  <c r="C45" i="6" s="1"/>
  <c r="AD23" i="4"/>
  <c r="H24" i="4"/>
  <c r="J22" i="3"/>
  <c r="AA22" i="3" s="1"/>
  <c r="I22" i="3"/>
  <c r="AB22" i="3" s="1"/>
  <c r="Z22" i="3"/>
  <c r="X22" i="3"/>
  <c r="Y22" i="3"/>
  <c r="Z23" i="2" l="1"/>
  <c r="AA23" i="2"/>
  <c r="AF23" i="4"/>
  <c r="J23" i="2"/>
  <c r="AB23" i="2" s="1"/>
  <c r="I23" i="2"/>
  <c r="AC23" i="2" s="1"/>
  <c r="AI23" i="2"/>
  <c r="AJ22" i="2"/>
  <c r="AL22" i="2" s="1"/>
  <c r="G42" i="15"/>
  <c r="D43" i="15" s="1"/>
  <c r="F43" i="15" s="1"/>
  <c r="D45" i="6"/>
  <c r="F45" i="6" s="1"/>
  <c r="C46" i="6" s="1"/>
  <c r="I24" i="4"/>
  <c r="AC24" i="4" s="1"/>
  <c r="AA24" i="4"/>
  <c r="Y24" i="4"/>
  <c r="J24" i="4"/>
  <c r="AB24" i="4" s="1"/>
  <c r="Z24" i="4"/>
  <c r="AD22" i="3"/>
  <c r="K22" i="3"/>
  <c r="K23" i="2" l="1"/>
  <c r="AH23" i="2" s="1"/>
  <c r="AI24" i="2" s="1"/>
  <c r="AE23" i="2"/>
  <c r="G43" i="15"/>
  <c r="D44" i="15" s="1"/>
  <c r="F44" i="15" s="1"/>
  <c r="D46" i="6"/>
  <c r="F46" i="6" s="1"/>
  <c r="C47" i="6" s="1"/>
  <c r="AE24" i="4"/>
  <c r="K24" i="4"/>
  <c r="H23" i="3"/>
  <c r="AC22" i="3"/>
  <c r="AE22" i="3" s="1"/>
  <c r="H24" i="2"/>
  <c r="AD23" i="2"/>
  <c r="AJ23" i="2" l="1"/>
  <c r="AF23" i="2"/>
  <c r="AL23" i="2" s="1"/>
  <c r="G44" i="15"/>
  <c r="D45" i="15" s="1"/>
  <c r="F45" i="15" s="1"/>
  <c r="D47" i="6"/>
  <c r="F47" i="6" s="1"/>
  <c r="C48" i="6" s="1"/>
  <c r="H25" i="4"/>
  <c r="AD24" i="4"/>
  <c r="AF24" i="4" s="1"/>
  <c r="J23" i="3"/>
  <c r="AA23" i="3" s="1"/>
  <c r="I23" i="3"/>
  <c r="AB23" i="3" s="1"/>
  <c r="Z23" i="3"/>
  <c r="X23" i="3"/>
  <c r="Y23" i="3"/>
  <c r="AA24" i="2"/>
  <c r="Y24" i="2"/>
  <c r="J24" i="2"/>
  <c r="AB24" i="2" s="1"/>
  <c r="Z24" i="2"/>
  <c r="I24" i="2"/>
  <c r="G45" i="15" l="1"/>
  <c r="D46" i="15" s="1"/>
  <c r="F46" i="15" s="1"/>
  <c r="D48" i="6"/>
  <c r="F48" i="6" s="1"/>
  <c r="C49" i="6" s="1"/>
  <c r="J25" i="4"/>
  <c r="AB25" i="4" s="1"/>
  <c r="I25" i="4"/>
  <c r="AC25" i="4" s="1"/>
  <c r="Y25" i="4"/>
  <c r="AA25" i="4"/>
  <c r="Z25" i="4"/>
  <c r="AD23" i="3"/>
  <c r="K23" i="3"/>
  <c r="K24" i="2"/>
  <c r="AH24" i="2" s="1"/>
  <c r="AC24" i="2"/>
  <c r="AE24" i="2"/>
  <c r="AI25" i="2" l="1"/>
  <c r="AJ24" i="2"/>
  <c r="G46" i="15"/>
  <c r="D47" i="15" s="1"/>
  <c r="F47" i="15" s="1"/>
  <c r="D49" i="6"/>
  <c r="F49" i="6" s="1"/>
  <c r="C50" i="6" s="1"/>
  <c r="AE25" i="4"/>
  <c r="K25" i="4"/>
  <c r="AC23" i="3"/>
  <c r="AE23" i="3" s="1"/>
  <c r="H24" i="3"/>
  <c r="H25" i="2"/>
  <c r="AD24" i="2"/>
  <c r="AF24" i="2" s="1"/>
  <c r="AL24" i="2" s="1"/>
  <c r="G47" i="15" l="1"/>
  <c r="D48" i="15" s="1"/>
  <c r="F48" i="15" s="1"/>
  <c r="D50" i="6"/>
  <c r="F50" i="6" s="1"/>
  <c r="C51" i="6" s="1"/>
  <c r="H26" i="4"/>
  <c r="AD25" i="4"/>
  <c r="AF25" i="4" s="1"/>
  <c r="J24" i="3"/>
  <c r="AA24" i="3" s="1"/>
  <c r="I24" i="3"/>
  <c r="AB24" i="3" s="1"/>
  <c r="Z24" i="3"/>
  <c r="X24" i="3"/>
  <c r="Y24" i="3"/>
  <c r="AA25" i="2"/>
  <c r="Y25" i="2"/>
  <c r="Z25" i="2"/>
  <c r="I25" i="2"/>
  <c r="AC25" i="2" s="1"/>
  <c r="J25" i="2"/>
  <c r="AB25" i="2" s="1"/>
  <c r="G48" i="15" l="1"/>
  <c r="D49" i="15" s="1"/>
  <c r="F49" i="15" s="1"/>
  <c r="D51" i="6"/>
  <c r="F51" i="6" s="1"/>
  <c r="C52" i="6" s="1"/>
  <c r="J26" i="4"/>
  <c r="AB26" i="4" s="1"/>
  <c r="I26" i="4"/>
  <c r="AC26" i="4" s="1"/>
  <c r="Y26" i="4"/>
  <c r="AA26" i="4"/>
  <c r="Z26" i="4"/>
  <c r="K24" i="3"/>
  <c r="AC24" i="3" s="1"/>
  <c r="AD24" i="3"/>
  <c r="K25" i="2"/>
  <c r="AH25" i="2" s="1"/>
  <c r="AE25" i="2"/>
  <c r="K26" i="4" l="1"/>
  <c r="AD26" i="4" s="1"/>
  <c r="AI26" i="2"/>
  <c r="AJ25" i="2"/>
  <c r="G49" i="15"/>
  <c r="D50" i="15" s="1"/>
  <c r="F50" i="15" s="1"/>
  <c r="D52" i="6"/>
  <c r="F52" i="6" s="1"/>
  <c r="C53" i="6" s="1"/>
  <c r="H25" i="3"/>
  <c r="I25" i="3" s="1"/>
  <c r="AB25" i="3" s="1"/>
  <c r="AE26" i="4"/>
  <c r="AE24" i="3"/>
  <c r="H26" i="2"/>
  <c r="AD25" i="2"/>
  <c r="AF25" i="2" s="1"/>
  <c r="H27" i="4" l="1"/>
  <c r="J25" i="3"/>
  <c r="AA25" i="3" s="1"/>
  <c r="AF26" i="4"/>
  <c r="AL25" i="2"/>
  <c r="Y25" i="3"/>
  <c r="X25" i="3"/>
  <c r="Z25" i="3"/>
  <c r="G50" i="15"/>
  <c r="D51" i="15" s="1"/>
  <c r="F51" i="15" s="1"/>
  <c r="D53" i="6"/>
  <c r="F53" i="6" s="1"/>
  <c r="C54" i="6" s="1"/>
  <c r="Y27" i="4"/>
  <c r="AQ12" i="4" s="1"/>
  <c r="J27" i="4"/>
  <c r="AB27" i="4" s="1"/>
  <c r="I27" i="4"/>
  <c r="AC27" i="4" s="1"/>
  <c r="AA27" i="4"/>
  <c r="Z27" i="4"/>
  <c r="AA26" i="2"/>
  <c r="Y26" i="2"/>
  <c r="I26" i="2"/>
  <c r="Z26" i="2"/>
  <c r="J26" i="2"/>
  <c r="AB26" i="2" s="1"/>
  <c r="K25" i="3" l="1"/>
  <c r="H26" i="3" s="1"/>
  <c r="AD25" i="3"/>
  <c r="G51" i="15"/>
  <c r="D52" i="15" s="1"/>
  <c r="F52" i="15" s="1"/>
  <c r="D54" i="6"/>
  <c r="F54" i="6" s="1"/>
  <c r="C55" i="6" s="1"/>
  <c r="K27" i="4"/>
  <c r="AD27" i="4" s="1"/>
  <c r="AE27" i="4"/>
  <c r="K26" i="2"/>
  <c r="AH26" i="2" s="1"/>
  <c r="AC26" i="2"/>
  <c r="AE26" i="2"/>
  <c r="AC25" i="3" l="1"/>
  <c r="AE25" i="3" s="1"/>
  <c r="AF27" i="4"/>
  <c r="AI27" i="2"/>
  <c r="AJ26" i="2"/>
  <c r="G52" i="15"/>
  <c r="D53" i="15" s="1"/>
  <c r="F53" i="15" s="1"/>
  <c r="D55" i="6"/>
  <c r="F55" i="6" s="1"/>
  <c r="C56" i="6" s="1"/>
  <c r="J26" i="3"/>
  <c r="AA26" i="3" s="1"/>
  <c r="I26" i="3"/>
  <c r="AB26" i="3" s="1"/>
  <c r="X26" i="3"/>
  <c r="Z26" i="3"/>
  <c r="Y26" i="3"/>
  <c r="H27" i="2"/>
  <c r="AD26" i="2"/>
  <c r="AF26" i="2" s="1"/>
  <c r="AL26" i="2" l="1"/>
  <c r="G53" i="15"/>
  <c r="D54" i="15" s="1"/>
  <c r="F54" i="15" s="1"/>
  <c r="D56" i="6"/>
  <c r="F56" i="6" s="1"/>
  <c r="C57" i="6" s="1"/>
  <c r="AD26" i="3"/>
  <c r="K26" i="3"/>
  <c r="AA27" i="2"/>
  <c r="Y27" i="2"/>
  <c r="AQ12" i="2" s="1"/>
  <c r="Z27" i="2"/>
  <c r="J27" i="2"/>
  <c r="AB27" i="2" s="1"/>
  <c r="I27" i="2"/>
  <c r="G54" i="15" l="1"/>
  <c r="D55" i="15" s="1"/>
  <c r="F55" i="15" s="1"/>
  <c r="D57" i="6"/>
  <c r="F57" i="6" s="1"/>
  <c r="C58" i="6" s="1"/>
  <c r="AC26" i="3"/>
  <c r="AE26" i="3" s="1"/>
  <c r="H27" i="3"/>
  <c r="K27" i="2"/>
  <c r="AC27" i="2"/>
  <c r="AE27" i="2"/>
  <c r="AD27" i="2" l="1"/>
  <c r="AF27" i="2" s="1"/>
  <c r="AH27" i="2"/>
  <c r="AJ27" i="2" s="1"/>
  <c r="G55" i="15"/>
  <c r="D56" i="15" s="1"/>
  <c r="F56" i="15" s="1"/>
  <c r="D58" i="6"/>
  <c r="F58" i="6" s="1"/>
  <c r="C59" i="6" s="1"/>
  <c r="I27" i="3"/>
  <c r="AB27" i="3" s="1"/>
  <c r="J27" i="3"/>
  <c r="AA27" i="3" s="1"/>
  <c r="X27" i="3"/>
  <c r="Z27" i="3"/>
  <c r="Y27" i="3"/>
  <c r="AL27" i="2" l="1"/>
  <c r="AQ11" i="2" s="1"/>
  <c r="AQ13" i="2" s="1"/>
  <c r="G56" i="15"/>
  <c r="D57" i="15" s="1"/>
  <c r="F57" i="15" s="1"/>
  <c r="D59" i="6"/>
  <c r="F59" i="6" s="1"/>
  <c r="C60" i="6" s="1"/>
  <c r="K27" i="3"/>
  <c r="AD27" i="3"/>
  <c r="AC27" i="3" l="1"/>
  <c r="AE27" i="3" s="1"/>
  <c r="AG26" i="3" s="1"/>
  <c r="AH26" i="3" s="1"/>
  <c r="W26" i="4" s="1"/>
  <c r="AH26" i="4" s="1"/>
  <c r="AH27" i="3"/>
  <c r="W27" i="4" s="1"/>
  <c r="AH27" i="4" s="1"/>
  <c r="G57" i="15"/>
  <c r="D58" i="15" s="1"/>
  <c r="F58" i="15" s="1"/>
  <c r="D60" i="6"/>
  <c r="F60" i="6" s="1"/>
  <c r="C61" i="6" s="1"/>
  <c r="AI27" i="4" l="1"/>
  <c r="G58" i="15"/>
  <c r="D59" i="15" s="1"/>
  <c r="F59" i="15" s="1"/>
  <c r="D61" i="6"/>
  <c r="F61" i="6" s="1"/>
  <c r="C62" i="6" s="1"/>
  <c r="AG25" i="3"/>
  <c r="AH25" i="3" s="1"/>
  <c r="W25" i="4" s="1"/>
  <c r="AH25" i="4" s="1"/>
  <c r="AJ27" i="4" l="1"/>
  <c r="AL27" i="4" s="1"/>
  <c r="G59" i="15"/>
  <c r="D60" i="15" s="1"/>
  <c r="F60" i="15" s="1"/>
  <c r="D62" i="6"/>
  <c r="F62" i="6" s="1"/>
  <c r="C63" i="6" s="1"/>
  <c r="AI26" i="4"/>
  <c r="AJ26" i="4"/>
  <c r="AG24" i="3"/>
  <c r="AH24" i="3" s="1"/>
  <c r="W24" i="4" s="1"/>
  <c r="AH24" i="4" s="1"/>
  <c r="G60" i="15" l="1"/>
  <c r="D61" i="15" s="1"/>
  <c r="F61" i="15" s="1"/>
  <c r="D63" i="6"/>
  <c r="F63" i="6" s="1"/>
  <c r="C64" i="6" s="1"/>
  <c r="AI25" i="4"/>
  <c r="AJ25" i="4"/>
  <c r="AL26" i="4"/>
  <c r="AG23" i="3"/>
  <c r="AH23" i="3" s="1"/>
  <c r="W23" i="4" s="1"/>
  <c r="AH23" i="4" s="1"/>
  <c r="G61" i="15" l="1"/>
  <c r="D62" i="15" s="1"/>
  <c r="F62" i="15" s="1"/>
  <c r="D64" i="6"/>
  <c r="F64" i="6" s="1"/>
  <c r="C65" i="6" s="1"/>
  <c r="AJ24" i="4"/>
  <c r="AI24" i="4"/>
  <c r="AL25" i="4"/>
  <c r="AG22" i="3"/>
  <c r="AH22" i="3" s="1"/>
  <c r="W22" i="4" s="1"/>
  <c r="AH22" i="4" s="1"/>
  <c r="AL24" i="4" l="1"/>
  <c r="G62" i="15"/>
  <c r="D63" i="15" s="1"/>
  <c r="F63" i="15" s="1"/>
  <c r="D65" i="6"/>
  <c r="F65" i="6" s="1"/>
  <c r="C66" i="6" s="1"/>
  <c r="AI23" i="4"/>
  <c r="AJ23" i="4"/>
  <c r="AG21" i="3"/>
  <c r="AH21" i="3" s="1"/>
  <c r="W21" i="4" s="1"/>
  <c r="AH21" i="4" s="1"/>
  <c r="G63" i="15" l="1"/>
  <c r="D64" i="15" s="1"/>
  <c r="F64" i="15" s="1"/>
  <c r="D66" i="6"/>
  <c r="F66" i="6" s="1"/>
  <c r="C67" i="6" s="1"/>
  <c r="AJ22" i="4"/>
  <c r="AI22" i="4"/>
  <c r="AL23" i="4"/>
  <c r="AG20" i="3"/>
  <c r="AH20" i="3" s="1"/>
  <c r="W20" i="4" s="1"/>
  <c r="AH20" i="4" s="1"/>
  <c r="AL22" i="4" l="1"/>
  <c r="G64" i="15"/>
  <c r="D65" i="15" s="1"/>
  <c r="F65" i="15" s="1"/>
  <c r="D67" i="6"/>
  <c r="F67" i="6" s="1"/>
  <c r="C68" i="6" s="1"/>
  <c r="AJ21" i="4"/>
  <c r="AI21" i="4"/>
  <c r="AG19" i="3"/>
  <c r="AH19" i="3" s="1"/>
  <c r="W19" i="4" s="1"/>
  <c r="AH19" i="4" s="1"/>
  <c r="G65" i="15" l="1"/>
  <c r="D66" i="15" s="1"/>
  <c r="F66" i="15" s="1"/>
  <c r="D68" i="6"/>
  <c r="F68" i="6" s="1"/>
  <c r="C69" i="6" s="1"/>
  <c r="AL21" i="4"/>
  <c r="AJ20" i="4"/>
  <c r="AI20" i="4"/>
  <c r="AG18" i="3"/>
  <c r="AH18" i="3" s="1"/>
  <c r="W18" i="4" s="1"/>
  <c r="AH18" i="4" s="1"/>
  <c r="AL20" i="4" l="1"/>
  <c r="G66" i="15"/>
  <c r="D67" i="15" s="1"/>
  <c r="F67" i="15" s="1"/>
  <c r="D69" i="6"/>
  <c r="F69" i="6" s="1"/>
  <c r="C70" i="6" s="1"/>
  <c r="AJ19" i="4"/>
  <c r="AI19" i="4"/>
  <c r="AG17" i="3"/>
  <c r="AH17" i="3" s="1"/>
  <c r="W17" i="4" s="1"/>
  <c r="AH17" i="4" s="1"/>
  <c r="AL19" i="4" l="1"/>
  <c r="G67" i="15"/>
  <c r="D68" i="15" s="1"/>
  <c r="F68" i="15" s="1"/>
  <c r="D70" i="6"/>
  <c r="F70" i="6" s="1"/>
  <c r="C71" i="6" s="1"/>
  <c r="AI18" i="4"/>
  <c r="AJ18" i="4"/>
  <c r="AG16" i="3"/>
  <c r="AH16" i="3" s="1"/>
  <c r="W16" i="4" s="1"/>
  <c r="AH16" i="4" s="1"/>
  <c r="G68" i="15" l="1"/>
  <c r="D69" i="15" s="1"/>
  <c r="F69" i="15" s="1"/>
  <c r="D71" i="6"/>
  <c r="F71" i="6" s="1"/>
  <c r="C72" i="6" s="1"/>
  <c r="AL18" i="4"/>
  <c r="AJ17" i="4"/>
  <c r="AI17" i="4"/>
  <c r="AG15" i="3"/>
  <c r="AH15" i="3" s="1"/>
  <c r="W15" i="4" s="1"/>
  <c r="AH15" i="4" s="1"/>
  <c r="G69" i="15" l="1"/>
  <c r="D70" i="15" s="1"/>
  <c r="F70" i="15" s="1"/>
  <c r="D72" i="6"/>
  <c r="F72" i="6" s="1"/>
  <c r="C73" i="6" s="1"/>
  <c r="AJ16" i="4"/>
  <c r="AI16" i="4"/>
  <c r="AL17" i="4"/>
  <c r="AG14" i="3"/>
  <c r="AH14" i="3" s="1"/>
  <c r="W14" i="4" s="1"/>
  <c r="AH14" i="4" s="1"/>
  <c r="G70" i="15" l="1"/>
  <c r="D71" i="15" s="1"/>
  <c r="F71" i="15" s="1"/>
  <c r="D73" i="6"/>
  <c r="F73" i="6" s="1"/>
  <c r="C74" i="6" s="1"/>
  <c r="AJ15" i="4"/>
  <c r="AI15" i="4"/>
  <c r="AL16" i="4"/>
  <c r="AG13" i="3"/>
  <c r="AH13" i="3" s="1"/>
  <c r="W13" i="4" s="1"/>
  <c r="AH13" i="4" s="1"/>
  <c r="AL15" i="4" l="1"/>
  <c r="G71" i="15"/>
  <c r="D72" i="15" s="1"/>
  <c r="F72" i="15" s="1"/>
  <c r="D74" i="6"/>
  <c r="F74" i="6" s="1"/>
  <c r="C75" i="6" s="1"/>
  <c r="AJ14" i="4"/>
  <c r="AI14" i="4"/>
  <c r="AJ13" i="4"/>
  <c r="AL13" i="4" s="1"/>
  <c r="AL14" i="4" l="1"/>
  <c r="AQ11" i="4" s="1"/>
  <c r="AQ13" i="4" s="1"/>
  <c r="G72" i="15"/>
  <c r="D73" i="15" s="1"/>
  <c r="F73" i="15" s="1"/>
  <c r="D75" i="6"/>
  <c r="F75" i="6" s="1"/>
  <c r="C76" i="6" s="1"/>
  <c r="G73" i="15" l="1"/>
  <c r="F9" i="15" s="1"/>
  <c r="D76" i="6"/>
  <c r="F76" i="6" s="1"/>
  <c r="C77" i="6" l="1"/>
  <c r="D77" i="6" s="1"/>
  <c r="F77" i="6" s="1"/>
  <c r="C78" i="6" s="1"/>
  <c r="E6" i="7"/>
  <c r="C10" i="7" s="1"/>
  <c r="D10" i="7" l="1"/>
  <c r="F10" i="7" s="1"/>
  <c r="C11" i="7" s="1"/>
  <c r="D11" i="7" s="1"/>
  <c r="F11" i="7" s="1"/>
  <c r="C12" i="7" s="1"/>
  <c r="D12" i="7" s="1"/>
  <c r="F12" i="7" s="1"/>
  <c r="C13" i="7" s="1"/>
  <c r="D13" i="7" s="1"/>
  <c r="F13" i="7" s="1"/>
  <c r="C14" i="7" s="1"/>
  <c r="D14" i="7" s="1"/>
  <c r="F14" i="7" s="1"/>
  <c r="C15" i="7" s="1"/>
  <c r="D15" i="7" s="1"/>
  <c r="F15" i="7" s="1"/>
  <c r="C16" i="7" s="1"/>
  <c r="D16" i="7" s="1"/>
  <c r="F16" i="7" s="1"/>
  <c r="C17" i="7" s="1"/>
  <c r="D17" i="7" s="1"/>
  <c r="F17" i="7" s="1"/>
  <c r="C18" i="7" s="1"/>
  <c r="D18" i="7" s="1"/>
  <c r="F18" i="7" s="1"/>
  <c r="C19" i="7" s="1"/>
  <c r="D19" i="7" s="1"/>
  <c r="F19" i="7" s="1"/>
  <c r="C20" i="7" s="1"/>
  <c r="D20" i="7" s="1"/>
  <c r="F20" i="7" s="1"/>
  <c r="C21" i="7" s="1"/>
  <c r="D21" i="7" s="1"/>
  <c r="F21" i="7" s="1"/>
  <c r="C22" i="7" s="1"/>
  <c r="D22" i="7" s="1"/>
  <c r="F22" i="7" s="1"/>
  <c r="C23" i="7" s="1"/>
  <c r="D23" i="7" s="1"/>
  <c r="F23" i="7" s="1"/>
  <c r="C24" i="7" s="1"/>
  <c r="D24" i="7" s="1"/>
  <c r="F24" i="7" s="1"/>
  <c r="C25" i="7" s="1"/>
  <c r="D25" i="7" s="1"/>
  <c r="F25" i="7" s="1"/>
  <c r="C26" i="7" s="1"/>
  <c r="D26" i="7" s="1"/>
  <c r="F26" i="7" s="1"/>
  <c r="C27" i="7" s="1"/>
  <c r="D27" i="7" s="1"/>
  <c r="F27" i="7" s="1"/>
  <c r="C28" i="7" s="1"/>
  <c r="D28" i="7" s="1"/>
  <c r="F28" i="7" s="1"/>
  <c r="C29" i="7" s="1"/>
  <c r="D29" i="7" s="1"/>
  <c r="F29" i="7" s="1"/>
  <c r="C30" i="7" s="1"/>
  <c r="D30" i="7" s="1"/>
  <c r="F30" i="7" s="1"/>
  <c r="C31" i="7" s="1"/>
  <c r="D31" i="7" s="1"/>
  <c r="F31" i="7" s="1"/>
  <c r="C32" i="7" s="1"/>
  <c r="D32" i="7" s="1"/>
  <c r="F32" i="7" s="1"/>
  <c r="C33" i="7" s="1"/>
  <c r="D33" i="7" s="1"/>
  <c r="F33" i="7" s="1"/>
  <c r="D78" i="6"/>
  <c r="F78" i="6" s="1"/>
  <c r="C79" i="6" s="1"/>
  <c r="D79" i="6" l="1"/>
  <c r="F79" i="6" s="1"/>
  <c r="C80" i="6" s="1"/>
  <c r="D80" i="6" l="1"/>
  <c r="F80" i="6" s="1"/>
  <c r="C81" i="6" s="1"/>
  <c r="D81" i="6" l="1"/>
  <c r="F81" i="6" s="1"/>
  <c r="C82" i="6" s="1"/>
  <c r="D82" i="6" l="1"/>
  <c r="F82" i="6" s="1"/>
  <c r="C83" i="6" s="1"/>
  <c r="D83" i="6" l="1"/>
  <c r="F83" i="6" s="1"/>
  <c r="C84" i="6" s="1"/>
  <c r="D84" i="6" l="1"/>
  <c r="F84" i="6" s="1"/>
  <c r="C85" i="6" s="1"/>
  <c r="D85" i="6" l="1"/>
  <c r="F85" i="6" s="1"/>
  <c r="C86" i="6" s="1"/>
  <c r="D86" i="6" l="1"/>
  <c r="F86" i="6" s="1"/>
  <c r="C87" i="6" s="1"/>
  <c r="D87" i="6" l="1"/>
  <c r="F87" i="6" s="1"/>
  <c r="C88" i="6" s="1"/>
  <c r="D88" i="6" l="1"/>
  <c r="F88" i="6" s="1"/>
  <c r="C89" i="6" s="1"/>
  <c r="D89" i="6" l="1"/>
  <c r="F89" i="6" s="1"/>
  <c r="C90" i="6" s="1"/>
  <c r="D90" i="6" l="1"/>
  <c r="F90" i="6" s="1"/>
  <c r="C91" i="6" s="1"/>
  <c r="D91" i="6" l="1"/>
  <c r="F91" i="6" s="1"/>
  <c r="C92" i="6" s="1"/>
  <c r="D92" i="6" l="1"/>
  <c r="F92" i="6" s="1"/>
  <c r="C93" i="6" s="1"/>
  <c r="D93" i="6" l="1"/>
  <c r="F93" i="6" s="1"/>
  <c r="C94" i="6" s="1"/>
  <c r="D94" i="6" l="1"/>
  <c r="F94" i="6" s="1"/>
  <c r="C95" i="6" s="1"/>
  <c r="D95" i="6" l="1"/>
  <c r="F95" i="6" s="1"/>
  <c r="C96" i="6" s="1"/>
  <c r="D96" i="6" l="1"/>
  <c r="F96" i="6" s="1"/>
  <c r="C97" i="6" s="1"/>
  <c r="D97" i="6" l="1"/>
  <c r="F97" i="6" s="1"/>
  <c r="C98" i="6" s="1"/>
  <c r="D98" i="6" l="1"/>
  <c r="F98" i="6" s="1"/>
  <c r="C99" i="6" s="1"/>
  <c r="D99" i="6" l="1"/>
  <c r="F99" i="6" s="1"/>
  <c r="C100" i="6" s="1"/>
  <c r="D100" i="6" l="1"/>
  <c r="F100" i="6" s="1"/>
  <c r="C101" i="6" s="1"/>
  <c r="D101" i="6" l="1"/>
  <c r="F101" i="6" s="1"/>
  <c r="C102" i="6" s="1"/>
  <c r="D102" i="6" l="1"/>
  <c r="F102" i="6" s="1"/>
  <c r="C103" i="6" s="1"/>
  <c r="D103" i="6" l="1"/>
  <c r="F103" i="6" s="1"/>
  <c r="C104" i="6" s="1"/>
  <c r="D104" i="6" l="1"/>
  <c r="F104" i="6" s="1"/>
  <c r="C105" i="6" s="1"/>
  <c r="D105" i="6" l="1"/>
  <c r="F105" i="6" s="1"/>
  <c r="C106" i="6" s="1"/>
  <c r="D106" i="6" l="1"/>
  <c r="F106" i="6" s="1"/>
  <c r="C107" i="6" s="1"/>
  <c r="D107" i="6" l="1"/>
  <c r="F107" i="6" s="1"/>
  <c r="C108" i="6" s="1"/>
  <c r="D108" i="6" l="1"/>
  <c r="F108" i="6" s="1"/>
  <c r="C109" i="6" s="1"/>
  <c r="D109" i="6" l="1"/>
  <c r="F109" i="6" s="1"/>
  <c r="C110" i="6" s="1"/>
  <c r="D110" i="6" l="1"/>
  <c r="F110" i="6" s="1"/>
  <c r="C111" i="6" s="1"/>
  <c r="D111" i="6" l="1"/>
  <c r="F111" i="6" s="1"/>
  <c r="C112" i="6" s="1"/>
  <c r="D112" i="6" l="1"/>
  <c r="F112" i="6" s="1"/>
  <c r="C113" i="6" s="1"/>
  <c r="D113" i="6" l="1"/>
  <c r="F113" i="6" s="1"/>
  <c r="C114" i="6" s="1"/>
  <c r="D114" i="6" l="1"/>
  <c r="F114" i="6" s="1"/>
  <c r="C115" i="6" s="1"/>
  <c r="D115" i="6" l="1"/>
  <c r="F115" i="6" s="1"/>
  <c r="C116" i="6" s="1"/>
  <c r="D116" i="6" l="1"/>
  <c r="F116" i="6" s="1"/>
  <c r="C117" i="6" s="1"/>
  <c r="D117" i="6" l="1"/>
  <c r="F117" i="6" s="1"/>
  <c r="C118" i="6" s="1"/>
  <c r="D118" i="6" l="1"/>
  <c r="F118" i="6" s="1"/>
  <c r="C119" i="6" s="1"/>
  <c r="D119" i="6" l="1"/>
  <c r="F119" i="6" s="1"/>
  <c r="C120" i="6" s="1"/>
  <c r="D120" i="6" l="1"/>
  <c r="F120" i="6" s="1"/>
  <c r="C121" i="6" s="1"/>
  <c r="D121" i="6" l="1"/>
  <c r="F121" i="6" s="1"/>
  <c r="C122" i="6" s="1"/>
  <c r="D122" i="6" l="1"/>
  <c r="F122" i="6" s="1"/>
  <c r="C123" i="6" s="1"/>
  <c r="D123" i="6" l="1"/>
  <c r="F123" i="6" s="1"/>
  <c r="C124" i="6" s="1"/>
  <c r="D124" i="6" l="1"/>
  <c r="F124" i="6" s="1"/>
  <c r="C125" i="6" s="1"/>
  <c r="D125" i="6" l="1"/>
  <c r="F125" i="6" s="1"/>
  <c r="C126" i="6" s="1"/>
  <c r="D126" i="6" l="1"/>
  <c r="F126" i="6" s="1"/>
  <c r="C127" i="6" s="1"/>
  <c r="D127" i="6" l="1"/>
  <c r="F127" i="6" s="1"/>
  <c r="C128" i="6" s="1"/>
  <c r="D128" i="6" l="1"/>
  <c r="F128" i="6" s="1"/>
  <c r="C129" i="6" s="1"/>
  <c r="D129" i="6" l="1"/>
  <c r="F129" i="6" s="1"/>
  <c r="C130" i="6" s="1"/>
  <c r="D130" i="6" l="1"/>
  <c r="F130" i="6" s="1"/>
  <c r="C131" i="6" s="1"/>
  <c r="D131" i="6" l="1"/>
  <c r="F131" i="6" s="1"/>
  <c r="C132" i="6" s="1"/>
  <c r="D132" i="6" l="1"/>
  <c r="F132" i="6" s="1"/>
  <c r="C133" i="6" s="1"/>
  <c r="D133" i="6" l="1"/>
  <c r="F133" i="6" s="1"/>
  <c r="C134" i="6" s="1"/>
  <c r="D134" i="6" l="1"/>
  <c r="F134" i="6" s="1"/>
  <c r="C135" i="6" s="1"/>
  <c r="D135" i="6" l="1"/>
  <c r="F135" i="6" s="1"/>
  <c r="C136" i="6" s="1"/>
  <c r="D136" i="6" l="1"/>
  <c r="F136" i="6" s="1"/>
  <c r="F10" i="1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AEG User</author>
  </authors>
  <commentList>
    <comment ref="L8" authorId="0" shapeId="0" xr:uid="{FC06E90D-42EE-456C-A53A-E7EF3078183B}">
      <text>
        <r>
          <rPr>
            <sz val="11"/>
            <color indexed="81"/>
            <rFont val="Calibri"/>
            <family val="2"/>
            <scheme val="minor"/>
          </rPr>
          <t>This is the probability of both the male (aged 60 at outset) and female (aged 57 at outset) being alive at each policy duration.</t>
        </r>
      </text>
    </comment>
    <comment ref="P8" authorId="0" shapeId="0" xr:uid="{0365D32F-23A6-4FD0-BC91-5F1A433DD32A}">
      <text>
        <r>
          <rPr>
            <sz val="11"/>
            <color indexed="81"/>
            <rFont val="Calibri"/>
            <family val="2"/>
            <scheme val="minor"/>
          </rPr>
          <t>This is the probability of at least one out of the male (aged 60 at outset) and the female (aged 57 at outset) being alive at each policy duration.</t>
        </r>
      </text>
    </comment>
    <comment ref="P9" authorId="0" shapeId="0" xr:uid="{5BEBF693-26F0-4C7E-B19E-B8FA46621DBF}">
      <text>
        <r>
          <rPr>
            <sz val="11"/>
            <color indexed="81"/>
            <rFont val="Calibri"/>
            <family val="2"/>
            <scheme val="minor"/>
          </rPr>
          <t>{probability of male being alive} 
+ {probability of female being alive}
- {probability of both being alive}</t>
        </r>
      </text>
    </comment>
  </commentList>
</comments>
</file>

<file path=xl/sharedStrings.xml><?xml version="1.0" encoding="utf-8"?>
<sst xmlns="http://schemas.openxmlformats.org/spreadsheetml/2006/main" count="287" uniqueCount="147">
  <si>
    <t>Mortality Table</t>
  </si>
  <si>
    <t>Surrender Rate</t>
  </si>
  <si>
    <t>For Q1(V)</t>
  </si>
  <si>
    <t>Age</t>
  </si>
  <si>
    <t>Mortality Rates</t>
  </si>
  <si>
    <t>Polict Year</t>
  </si>
  <si>
    <t>Surrender Value Factor</t>
  </si>
  <si>
    <t xml:space="preserve">                   lx values</t>
  </si>
  <si>
    <t>Current age</t>
  </si>
  <si>
    <t>Male/Man</t>
  </si>
  <si>
    <t>Female/Women</t>
  </si>
  <si>
    <t>Decrement</t>
  </si>
  <si>
    <t>Per Policy Cashflow</t>
  </si>
  <si>
    <t>Policy Information</t>
  </si>
  <si>
    <t xml:space="preserve">Annual Premium </t>
  </si>
  <si>
    <t>Initial Expenses</t>
  </si>
  <si>
    <t>Interest rate</t>
  </si>
  <si>
    <t xml:space="preserve">PT </t>
  </si>
  <si>
    <t>Renewal Expenses</t>
  </si>
  <si>
    <t>RDR</t>
  </si>
  <si>
    <t>Inflation</t>
  </si>
  <si>
    <t>MATURITY OUTGO</t>
  </si>
  <si>
    <t>Int Commission</t>
  </si>
  <si>
    <t>Death benefit</t>
  </si>
  <si>
    <t>Renewal Commission</t>
  </si>
  <si>
    <t>In force Cashflow</t>
  </si>
  <si>
    <t>Policy Year</t>
  </si>
  <si>
    <t>Qx</t>
  </si>
  <si>
    <t>Wx</t>
  </si>
  <si>
    <t>Probability In force at Start</t>
  </si>
  <si>
    <t>NO_DEATH</t>
  </si>
  <si>
    <t>NO_SURR</t>
  </si>
  <si>
    <t>Prob inf at END</t>
  </si>
  <si>
    <t>Premium</t>
  </si>
  <si>
    <t>Total Premium Paid to date</t>
  </si>
  <si>
    <t>SURR_FACTOR</t>
  </si>
  <si>
    <t>SURENDER_OUTGO</t>
  </si>
  <si>
    <t>DEATH_OTGO</t>
  </si>
  <si>
    <t>Initial Commission</t>
  </si>
  <si>
    <t>renewal Commission</t>
  </si>
  <si>
    <t>Reserve Per Policy</t>
  </si>
  <si>
    <t>CF Premium</t>
  </si>
  <si>
    <t>CF_Expenses</t>
  </si>
  <si>
    <t>CF_Commission</t>
  </si>
  <si>
    <t>CF_SURR_OUTGO</t>
  </si>
  <si>
    <t>CF_DEATH_OUTGO</t>
  </si>
  <si>
    <t>CF_MATURITY_OUTGO</t>
  </si>
  <si>
    <t>Int on Cashflow</t>
  </si>
  <si>
    <t>Net Cashflow</t>
  </si>
  <si>
    <t>Reserve at End</t>
  </si>
  <si>
    <t>Int on reserve</t>
  </si>
  <si>
    <t>Change in reserve</t>
  </si>
  <si>
    <t>Profit</t>
  </si>
  <si>
    <t>Discount factor</t>
  </si>
  <si>
    <t>EPV of Profit</t>
  </si>
  <si>
    <t>EPV of Premium</t>
  </si>
  <si>
    <t>Change of EPV</t>
  </si>
  <si>
    <t>Profit Margin</t>
  </si>
  <si>
    <t>Valuation Assumption</t>
  </si>
  <si>
    <t xml:space="preserve">Mortality </t>
  </si>
  <si>
    <t>Interest Rate</t>
  </si>
  <si>
    <t xml:space="preserve">Premium </t>
  </si>
  <si>
    <t>Resesrve Per Policy</t>
  </si>
  <si>
    <t>Policyholder IRR</t>
  </si>
  <si>
    <t>Year</t>
  </si>
  <si>
    <t>Cashflow</t>
  </si>
  <si>
    <t>IRR</t>
  </si>
  <si>
    <t>EPV</t>
  </si>
  <si>
    <t>Annuity Amount</t>
  </si>
  <si>
    <t>Joint Life</t>
  </si>
  <si>
    <t>Male Age</t>
  </si>
  <si>
    <t>Last survivor</t>
  </si>
  <si>
    <t>Copied the lx from data input sheet</t>
  </si>
  <si>
    <t>Female Age</t>
  </si>
  <si>
    <t xml:space="preserve">Joint-life temporary annuity </t>
  </si>
  <si>
    <t xml:space="preserve">Last-survivor temporary annuity </t>
  </si>
  <si>
    <t>Annuity</t>
  </si>
  <si>
    <t>Prb of Male being alive</t>
  </si>
  <si>
    <t>prb of female being alive</t>
  </si>
  <si>
    <t>Prb of both survival</t>
  </si>
  <si>
    <t>D.f</t>
  </si>
  <si>
    <t>EPV of Annuity</t>
  </si>
  <si>
    <t>prb of atleast one survives</t>
  </si>
  <si>
    <t>Male</t>
  </si>
  <si>
    <t>Female</t>
  </si>
  <si>
    <t>Total</t>
  </si>
  <si>
    <t>Monthly Int rate</t>
  </si>
  <si>
    <t>EMI</t>
  </si>
  <si>
    <t>Goal Seek</t>
  </si>
  <si>
    <t>Loan Outstanding at the end of 2 year</t>
  </si>
  <si>
    <t>Time</t>
  </si>
  <si>
    <t>Loan Disburshal</t>
  </si>
  <si>
    <t xml:space="preserve">Interest </t>
  </si>
  <si>
    <t>Total Outstanding</t>
  </si>
  <si>
    <t>Total Outstanding at the end of year 2</t>
  </si>
  <si>
    <t>Month</t>
  </si>
  <si>
    <t>Loan Outstanding at start</t>
  </si>
  <si>
    <t>Payment</t>
  </si>
  <si>
    <t>Loan Outstanding at the end</t>
  </si>
  <si>
    <t>Loan Outstanding at the end of 5 Year</t>
  </si>
  <si>
    <t>Effective Annual Interest rate</t>
  </si>
  <si>
    <t>Purchase value</t>
  </si>
  <si>
    <t>Effective Quarterly interest rate</t>
  </si>
  <si>
    <t>Redemption at Par</t>
  </si>
  <si>
    <t>face Value</t>
  </si>
  <si>
    <t>capital gain at maturity</t>
  </si>
  <si>
    <t>Coupon rate annual</t>
  </si>
  <si>
    <t>Tax on capital gain</t>
  </si>
  <si>
    <t>Quarterly coupon rate</t>
  </si>
  <si>
    <t>capital Gain Tax</t>
  </si>
  <si>
    <t>Income tax on Coupon</t>
  </si>
  <si>
    <t>NPV</t>
  </si>
  <si>
    <t>Goal seek the purchase price so the NPV should be zero.</t>
  </si>
  <si>
    <t>Quarter</t>
  </si>
  <si>
    <t>Coupon rate</t>
  </si>
  <si>
    <t>tax on Coupon</t>
  </si>
  <si>
    <t>Redemption value</t>
  </si>
  <si>
    <t>capital Gain tax</t>
  </si>
  <si>
    <t>Purchase Price of Bond</t>
  </si>
  <si>
    <t>PV</t>
  </si>
  <si>
    <t>Time to Expiry (Years)</t>
  </si>
  <si>
    <t>Value of Zero Coupon Bond</t>
  </si>
  <si>
    <t>Spot rate</t>
  </si>
  <si>
    <t>One Year Forward Rate</t>
  </si>
  <si>
    <t xml:space="preserve">Bond Face value </t>
  </si>
  <si>
    <t>Price of the Bond</t>
  </si>
  <si>
    <t>Using The Spot rate</t>
  </si>
  <si>
    <t>Interest Payment</t>
  </si>
  <si>
    <t>Redemption Value</t>
  </si>
  <si>
    <t>Total Cashflow</t>
  </si>
  <si>
    <t>d.F</t>
  </si>
  <si>
    <t>Using the forward rate</t>
  </si>
  <si>
    <t>Forward rate</t>
  </si>
  <si>
    <t>d.f</t>
  </si>
  <si>
    <t>Convert the real target to nominal target at year 5</t>
  </si>
  <si>
    <t>Real Money required at the end of year</t>
  </si>
  <si>
    <t>Inflation rate</t>
  </si>
  <si>
    <t>Nominal Target</t>
  </si>
  <si>
    <t>RD instalment</t>
  </si>
  <si>
    <t>annual Effective Int Rate</t>
  </si>
  <si>
    <t>Monthly Effective  rate</t>
  </si>
  <si>
    <t>Account  Balance at the end of year 5</t>
  </si>
  <si>
    <t>Diff</t>
  </si>
  <si>
    <t>Opening Balance</t>
  </si>
  <si>
    <t>Deposit amount</t>
  </si>
  <si>
    <t>Int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</si>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</sst>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(* #,##0.000_);_(* \(#,##0.000\);_(* &quot;-&quot;??_);_(@_)"/>
    <numFmt numFmtId="168" formatCode="0.0%"/>
    <numFmt numFmtId="169" formatCode="0.000%"/>
    <numFmt numFmtId="170" formatCode="0.000000000000000000%"/>
    <numFmt numFmtId="171" formatCode="_ * #,##0.0_ ;_ * \-#,##0.0_ ;_ * &quot;-&quot;?_ ;_ @_ "/>
    <numFmt numFmtId="172" formatCode="_(* #,##0.0000_);_(* \(#,##0.00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Segoe UI"/>
      <family val="2"/>
    </font>
    <font>
      <sz val="11"/>
      <color indexed="81"/>
      <name val="Calibri"/>
      <family val="2"/>
      <scheme val="minor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9" fontId="0" fillId="0" borderId="0" xfId="0" applyNumberFormat="1"/>
    <xf numFmtId="0" fontId="0" fillId="0" borderId="9" xfId="0" applyBorder="1"/>
    <xf numFmtId="9" fontId="0" fillId="0" borderId="9" xfId="0" applyNumberFormat="1" applyBorder="1"/>
    <xf numFmtId="0" fontId="3" fillId="0" borderId="0" xfId="0" applyFont="1"/>
    <xf numFmtId="10" fontId="0" fillId="0" borderId="0" xfId="0" applyNumberFormat="1"/>
    <xf numFmtId="164" fontId="0" fillId="0" borderId="0" xfId="1" applyFont="1"/>
    <xf numFmtId="166" fontId="0" fillId="0" borderId="0" xfId="1" applyNumberFormat="1" applyFont="1"/>
    <xf numFmtId="164" fontId="0" fillId="0" borderId="0" xfId="0" applyNumberFormat="1"/>
    <xf numFmtId="166" fontId="0" fillId="0" borderId="0" xfId="0" applyNumberFormat="1"/>
    <xf numFmtId="164" fontId="0" fillId="0" borderId="9" xfId="1" applyFont="1" applyBorder="1"/>
    <xf numFmtId="166" fontId="0" fillId="0" borderId="9" xfId="1" applyNumberFormat="1" applyFont="1" applyBorder="1"/>
    <xf numFmtId="164" fontId="0" fillId="0" borderId="9" xfId="0" applyNumberFormat="1" applyBorder="1"/>
    <xf numFmtId="166" fontId="0" fillId="0" borderId="9" xfId="0" applyNumberFormat="1" applyBorder="1"/>
    <xf numFmtId="164" fontId="3" fillId="0" borderId="9" xfId="1" applyFont="1" applyBorder="1"/>
    <xf numFmtId="10" fontId="0" fillId="0" borderId="9" xfId="0" applyNumberFormat="1" applyBorder="1"/>
    <xf numFmtId="166" fontId="2" fillId="0" borderId="0" xfId="1" applyNumberFormat="1" applyFont="1"/>
    <xf numFmtId="0" fontId="2" fillId="0" borderId="0" xfId="0" applyFont="1"/>
    <xf numFmtId="164" fontId="2" fillId="0" borderId="0" xfId="1" applyFont="1"/>
    <xf numFmtId="167" fontId="0" fillId="0" borderId="9" xfId="1" applyNumberFormat="1" applyFont="1" applyBorder="1"/>
    <xf numFmtId="168" fontId="0" fillId="0" borderId="0" xfId="0" applyNumberFormat="1"/>
    <xf numFmtId="0" fontId="0" fillId="0" borderId="10" xfId="0" applyBorder="1"/>
    <xf numFmtId="168" fontId="0" fillId="0" borderId="0" xfId="2" applyNumberFormat="1" applyFont="1"/>
    <xf numFmtId="10" fontId="0" fillId="0" borderId="0" xfId="2" applyNumberFormat="1" applyFont="1"/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10" fontId="0" fillId="0" borderId="9" xfId="2" applyNumberFormat="1" applyFont="1" applyBorder="1"/>
    <xf numFmtId="169" fontId="0" fillId="0" borderId="9" xfId="2" applyNumberFormat="1" applyFont="1" applyBorder="1"/>
    <xf numFmtId="170" fontId="0" fillId="0" borderId="0" xfId="0" applyNumberFormat="1"/>
    <xf numFmtId="164" fontId="0" fillId="2" borderId="0" xfId="0" applyNumberFormat="1" applyFill="1"/>
    <xf numFmtId="166" fontId="2" fillId="0" borderId="0" xfId="1" applyNumberFormat="1" applyFont="1" applyFill="1" applyBorder="1"/>
    <xf numFmtId="165" fontId="2" fillId="0" borderId="0" xfId="1" applyNumberFormat="1" applyFont="1"/>
    <xf numFmtId="0" fontId="0" fillId="0" borderId="0" xfId="0" quotePrefix="1"/>
    <xf numFmtId="171" fontId="0" fillId="0" borderId="9" xfId="0" applyNumberFormat="1" applyBorder="1"/>
    <xf numFmtId="172" fontId="0" fillId="0" borderId="0" xfId="1" applyNumberFormat="1" applyFont="1"/>
    <xf numFmtId="172" fontId="0" fillId="0" borderId="9" xfId="1" applyNumberFormat="1" applyFont="1" applyBorder="1"/>
    <xf numFmtId="0" fontId="8" fillId="0" borderId="0" xfId="0" applyFont="1"/>
    <xf numFmtId="166" fontId="0" fillId="0" borderId="9" xfId="1" applyNumberFormat="1" applyFont="1" applyFill="1" applyBorder="1"/>
    <xf numFmtId="43" fontId="0" fillId="0" borderId="9" xfId="0" applyNumberFormat="1" applyBorder="1"/>
    <xf numFmtId="164" fontId="2" fillId="0" borderId="0" xfId="1" applyFont="1" applyBorder="1"/>
    <xf numFmtId="164" fontId="0" fillId="0" borderId="0" xfId="1" applyFont="1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center"/>
    </xf>
    <xf numFmtId="166" fontId="0" fillId="0" borderId="9" xfId="1" applyNumberFormat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6" fontId="0" fillId="0" borderId="10" xfId="1" applyNumberFormat="1" applyFont="1" applyBorder="1" applyAlignment="1">
      <alignment horizontal="center"/>
    </xf>
    <xf numFmtId="166" fontId="0" fillId="0" borderId="14" xfId="1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77"/>
  <sheetViews>
    <sheetView showGridLines="0" tabSelected="1" zoomScaleNormal="100" workbookViewId="0"/>
  </sheetViews>
  <sheetFormatPr defaultRowHeight="14.5" x14ac:dyDescent="0.35"/>
  <cols>
    <col min="1" max="1" width="13.7265625" bestFit="1" customWidth="1"/>
    <col min="2" max="2" width="13.1796875" bestFit="1" customWidth="1"/>
    <col min="5" max="6" width="13.36328125" bestFit="1" customWidth="1"/>
    <col min="7" max="7" width="20.1796875" bestFit="1" customWidth="1"/>
    <col min="12" max="12" width="16.54296875" bestFit="1" customWidth="1"/>
    <col min="13" max="13" width="14.1796875" bestFit="1" customWidth="1"/>
  </cols>
  <sheetData>
    <row r="2" spans="1:13" x14ac:dyDescent="0.35">
      <c r="B2" s="2"/>
    </row>
    <row r="3" spans="1:13" x14ac:dyDescent="0.35">
      <c r="A3" s="2"/>
      <c r="B3" s="2"/>
    </row>
    <row r="4" spans="1:13" ht="15" thickBot="1" x14ac:dyDescent="0.4">
      <c r="A4" s="1" t="s">
        <v>0</v>
      </c>
      <c r="B4" s="2"/>
      <c r="E4" s="14" t="s">
        <v>1</v>
      </c>
      <c r="K4" s="14" t="s">
        <v>2</v>
      </c>
    </row>
    <row r="5" spans="1:13" ht="15" thickBot="1" x14ac:dyDescent="0.4">
      <c r="A5" s="3" t="s">
        <v>3</v>
      </c>
      <c r="B5" s="4" t="s">
        <v>4</v>
      </c>
      <c r="E5" s="12" t="s">
        <v>5</v>
      </c>
      <c r="F5" s="12" t="s">
        <v>1</v>
      </c>
      <c r="G5" s="12" t="s">
        <v>6</v>
      </c>
      <c r="K5" s="53" t="s">
        <v>7</v>
      </c>
      <c r="L5" s="54"/>
      <c r="M5" s="55"/>
    </row>
    <row r="6" spans="1:13" x14ac:dyDescent="0.35">
      <c r="A6" s="5">
        <v>18</v>
      </c>
      <c r="B6" s="6">
        <v>4.37E-4</v>
      </c>
      <c r="E6" s="12">
        <v>1</v>
      </c>
      <c r="F6" s="13">
        <v>0</v>
      </c>
      <c r="G6" s="13">
        <v>0</v>
      </c>
      <c r="K6" s="12" t="s">
        <v>8</v>
      </c>
      <c r="L6" s="12" t="s">
        <v>9</v>
      </c>
      <c r="M6" s="12" t="s">
        <v>10</v>
      </c>
    </row>
    <row r="7" spans="1:13" x14ac:dyDescent="0.35">
      <c r="A7" s="7">
        <v>19</v>
      </c>
      <c r="B7" s="8">
        <v>4.5249999999999999E-4</v>
      </c>
      <c r="E7" s="12">
        <f>E6+1</f>
        <v>2</v>
      </c>
      <c r="F7" s="13">
        <v>0</v>
      </c>
      <c r="G7" s="13">
        <v>0</v>
      </c>
      <c r="K7" s="12">
        <v>50</v>
      </c>
      <c r="L7" s="12">
        <v>9941.9225000000006</v>
      </c>
      <c r="M7" s="12">
        <v>9952.6969000000008</v>
      </c>
    </row>
    <row r="8" spans="1:13" x14ac:dyDescent="0.35">
      <c r="A8" s="7">
        <v>20</v>
      </c>
      <c r="B8" s="8">
        <v>4.6200000000000001E-4</v>
      </c>
      <c r="E8" s="12">
        <f t="shared" ref="E8:E20" si="0">E7+1</f>
        <v>3</v>
      </c>
      <c r="F8" s="13">
        <v>0.05</v>
      </c>
      <c r="G8" s="13">
        <v>0.8</v>
      </c>
      <c r="K8" s="12">
        <v>51</v>
      </c>
      <c r="L8" s="12">
        <v>9936.5041000000001</v>
      </c>
      <c r="M8" s="12">
        <v>9947.4518000000007</v>
      </c>
    </row>
    <row r="9" spans="1:13" x14ac:dyDescent="0.35">
      <c r="A9" s="7">
        <v>21</v>
      </c>
      <c r="B9" s="8">
        <v>4.6700000000000002E-4</v>
      </c>
      <c r="E9" s="12">
        <f t="shared" si="0"/>
        <v>4</v>
      </c>
      <c r="F9" s="13">
        <v>0.05</v>
      </c>
      <c r="G9" s="13">
        <v>0.85</v>
      </c>
      <c r="K9" s="12">
        <v>52</v>
      </c>
      <c r="L9" s="12">
        <v>9930.2440999999999</v>
      </c>
      <c r="M9" s="12">
        <v>9941.4534999999996</v>
      </c>
    </row>
    <row r="10" spans="1:13" x14ac:dyDescent="0.35">
      <c r="A10" s="7">
        <v>22</v>
      </c>
      <c r="B10" s="8">
        <v>4.685E-4</v>
      </c>
      <c r="E10" s="12">
        <f t="shared" si="0"/>
        <v>5</v>
      </c>
      <c r="F10" s="13">
        <v>0.05</v>
      </c>
      <c r="G10" s="13">
        <v>0.85</v>
      </c>
      <c r="K10" s="12">
        <v>53</v>
      </c>
      <c r="L10" s="12">
        <v>9922.9950000000008</v>
      </c>
      <c r="M10" s="12">
        <v>9934.5740000000005</v>
      </c>
    </row>
    <row r="11" spans="1:13" x14ac:dyDescent="0.35">
      <c r="A11" s="7">
        <v>23</v>
      </c>
      <c r="B11" s="8">
        <v>4.6799999999999999E-4</v>
      </c>
      <c r="E11" s="12">
        <f t="shared" si="0"/>
        <v>6</v>
      </c>
      <c r="F11" s="13">
        <v>0.05</v>
      </c>
      <c r="G11" s="13">
        <v>0.9</v>
      </c>
      <c r="K11" s="12">
        <v>54</v>
      </c>
      <c r="L11" s="12">
        <v>9914.5802999999996</v>
      </c>
      <c r="M11" s="12">
        <v>9926.6759999999995</v>
      </c>
    </row>
    <row r="12" spans="1:13" x14ac:dyDescent="0.35">
      <c r="A12" s="7">
        <v>24</v>
      </c>
      <c r="B12" s="8">
        <v>4.6650000000000001E-4</v>
      </c>
      <c r="E12" s="12">
        <f t="shared" si="0"/>
        <v>7</v>
      </c>
      <c r="F12" s="13">
        <v>0.05</v>
      </c>
      <c r="G12" s="13">
        <v>0.9</v>
      </c>
      <c r="K12" s="12">
        <v>55</v>
      </c>
      <c r="L12" s="12">
        <v>9904.8045999999995</v>
      </c>
      <c r="M12" s="12">
        <v>9917.6229000000003</v>
      </c>
    </row>
    <row r="13" spans="1:13" x14ac:dyDescent="0.35">
      <c r="A13" s="7">
        <v>25</v>
      </c>
      <c r="B13" s="8">
        <v>4.6549999999999998E-4</v>
      </c>
      <c r="E13" s="12">
        <f t="shared" si="0"/>
        <v>8</v>
      </c>
      <c r="F13" s="13">
        <v>0.05</v>
      </c>
      <c r="G13" s="13">
        <v>0.95</v>
      </c>
      <c r="K13" s="12">
        <v>56</v>
      </c>
      <c r="L13" s="12">
        <v>9893.4339</v>
      </c>
      <c r="M13" s="12">
        <v>9907.2491000000009</v>
      </c>
    </row>
    <row r="14" spans="1:13" x14ac:dyDescent="0.35">
      <c r="A14" s="7">
        <v>26</v>
      </c>
      <c r="B14" s="8">
        <v>4.6549999999999998E-4</v>
      </c>
      <c r="E14" s="12">
        <f t="shared" si="0"/>
        <v>9</v>
      </c>
      <c r="F14" s="13">
        <v>0.05</v>
      </c>
      <c r="G14" s="13">
        <v>0.95</v>
      </c>
      <c r="K14" s="12">
        <v>57</v>
      </c>
      <c r="L14" s="12">
        <v>9880.1964000000007</v>
      </c>
      <c r="M14" s="12">
        <v>9895.3703000000005</v>
      </c>
    </row>
    <row r="15" spans="1:13" x14ac:dyDescent="0.35">
      <c r="A15" s="7">
        <v>27</v>
      </c>
      <c r="B15" s="8">
        <v>4.6700000000000002E-4</v>
      </c>
      <c r="E15" s="12">
        <f t="shared" si="0"/>
        <v>10</v>
      </c>
      <c r="F15" s="13">
        <v>0.05</v>
      </c>
      <c r="G15" s="13">
        <v>1</v>
      </c>
      <c r="K15" s="12">
        <v>58</v>
      </c>
      <c r="L15" s="12">
        <v>9864.8030999999992</v>
      </c>
      <c r="M15" s="12">
        <v>9881.7641999999996</v>
      </c>
    </row>
    <row r="16" spans="1:13" x14ac:dyDescent="0.35">
      <c r="A16" s="7">
        <v>28</v>
      </c>
      <c r="B16" s="8">
        <v>4.7100000000000001E-4</v>
      </c>
      <c r="E16" s="12">
        <f t="shared" si="0"/>
        <v>11</v>
      </c>
      <c r="F16" s="13">
        <v>0.15</v>
      </c>
      <c r="G16" s="13">
        <v>1.1000000000000001</v>
      </c>
      <c r="K16" s="12">
        <v>59</v>
      </c>
      <c r="L16" s="12">
        <v>9846.9082999999991</v>
      </c>
      <c r="M16" s="12">
        <v>9866.2003999999997</v>
      </c>
    </row>
    <row r="17" spans="1:13" x14ac:dyDescent="0.35">
      <c r="A17" s="7">
        <v>29</v>
      </c>
      <c r="B17" s="8">
        <v>4.7800000000000002E-4</v>
      </c>
      <c r="E17" s="12">
        <f t="shared" si="0"/>
        <v>12</v>
      </c>
      <c r="F17" s="13">
        <v>0.15</v>
      </c>
      <c r="G17" s="13">
        <v>1.2</v>
      </c>
      <c r="K17" s="12">
        <v>60</v>
      </c>
      <c r="L17" s="12">
        <v>9826.1314000000002</v>
      </c>
      <c r="M17" s="12">
        <v>9848.4313000000002</v>
      </c>
    </row>
    <row r="18" spans="1:13" x14ac:dyDescent="0.35">
      <c r="A18" s="7">
        <v>30</v>
      </c>
      <c r="B18" s="8">
        <v>4.885E-4</v>
      </c>
      <c r="E18" s="12">
        <f t="shared" si="0"/>
        <v>13</v>
      </c>
      <c r="F18" s="13">
        <v>0.15</v>
      </c>
      <c r="G18" s="13">
        <v>1.25</v>
      </c>
      <c r="K18" s="12">
        <v>61</v>
      </c>
      <c r="L18" s="12">
        <v>9802.0475000000006</v>
      </c>
      <c r="M18" s="12">
        <v>9828.1633000000002</v>
      </c>
    </row>
    <row r="19" spans="1:13" x14ac:dyDescent="0.35">
      <c r="A19" s="7">
        <v>31</v>
      </c>
      <c r="B19" s="8">
        <v>5.0250000000000002E-4</v>
      </c>
      <c r="E19" s="12">
        <f t="shared" si="0"/>
        <v>14</v>
      </c>
      <c r="F19" s="13">
        <v>0.15</v>
      </c>
      <c r="G19" s="13">
        <v>1.3</v>
      </c>
      <c r="K19" s="12">
        <v>62</v>
      </c>
      <c r="L19" s="12">
        <v>9773.0825000000004</v>
      </c>
      <c r="M19" s="12">
        <v>9804.1726999999992</v>
      </c>
    </row>
    <row r="20" spans="1:13" x14ac:dyDescent="0.35">
      <c r="A20" s="7">
        <v>32</v>
      </c>
      <c r="B20" s="8">
        <v>5.2099999999999998E-4</v>
      </c>
      <c r="E20" s="12">
        <f t="shared" si="0"/>
        <v>15</v>
      </c>
      <c r="F20" s="13">
        <v>0</v>
      </c>
      <c r="G20" s="13">
        <v>0</v>
      </c>
      <c r="K20" s="12">
        <v>63</v>
      </c>
      <c r="L20" s="12">
        <v>9738.3880000000008</v>
      </c>
      <c r="M20" s="12">
        <v>9775.8876999999993</v>
      </c>
    </row>
    <row r="21" spans="1:13" x14ac:dyDescent="0.35">
      <c r="A21" s="7">
        <v>33</v>
      </c>
      <c r="B21" s="8">
        <v>5.4299999999999997E-4</v>
      </c>
      <c r="K21" s="12">
        <v>64</v>
      </c>
      <c r="L21" s="12">
        <v>9696.9901000000009</v>
      </c>
      <c r="M21" s="12">
        <v>9742.6399000000001</v>
      </c>
    </row>
    <row r="22" spans="1:13" x14ac:dyDescent="0.35">
      <c r="A22" s="7">
        <v>34</v>
      </c>
      <c r="B22" s="8">
        <v>5.6999999999999998E-4</v>
      </c>
      <c r="K22" s="12">
        <v>65</v>
      </c>
      <c r="L22" s="12">
        <v>9647.7970000000005</v>
      </c>
      <c r="M22" s="12">
        <v>9703.7083000000002</v>
      </c>
    </row>
    <row r="23" spans="1:13" x14ac:dyDescent="0.35">
      <c r="A23" s="7">
        <v>35</v>
      </c>
      <c r="B23" s="8">
        <v>6.0099999999999997E-4</v>
      </c>
      <c r="K23" s="12">
        <v>66</v>
      </c>
      <c r="L23" s="12">
        <v>9589.6020000000008</v>
      </c>
      <c r="M23" s="12">
        <v>9658.2852999999996</v>
      </c>
    </row>
    <row r="24" spans="1:13" x14ac:dyDescent="0.35">
      <c r="A24" s="7">
        <v>36</v>
      </c>
      <c r="B24" s="8">
        <v>6.3750000000000005E-4</v>
      </c>
      <c r="K24" s="12">
        <v>67</v>
      </c>
      <c r="L24" s="12">
        <v>9521.0650000000005</v>
      </c>
      <c r="M24" s="12">
        <v>9605.4833999999992</v>
      </c>
    </row>
    <row r="25" spans="1:13" x14ac:dyDescent="0.35">
      <c r="A25" s="7">
        <v>37</v>
      </c>
      <c r="B25" s="8">
        <v>6.7900000000000002E-4</v>
      </c>
      <c r="K25" s="12">
        <v>68</v>
      </c>
      <c r="L25" s="12">
        <v>9440.7170000000006</v>
      </c>
      <c r="M25" s="12">
        <v>9544.3253000000004</v>
      </c>
    </row>
    <row r="26" spans="1:13" x14ac:dyDescent="0.35">
      <c r="A26" s="7">
        <v>38</v>
      </c>
      <c r="B26" s="8">
        <v>7.2650000000000004E-4</v>
      </c>
      <c r="K26" s="12">
        <v>69</v>
      </c>
      <c r="L26" s="12">
        <v>9346.9699999999993</v>
      </c>
      <c r="M26" s="12">
        <v>9473.7450000000008</v>
      </c>
    </row>
    <row r="27" spans="1:13" x14ac:dyDescent="0.35">
      <c r="A27" s="7">
        <v>39</v>
      </c>
      <c r="B27" s="8">
        <v>7.7999999999999999E-4</v>
      </c>
      <c r="K27" s="12">
        <v>70</v>
      </c>
      <c r="L27" s="12">
        <v>9238.134</v>
      </c>
      <c r="M27" s="12">
        <v>9392.6213000000007</v>
      </c>
    </row>
    <row r="28" spans="1:13" x14ac:dyDescent="0.35">
      <c r="A28" s="7">
        <v>40</v>
      </c>
      <c r="B28" s="8">
        <v>8.4000000000000003E-4</v>
      </c>
      <c r="K28" s="12">
        <v>71</v>
      </c>
      <c r="L28" s="12">
        <v>9112.4490000000005</v>
      </c>
      <c r="M28" s="12">
        <v>9299.7471000000005</v>
      </c>
    </row>
    <row r="29" spans="1:13" x14ac:dyDescent="0.35">
      <c r="A29" s="7">
        <v>41</v>
      </c>
      <c r="B29" s="8">
        <v>9.075E-4</v>
      </c>
      <c r="K29" s="12">
        <v>72</v>
      </c>
      <c r="L29" s="12">
        <v>8968.0990000000002</v>
      </c>
      <c r="M29" s="12">
        <v>9193.8601999999992</v>
      </c>
    </row>
    <row r="30" spans="1:13" x14ac:dyDescent="0.35">
      <c r="A30" s="7">
        <v>42</v>
      </c>
      <c r="B30" s="8">
        <v>9.8449999999999992E-4</v>
      </c>
      <c r="K30" s="12">
        <v>73</v>
      </c>
      <c r="L30" s="12">
        <v>8803.2649999999994</v>
      </c>
      <c r="M30" s="12">
        <v>9073.6504000000004</v>
      </c>
    </row>
    <row r="31" spans="1:13" x14ac:dyDescent="0.35">
      <c r="A31" s="7">
        <v>43</v>
      </c>
      <c r="B31" s="8">
        <v>1.072E-3</v>
      </c>
      <c r="K31" s="12">
        <v>74</v>
      </c>
      <c r="L31" s="12">
        <v>8616.17</v>
      </c>
      <c r="M31" s="12">
        <v>8937.7906999999996</v>
      </c>
    </row>
    <row r="32" spans="1:13" x14ac:dyDescent="0.35">
      <c r="A32" s="7">
        <v>44</v>
      </c>
      <c r="B32" s="8">
        <v>1.1724999999999999E-3</v>
      </c>
      <c r="K32" s="12">
        <v>75</v>
      </c>
      <c r="L32" s="12">
        <v>8405.16</v>
      </c>
      <c r="M32" s="12">
        <v>8784.9544999999998</v>
      </c>
    </row>
    <row r="33" spans="1:13" x14ac:dyDescent="0.35">
      <c r="A33" s="7">
        <v>45</v>
      </c>
      <c r="B33" s="8">
        <v>1.2895000000000001E-3</v>
      </c>
      <c r="K33" s="12">
        <v>76</v>
      </c>
      <c r="L33" s="12">
        <v>8168.7979999999998</v>
      </c>
      <c r="M33" s="12">
        <v>8613.8410999999996</v>
      </c>
    </row>
    <row r="34" spans="1:13" x14ac:dyDescent="0.35">
      <c r="A34" s="7">
        <v>46</v>
      </c>
      <c r="B34" s="8">
        <v>1.4254999999999999E-3</v>
      </c>
      <c r="K34" s="12">
        <v>77</v>
      </c>
      <c r="L34" s="12">
        <v>7905.9340000000002</v>
      </c>
      <c r="M34" s="12">
        <v>8423.2427000000007</v>
      </c>
    </row>
    <row r="35" spans="1:13" x14ac:dyDescent="0.35">
      <c r="A35" s="7">
        <v>47</v>
      </c>
      <c r="B35" s="8">
        <v>1.5839999999999999E-3</v>
      </c>
      <c r="K35" s="12">
        <v>78</v>
      </c>
      <c r="L35" s="12">
        <v>7615.8180000000002</v>
      </c>
      <c r="M35" s="12">
        <v>8212.0804000000007</v>
      </c>
    </row>
    <row r="36" spans="1:13" x14ac:dyDescent="0.35">
      <c r="A36" s="7">
        <v>48</v>
      </c>
      <c r="B36" s="8">
        <v>1.768E-3</v>
      </c>
      <c r="K36" s="12">
        <v>79</v>
      </c>
      <c r="L36" s="12">
        <v>7298.223</v>
      </c>
      <c r="M36" s="12">
        <v>7979.4650000000001</v>
      </c>
    </row>
    <row r="37" spans="1:13" x14ac:dyDescent="0.35">
      <c r="A37" s="7">
        <v>49</v>
      </c>
      <c r="B37" s="8">
        <v>1.9789999999999999E-3</v>
      </c>
      <c r="K37" s="12">
        <v>80</v>
      </c>
      <c r="L37" s="12">
        <v>6953.5360000000001</v>
      </c>
      <c r="M37" s="12">
        <v>7724.7365</v>
      </c>
    </row>
    <row r="38" spans="1:13" x14ac:dyDescent="0.35">
      <c r="A38" s="7">
        <v>50</v>
      </c>
      <c r="B38" s="8">
        <v>2.2179999999999999E-3</v>
      </c>
      <c r="K38" s="12">
        <v>81</v>
      </c>
      <c r="L38" s="12">
        <v>6582.8913000000002</v>
      </c>
      <c r="M38" s="12">
        <v>7447.5574999999999</v>
      </c>
    </row>
    <row r="39" spans="1:13" x14ac:dyDescent="0.35">
      <c r="A39" s="7">
        <v>51</v>
      </c>
      <c r="B39" s="8">
        <v>2.4845000000000002E-3</v>
      </c>
      <c r="K39" s="12">
        <v>82</v>
      </c>
      <c r="L39" s="12">
        <v>6188.2338</v>
      </c>
      <c r="M39" s="12">
        <v>7147.9646000000002</v>
      </c>
    </row>
    <row r="40" spans="1:13" x14ac:dyDescent="0.35">
      <c r="A40" s="7">
        <v>52</v>
      </c>
      <c r="B40" s="8">
        <v>2.7750000000000001E-3</v>
      </c>
      <c r="K40" s="12">
        <v>83</v>
      </c>
      <c r="L40" s="12">
        <v>5772.3783000000003</v>
      </c>
      <c r="M40" s="12">
        <v>6826.442</v>
      </c>
    </row>
    <row r="41" spans="1:13" x14ac:dyDescent="0.35">
      <c r="A41" s="7">
        <v>53</v>
      </c>
      <c r="B41" s="8">
        <v>3.0869999999999999E-3</v>
      </c>
      <c r="K41" s="12">
        <v>84</v>
      </c>
      <c r="L41" s="12">
        <v>5339.0573999999997</v>
      </c>
      <c r="M41" s="12">
        <v>6483.9867999999997</v>
      </c>
    </row>
    <row r="42" spans="1:13" x14ac:dyDescent="0.35">
      <c r="A42" s="7">
        <v>54</v>
      </c>
      <c r="B42" s="8">
        <v>3.4155000000000001E-3</v>
      </c>
      <c r="K42" s="12">
        <v>85</v>
      </c>
      <c r="L42" s="12">
        <v>4892.8777</v>
      </c>
      <c r="M42" s="12">
        <v>6122.1544000000004</v>
      </c>
    </row>
    <row r="43" spans="1:13" x14ac:dyDescent="0.35">
      <c r="A43" s="7">
        <v>55</v>
      </c>
      <c r="B43" s="8">
        <v>3.7564999999999999E-3</v>
      </c>
      <c r="K43" s="12">
        <v>86</v>
      </c>
      <c r="L43" s="12">
        <v>4439.2295999999997</v>
      </c>
      <c r="M43" s="12">
        <v>5743.1012000000001</v>
      </c>
    </row>
    <row r="44" spans="1:13" x14ac:dyDescent="0.35">
      <c r="A44" s="7">
        <v>56</v>
      </c>
      <c r="B44" s="8">
        <v>4.1060000000000003E-3</v>
      </c>
      <c r="K44" s="12">
        <v>87</v>
      </c>
      <c r="L44" s="12">
        <v>3984.1376</v>
      </c>
      <c r="M44" s="12">
        <v>5349.5954000000002</v>
      </c>
    </row>
    <row r="45" spans="1:13" x14ac:dyDescent="0.35">
      <c r="A45" s="7">
        <v>57</v>
      </c>
      <c r="B45" s="8">
        <v>4.4625000000000003E-3</v>
      </c>
      <c r="K45" s="12">
        <v>88</v>
      </c>
      <c r="L45" s="12">
        <v>3534.0535</v>
      </c>
      <c r="M45" s="12">
        <v>4945.0001000000002</v>
      </c>
    </row>
    <row r="46" spans="1:13" x14ac:dyDescent="0.35">
      <c r="A46" s="7">
        <v>58</v>
      </c>
      <c r="B46" s="8">
        <v>4.8254999999999999E-3</v>
      </c>
      <c r="K46" s="12">
        <v>89</v>
      </c>
      <c r="L46" s="12">
        <v>3095.5906</v>
      </c>
      <c r="M46" s="12">
        <v>4533.2299999999996</v>
      </c>
    </row>
    <row r="47" spans="1:13" x14ac:dyDescent="0.35">
      <c r="A47" s="7">
        <v>59</v>
      </c>
      <c r="B47" s="8">
        <v>5.1964999999999997E-3</v>
      </c>
      <c r="K47" s="12">
        <v>90</v>
      </c>
      <c r="L47" s="12">
        <v>2675.2031999999999</v>
      </c>
      <c r="M47" s="12">
        <v>4118.6932999999999</v>
      </c>
    </row>
    <row r="48" spans="1:13" x14ac:dyDescent="0.35">
      <c r="A48" s="7">
        <v>60</v>
      </c>
      <c r="B48" s="8">
        <v>5.581E-3</v>
      </c>
      <c r="K48" s="12">
        <v>91</v>
      </c>
      <c r="L48" s="12">
        <v>2278.8692000000001</v>
      </c>
      <c r="M48" s="12">
        <v>3706.1484999999998</v>
      </c>
    </row>
    <row r="49" spans="1:13" x14ac:dyDescent="0.35">
      <c r="A49" s="7">
        <v>61</v>
      </c>
      <c r="B49" s="8">
        <v>5.9845000000000002E-3</v>
      </c>
      <c r="K49" s="12">
        <v>92</v>
      </c>
      <c r="L49" s="12">
        <v>1911.7707</v>
      </c>
      <c r="M49" s="12">
        <v>3300.5587</v>
      </c>
    </row>
    <row r="50" spans="1:13" x14ac:dyDescent="0.35">
      <c r="A50" s="7">
        <v>62</v>
      </c>
      <c r="B50" s="8">
        <v>6.4155000000000002E-3</v>
      </c>
      <c r="K50" s="12">
        <v>93</v>
      </c>
      <c r="L50" s="12">
        <v>1578.0118</v>
      </c>
      <c r="M50" s="12">
        <v>2906.9142999999999</v>
      </c>
    </row>
    <row r="51" spans="1:13" x14ac:dyDescent="0.35">
      <c r="A51" s="7">
        <v>63</v>
      </c>
      <c r="B51" s="8">
        <v>6.8824999999999997E-3</v>
      </c>
      <c r="K51" s="12">
        <v>94</v>
      </c>
      <c r="L51" s="12">
        <v>1280.4161999999999</v>
      </c>
      <c r="M51" s="12">
        <v>2530.0328</v>
      </c>
    </row>
    <row r="52" spans="1:13" x14ac:dyDescent="0.35">
      <c r="A52" s="7">
        <v>64</v>
      </c>
      <c r="B52" s="8">
        <v>7.3959999999999998E-3</v>
      </c>
      <c r="K52" s="12">
        <v>95</v>
      </c>
      <c r="L52" s="12">
        <v>1020.4085</v>
      </c>
      <c r="M52" s="12">
        <v>2174.3557999999998</v>
      </c>
    </row>
    <row r="53" spans="1:13" x14ac:dyDescent="0.35">
      <c r="A53" s="7">
        <v>65</v>
      </c>
      <c r="B53" s="8">
        <v>7.9660000000000009E-3</v>
      </c>
      <c r="K53" s="12">
        <v>96</v>
      </c>
      <c r="L53" s="12">
        <v>798.00329999999997</v>
      </c>
      <c r="M53" s="12">
        <v>1843.7384</v>
      </c>
    </row>
    <row r="54" spans="1:13" x14ac:dyDescent="0.35">
      <c r="A54" s="7">
        <v>66</v>
      </c>
      <c r="B54" s="8">
        <v>8.6029999999999995E-3</v>
      </c>
      <c r="K54" s="12">
        <v>97</v>
      </c>
      <c r="L54" s="12">
        <v>611.9049</v>
      </c>
      <c r="M54" s="12">
        <v>1541.2713000000001</v>
      </c>
    </row>
    <row r="55" spans="1:13" x14ac:dyDescent="0.35">
      <c r="A55" s="7">
        <v>67</v>
      </c>
      <c r="B55" s="8">
        <v>9.3174999999999994E-3</v>
      </c>
      <c r="K55" s="12">
        <v>98</v>
      </c>
      <c r="L55" s="12">
        <v>459.69600000000003</v>
      </c>
      <c r="M55" s="12">
        <v>1269.1522</v>
      </c>
    </row>
    <row r="56" spans="1:13" x14ac:dyDescent="0.35">
      <c r="A56" s="7">
        <v>68</v>
      </c>
      <c r="B56" s="8">
        <v>1.0120000000000001E-2</v>
      </c>
      <c r="K56" s="12">
        <v>99</v>
      </c>
      <c r="L56" s="12">
        <v>338.10140000000001</v>
      </c>
      <c r="M56" s="12">
        <v>1028.5907</v>
      </c>
    </row>
    <row r="57" spans="1:13" x14ac:dyDescent="0.35">
      <c r="A57" s="7">
        <v>69</v>
      </c>
      <c r="B57" s="8">
        <v>1.102E-2</v>
      </c>
      <c r="K57" s="12">
        <v>100</v>
      </c>
      <c r="L57" s="12">
        <v>243.28790000000001</v>
      </c>
      <c r="M57" s="12">
        <v>819.79610000000002</v>
      </c>
    </row>
    <row r="58" spans="1:13" x14ac:dyDescent="0.35">
      <c r="A58" s="7">
        <v>70</v>
      </c>
      <c r="B58" s="8">
        <v>1.2029E-2</v>
      </c>
      <c r="K58" s="12">
        <v>101</v>
      </c>
      <c r="L58" s="12">
        <v>171.1713</v>
      </c>
      <c r="M58" s="12">
        <v>642.01260000000002</v>
      </c>
    </row>
    <row r="59" spans="1:13" x14ac:dyDescent="0.35">
      <c r="A59" s="7">
        <v>71</v>
      </c>
      <c r="B59" s="8">
        <v>1.3157E-2</v>
      </c>
      <c r="K59" s="12">
        <v>102</v>
      </c>
      <c r="L59" s="12">
        <v>117.6935</v>
      </c>
      <c r="M59" s="12">
        <v>493.6275</v>
      </c>
    </row>
    <row r="60" spans="1:13" x14ac:dyDescent="0.35">
      <c r="A60" s="7">
        <v>72</v>
      </c>
      <c r="B60" s="8">
        <v>1.4416E-2</v>
      </c>
      <c r="K60" s="12">
        <v>103</v>
      </c>
      <c r="L60" s="12">
        <v>79.049499999999995</v>
      </c>
      <c r="M60" s="12">
        <v>372.32490000000001</v>
      </c>
    </row>
    <row r="61" spans="1:13" x14ac:dyDescent="0.35">
      <c r="A61" s="7">
        <v>73</v>
      </c>
      <c r="B61" s="8">
        <v>1.5819E-2</v>
      </c>
      <c r="K61" s="12">
        <v>104</v>
      </c>
      <c r="L61" s="12">
        <v>51.8476</v>
      </c>
      <c r="M61" s="12">
        <v>275.27690000000001</v>
      </c>
    </row>
    <row r="62" spans="1:13" x14ac:dyDescent="0.35">
      <c r="A62" s="7">
        <v>74</v>
      </c>
      <c r="B62" s="8">
        <v>1.7378500000000002E-2</v>
      </c>
      <c r="K62" s="12">
        <v>105</v>
      </c>
      <c r="L62" s="12">
        <v>33.200400000000002</v>
      </c>
      <c r="M62" s="12">
        <v>199.34729999999999</v>
      </c>
    </row>
    <row r="63" spans="1:13" x14ac:dyDescent="0.35">
      <c r="A63" s="7">
        <v>75</v>
      </c>
      <c r="B63" s="8">
        <v>1.9110499999999999E-2</v>
      </c>
      <c r="K63" s="12">
        <v>106</v>
      </c>
      <c r="L63" s="12">
        <v>20.754000000000001</v>
      </c>
      <c r="M63" s="12">
        <v>141.29400000000001</v>
      </c>
    </row>
    <row r="64" spans="1:13" x14ac:dyDescent="0.35">
      <c r="A64" s="7">
        <v>76</v>
      </c>
      <c r="B64" s="8">
        <v>2.1030500000000001E-2</v>
      </c>
      <c r="K64" s="12">
        <v>107</v>
      </c>
      <c r="L64" s="12">
        <v>12.6653</v>
      </c>
      <c r="M64" s="12">
        <v>97.950599999999994</v>
      </c>
    </row>
    <row r="65" spans="1:13" x14ac:dyDescent="0.35">
      <c r="A65" s="7">
        <v>77</v>
      </c>
      <c r="B65" s="8">
        <v>2.3158000000000002E-2</v>
      </c>
      <c r="K65" s="12">
        <v>108</v>
      </c>
      <c r="L65" s="12">
        <v>7.5465999999999998</v>
      </c>
      <c r="M65" s="12">
        <v>66.370699999999999</v>
      </c>
    </row>
    <row r="66" spans="1:13" x14ac:dyDescent="0.35">
      <c r="A66" s="7">
        <v>78</v>
      </c>
      <c r="B66" s="8">
        <v>2.5512E-2</v>
      </c>
      <c r="K66" s="12">
        <v>109</v>
      </c>
      <c r="L66" s="12">
        <v>4.3918999999999997</v>
      </c>
      <c r="M66" s="12">
        <v>43.930700000000002</v>
      </c>
    </row>
    <row r="67" spans="1:13" x14ac:dyDescent="0.35">
      <c r="A67" s="7">
        <v>79</v>
      </c>
      <c r="B67" s="8">
        <v>2.8115500000000002E-2</v>
      </c>
      <c r="K67" s="12">
        <v>110</v>
      </c>
      <c r="L67" s="12">
        <v>2.4975000000000001</v>
      </c>
      <c r="M67" s="12">
        <v>28.3887</v>
      </c>
    </row>
    <row r="68" spans="1:13" ht="15" thickBot="1" x14ac:dyDescent="0.4">
      <c r="A68" s="9">
        <v>80</v>
      </c>
      <c r="B68" s="10">
        <v>3.0992499999999999E-2</v>
      </c>
      <c r="K68" s="12">
        <v>111</v>
      </c>
      <c r="L68" s="12">
        <v>1.3885000000000001</v>
      </c>
      <c r="M68" s="12">
        <v>17.901800000000001</v>
      </c>
    </row>
    <row r="69" spans="1:13" x14ac:dyDescent="0.35">
      <c r="K69" s="12">
        <v>112</v>
      </c>
      <c r="L69" s="12">
        <v>0.75949999999999995</v>
      </c>
      <c r="M69" s="12">
        <v>11.056100000000001</v>
      </c>
    </row>
    <row r="70" spans="1:13" x14ac:dyDescent="0.35">
      <c r="K70" s="12">
        <v>113</v>
      </c>
      <c r="L70" s="12">
        <v>0.40910000000000002</v>
      </c>
      <c r="M70" s="12">
        <v>6.6872999999999996</v>
      </c>
    </row>
    <row r="71" spans="1:13" x14ac:dyDescent="0.35">
      <c r="K71" s="12">
        <v>114</v>
      </c>
      <c r="L71" s="12">
        <v>0.21729999999999999</v>
      </c>
      <c r="M71" s="12">
        <v>3.9615999999999998</v>
      </c>
    </row>
    <row r="72" spans="1:13" x14ac:dyDescent="0.35">
      <c r="K72" s="12">
        <v>115</v>
      </c>
      <c r="L72" s="12">
        <v>0.114</v>
      </c>
      <c r="M72" s="12">
        <v>2.2989000000000002</v>
      </c>
    </row>
    <row r="73" spans="1:13" x14ac:dyDescent="0.35">
      <c r="K73" s="12">
        <v>116</v>
      </c>
      <c r="L73" s="12">
        <v>5.91E-2</v>
      </c>
      <c r="M73" s="12">
        <v>1.3070999999999999</v>
      </c>
    </row>
    <row r="74" spans="1:13" x14ac:dyDescent="0.35">
      <c r="K74" s="12">
        <v>117</v>
      </c>
      <c r="L74" s="12">
        <v>3.04E-2</v>
      </c>
      <c r="M74" s="12">
        <v>0.72840000000000005</v>
      </c>
    </row>
    <row r="75" spans="1:13" x14ac:dyDescent="0.35">
      <c r="K75" s="12">
        <v>118</v>
      </c>
      <c r="L75" s="12">
        <v>1.55E-2</v>
      </c>
      <c r="M75" s="12">
        <v>0.39800000000000002</v>
      </c>
    </row>
    <row r="76" spans="1:13" x14ac:dyDescent="0.35">
      <c r="K76" s="12">
        <v>119</v>
      </c>
      <c r="L76" s="12">
        <v>7.7999999999999996E-3</v>
      </c>
      <c r="M76" s="12">
        <v>0.21329999999999999</v>
      </c>
    </row>
    <row r="77" spans="1:13" x14ac:dyDescent="0.35">
      <c r="K77" s="12">
        <v>120</v>
      </c>
      <c r="L77" s="12">
        <v>3.8999999999999998E-3</v>
      </c>
      <c r="M77" s="12">
        <v>0.11219999999999999</v>
      </c>
    </row>
  </sheetData>
  <mergeCells count="1">
    <mergeCell ref="K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2E82A-DE67-4DB5-885F-F3F7A6160AFD}">
  <dimension ref="A1:AT27"/>
  <sheetViews>
    <sheetView showGridLines="0" zoomScaleNormal="100" workbookViewId="0"/>
  </sheetViews>
  <sheetFormatPr defaultRowHeight="14.5" x14ac:dyDescent="0.35"/>
  <cols>
    <col min="1" max="1" width="16.1796875" bestFit="1" customWidth="1"/>
    <col min="2" max="2" width="10.1796875" bestFit="1" customWidth="1"/>
    <col min="4" max="4" width="17.7265625" bestFit="1" customWidth="1"/>
    <col min="7" max="7" width="11.1796875" bestFit="1" customWidth="1"/>
    <col min="13" max="13" width="10.1796875" bestFit="1" customWidth="1"/>
    <col min="14" max="14" width="11.1796875" bestFit="1" customWidth="1"/>
    <col min="15" max="15" width="8.81640625" style="16" bestFit="1" customWidth="1"/>
    <col min="16" max="16" width="18.36328125" customWidth="1"/>
    <col min="17" max="17" width="17.81640625" bestFit="1" customWidth="1"/>
    <col min="18" max="18" width="13.81640625" bestFit="1" customWidth="1"/>
    <col min="19" max="19" width="14.54296875" bestFit="1" customWidth="1"/>
    <col min="20" max="20" width="9.1796875" bestFit="1" customWidth="1"/>
    <col min="21" max="21" width="10.1796875" bestFit="1" customWidth="1"/>
    <col min="22" max="22" width="17.36328125" bestFit="1" customWidth="1"/>
    <col min="23" max="23" width="17.36328125" customWidth="1"/>
    <col min="25" max="25" width="10.1796875" bestFit="1" customWidth="1"/>
    <col min="26" max="26" width="9.7265625" bestFit="1" customWidth="1"/>
    <col min="27" max="28" width="10.7265625" bestFit="1" customWidth="1"/>
    <col min="29" max="29" width="8.81640625" bestFit="1" customWidth="1"/>
    <col min="30" max="30" width="11.7265625" bestFit="1" customWidth="1"/>
    <col min="31" max="31" width="14" bestFit="1" customWidth="1"/>
    <col min="32" max="32" width="13.1796875" bestFit="1" customWidth="1"/>
    <col min="33" max="33" width="11.7265625" bestFit="1" customWidth="1"/>
    <col min="34" max="34" width="13.81640625" customWidth="1"/>
    <col min="35" max="35" width="12.36328125" bestFit="1" customWidth="1"/>
    <col min="36" max="36" width="15.7265625" bestFit="1" customWidth="1"/>
    <col min="37" max="37" width="15.7265625" customWidth="1"/>
    <col min="38" max="38" width="11.1796875" bestFit="1" customWidth="1"/>
    <col min="39" max="39" width="14.81640625" bestFit="1" customWidth="1"/>
    <col min="42" max="42" width="14.1796875" bestFit="1" customWidth="1"/>
    <col min="43" max="43" width="11.54296875" bestFit="1" customWidth="1"/>
  </cols>
  <sheetData>
    <row r="1" spans="1:46" x14ac:dyDescent="0.35">
      <c r="P1" s="27"/>
      <c r="Q1" s="27"/>
      <c r="R1" s="27"/>
    </row>
    <row r="2" spans="1:46" x14ac:dyDescent="0.35">
      <c r="P2" s="27"/>
      <c r="Q2" s="27"/>
      <c r="R2" s="27"/>
      <c r="S2" s="27"/>
    </row>
    <row r="3" spans="1:46" x14ac:dyDescent="0.35">
      <c r="A3" t="s">
        <v>13</v>
      </c>
      <c r="P3" s="27"/>
      <c r="Q3" s="27"/>
      <c r="R3" s="27"/>
    </row>
    <row r="4" spans="1:46" x14ac:dyDescent="0.35">
      <c r="A4" s="12" t="s">
        <v>14</v>
      </c>
      <c r="B4" s="21">
        <v>50000</v>
      </c>
      <c r="D4" s="12" t="s">
        <v>15</v>
      </c>
      <c r="E4" s="12">
        <v>5000</v>
      </c>
      <c r="G4" s="12" t="s">
        <v>16</v>
      </c>
      <c r="H4" s="25">
        <v>6.5000000000000002E-2</v>
      </c>
      <c r="P4" s="27"/>
      <c r="Q4" s="27"/>
      <c r="R4" s="27"/>
    </row>
    <row r="5" spans="1:46" x14ac:dyDescent="0.35">
      <c r="A5" s="12" t="s">
        <v>17</v>
      </c>
      <c r="B5" s="12">
        <v>15</v>
      </c>
      <c r="D5" s="12" t="s">
        <v>18</v>
      </c>
      <c r="E5" s="12">
        <v>1000</v>
      </c>
      <c r="G5" s="12" t="s">
        <v>19</v>
      </c>
      <c r="H5" s="13">
        <v>0.12</v>
      </c>
      <c r="P5" s="27"/>
      <c r="Q5" s="27"/>
      <c r="R5" s="27"/>
    </row>
    <row r="6" spans="1:46" x14ac:dyDescent="0.35">
      <c r="A6" s="12" t="s">
        <v>3</v>
      </c>
      <c r="B6" s="12">
        <v>30</v>
      </c>
      <c r="D6" s="12" t="s">
        <v>20</v>
      </c>
      <c r="E6" s="25">
        <v>2.5000000000000001E-2</v>
      </c>
      <c r="P6" s="27"/>
      <c r="Q6" s="27"/>
      <c r="R6" s="27"/>
    </row>
    <row r="7" spans="1:46" x14ac:dyDescent="0.35">
      <c r="A7" s="12" t="s">
        <v>21</v>
      </c>
      <c r="B7" s="12">
        <f>B4*20</f>
        <v>1000000</v>
      </c>
      <c r="D7" s="12" t="s">
        <v>22</v>
      </c>
      <c r="E7" s="13">
        <v>0.25</v>
      </c>
    </row>
    <row r="8" spans="1:46" x14ac:dyDescent="0.35">
      <c r="A8" s="12" t="s">
        <v>23</v>
      </c>
      <c r="B8" s="12">
        <f>B4*20</f>
        <v>1000000</v>
      </c>
      <c r="D8" s="12" t="s">
        <v>24</v>
      </c>
      <c r="E8" s="13">
        <v>0.05</v>
      </c>
      <c r="H8" s="58"/>
      <c r="I8" s="58"/>
      <c r="J8" s="58"/>
      <c r="K8" s="58"/>
      <c r="M8" s="27"/>
      <c r="N8" s="27"/>
      <c r="O8" s="28"/>
      <c r="P8" s="27"/>
      <c r="Q8" s="27"/>
      <c r="R8" s="27"/>
      <c r="S8" s="27"/>
      <c r="T8" s="27"/>
      <c r="U8" s="27"/>
      <c r="V8" s="27"/>
      <c r="W8" s="27"/>
      <c r="Y8" s="27"/>
      <c r="Z8" s="27"/>
      <c r="AA8" s="27"/>
      <c r="AB8" s="27"/>
      <c r="AC8" s="27"/>
      <c r="AD8" s="27"/>
      <c r="AE8" s="27"/>
      <c r="AF8" s="27"/>
      <c r="AH8" s="27"/>
      <c r="AI8" s="27"/>
      <c r="AJ8" s="27"/>
      <c r="AL8" s="27"/>
      <c r="AM8" s="27"/>
    </row>
    <row r="9" spans="1:46" x14ac:dyDescent="0.35">
      <c r="E9" s="11"/>
    </row>
    <row r="10" spans="1:46" x14ac:dyDescent="0.35">
      <c r="E10" s="27"/>
      <c r="F10" s="27"/>
      <c r="H10" s="56" t="s">
        <v>11</v>
      </c>
      <c r="I10" s="56"/>
      <c r="J10" s="56"/>
      <c r="K10" s="56"/>
      <c r="M10" s="59" t="s">
        <v>12</v>
      </c>
      <c r="N10" s="59"/>
      <c r="O10" s="59"/>
      <c r="P10" s="59"/>
      <c r="Q10" s="59"/>
      <c r="R10" s="59"/>
      <c r="S10" s="59"/>
      <c r="T10" s="59"/>
      <c r="U10" s="59"/>
      <c r="V10" s="59"/>
      <c r="W10" s="59"/>
      <c r="Y10" s="56" t="s">
        <v>25</v>
      </c>
      <c r="Z10" s="56"/>
      <c r="AA10" s="56"/>
      <c r="AB10" s="56"/>
      <c r="AC10" s="56"/>
      <c r="AD10" s="56"/>
      <c r="AE10" s="56"/>
      <c r="AF10" s="56"/>
      <c r="AH10" s="57"/>
      <c r="AI10" s="57"/>
      <c r="AJ10" s="57"/>
    </row>
    <row r="11" spans="1:46" x14ac:dyDescent="0.35">
      <c r="B11" s="12" t="s">
        <v>26</v>
      </c>
      <c r="C11" s="12" t="s">
        <v>3</v>
      </c>
      <c r="E11" s="12" t="s">
        <v>27</v>
      </c>
      <c r="F11" s="12" t="s">
        <v>28</v>
      </c>
      <c r="H11" s="12" t="s">
        <v>29</v>
      </c>
      <c r="I11" s="12" t="s">
        <v>30</v>
      </c>
      <c r="J11" s="12" t="s">
        <v>31</v>
      </c>
      <c r="K11" s="12" t="s">
        <v>32</v>
      </c>
      <c r="M11" s="21" t="s">
        <v>33</v>
      </c>
      <c r="N11" s="21" t="s">
        <v>34</v>
      </c>
      <c r="O11" s="20" t="s">
        <v>35</v>
      </c>
      <c r="P11" s="21" t="s">
        <v>36</v>
      </c>
      <c r="Q11" s="21" t="s">
        <v>21</v>
      </c>
      <c r="R11" s="21" t="s">
        <v>37</v>
      </c>
      <c r="S11" s="21" t="s">
        <v>15</v>
      </c>
      <c r="T11" s="21" t="s">
        <v>18</v>
      </c>
      <c r="U11" s="21" t="s">
        <v>38</v>
      </c>
      <c r="V11" s="21" t="s">
        <v>39</v>
      </c>
      <c r="W11" s="21" t="s">
        <v>40</v>
      </c>
      <c r="Y11" s="21" t="s">
        <v>41</v>
      </c>
      <c r="Z11" s="21" t="s">
        <v>42</v>
      </c>
      <c r="AA11" s="21" t="s">
        <v>43</v>
      </c>
      <c r="AB11" s="21" t="s">
        <v>44</v>
      </c>
      <c r="AC11" s="21" t="s">
        <v>45</v>
      </c>
      <c r="AD11" s="21" t="s">
        <v>46</v>
      </c>
      <c r="AE11" s="21" t="s">
        <v>47</v>
      </c>
      <c r="AF11" s="21" t="s">
        <v>48</v>
      </c>
      <c r="AH11" s="12" t="s">
        <v>49</v>
      </c>
      <c r="AI11" s="12" t="s">
        <v>50</v>
      </c>
      <c r="AJ11" s="12" t="s">
        <v>51</v>
      </c>
      <c r="AL11" s="21" t="s">
        <v>52</v>
      </c>
      <c r="AM11" s="21" t="s">
        <v>53</v>
      </c>
      <c r="AP11" s="12" t="s">
        <v>54</v>
      </c>
      <c r="AQ11" s="20">
        <f>SUMPRODUCT(AL13:AL27,AM13:AM27)</f>
        <v>72595.570009480405</v>
      </c>
      <c r="AR11" s="27"/>
    </row>
    <row r="12" spans="1:46" x14ac:dyDescent="0.35">
      <c r="B12" s="12"/>
      <c r="C12" s="12"/>
      <c r="E12" s="12"/>
      <c r="F12" s="12"/>
      <c r="H12" s="12"/>
      <c r="I12" s="12"/>
      <c r="J12" s="12"/>
      <c r="K12" s="12"/>
      <c r="M12" s="21"/>
      <c r="N12" s="21"/>
      <c r="O12" s="20"/>
      <c r="P12" s="21"/>
      <c r="Q12" s="21"/>
      <c r="R12" s="21"/>
      <c r="S12" s="21"/>
      <c r="T12" s="21"/>
      <c r="U12" s="21"/>
      <c r="V12" s="21"/>
      <c r="W12" s="21"/>
      <c r="Y12" s="21"/>
      <c r="Z12" s="21"/>
      <c r="AA12" s="21"/>
      <c r="AB12" s="21"/>
      <c r="AC12" s="21"/>
      <c r="AD12" s="21"/>
      <c r="AE12" s="21"/>
      <c r="AF12" s="21"/>
      <c r="AH12" s="12">
        <v>0</v>
      </c>
      <c r="AI12" s="12"/>
      <c r="AJ12" s="12"/>
      <c r="AL12" s="21"/>
      <c r="AM12" s="21">
        <v>1</v>
      </c>
      <c r="AP12" s="12" t="s">
        <v>55</v>
      </c>
      <c r="AQ12" s="20">
        <f>SUMPRODUCT(Y13:Y27,AM12:AM26)</f>
        <v>319255.46928901784</v>
      </c>
      <c r="AR12" s="27"/>
      <c r="AT12" s="44" t="s">
        <v>56</v>
      </c>
    </row>
    <row r="13" spans="1:46" x14ac:dyDescent="0.35">
      <c r="B13" s="12">
        <v>1</v>
      </c>
      <c r="C13" s="12">
        <f>B6</f>
        <v>30</v>
      </c>
      <c r="E13" s="12">
        <f>VLOOKUP(C13,'Q1 Data'!$A$5:$B$68,2,0)</f>
        <v>4.885E-4</v>
      </c>
      <c r="F13" s="12">
        <f>VLOOKUP(B13,'Q1 Data'!$E$5:$F$20,2,0)</f>
        <v>0</v>
      </c>
      <c r="H13" s="12">
        <v>1</v>
      </c>
      <c r="I13" s="12">
        <f>H13*E13</f>
        <v>4.885E-4</v>
      </c>
      <c r="J13" s="12">
        <f>H13*F13</f>
        <v>0</v>
      </c>
      <c r="K13" s="12">
        <f>H13-I13-J13</f>
        <v>0.9995115</v>
      </c>
      <c r="M13" s="21">
        <f>$B$4</f>
        <v>50000</v>
      </c>
      <c r="N13" s="21">
        <f>M13</f>
        <v>50000</v>
      </c>
      <c r="O13" s="20">
        <f>VLOOKUP(B13,'Q1 Data'!$E$5:$G$20,3,0)</f>
        <v>0</v>
      </c>
      <c r="P13" s="21">
        <f>N13*O13</f>
        <v>0</v>
      </c>
      <c r="Q13" s="21">
        <v>0</v>
      </c>
      <c r="R13" s="21">
        <f>$B$8</f>
        <v>1000000</v>
      </c>
      <c r="S13" s="21">
        <f>E4</f>
        <v>5000</v>
      </c>
      <c r="T13" s="21"/>
      <c r="U13" s="21">
        <f>$B$4*E7</f>
        <v>12500</v>
      </c>
      <c r="V13" s="21"/>
      <c r="W13" s="21">
        <f>0.45*N13</f>
        <v>22500</v>
      </c>
      <c r="Y13" s="21">
        <f>M13*H13</f>
        <v>50000</v>
      </c>
      <c r="Z13" s="21">
        <f>-(S13+T13)*H13</f>
        <v>-5000</v>
      </c>
      <c r="AA13" s="21">
        <f>-(U13+V13)*H13</f>
        <v>-12500</v>
      </c>
      <c r="AB13" s="21">
        <f>-P13*J13</f>
        <v>0</v>
      </c>
      <c r="AC13" s="21">
        <f>-R13*I13</f>
        <v>-488.5</v>
      </c>
      <c r="AD13" s="21">
        <f>-Q13*K13</f>
        <v>0</v>
      </c>
      <c r="AE13" s="21">
        <f>SUM(Y13:AA13)*$H$4</f>
        <v>2112.5</v>
      </c>
      <c r="AF13" s="21">
        <f>SUM(Y13:AE13)</f>
        <v>34124</v>
      </c>
      <c r="AG13" s="18"/>
      <c r="AH13" s="45">
        <f>W13*K13</f>
        <v>22489.008750000001</v>
      </c>
      <c r="AI13" s="12">
        <f>AH12*$H$4</f>
        <v>0</v>
      </c>
      <c r="AJ13" s="12">
        <f>AH12-AH13</f>
        <v>-22489.008750000001</v>
      </c>
      <c r="AL13" s="21">
        <f t="shared" ref="AL13:AL27" si="0">AF13+AI13+AJ13</f>
        <v>11634.991249999999</v>
      </c>
      <c r="AM13" s="29">
        <f t="shared" ref="AM13:AM27" si="1">1/(1+$H$5)^B13</f>
        <v>0.89285714285714279</v>
      </c>
      <c r="AP13" s="12" t="s">
        <v>57</v>
      </c>
      <c r="AQ13" s="24">
        <f>AQ11/AQ12</f>
        <v>0.22739021565128012</v>
      </c>
      <c r="AR13" s="27"/>
    </row>
    <row r="14" spans="1:46" x14ac:dyDescent="0.35">
      <c r="B14" s="12">
        <f>B13+1</f>
        <v>2</v>
      </c>
      <c r="C14" s="12">
        <f>C13+1</f>
        <v>31</v>
      </c>
      <c r="E14" s="12">
        <f>VLOOKUP(C14,'Q1 Data'!$A$5:$B$68,2,0)</f>
        <v>5.0250000000000002E-4</v>
      </c>
      <c r="F14" s="12">
        <f>VLOOKUP(B14,'Q1 Data'!$E$5:$F$20,2,0)</f>
        <v>0</v>
      </c>
      <c r="H14" s="12">
        <f>K13</f>
        <v>0.9995115</v>
      </c>
      <c r="I14" s="12">
        <f t="shared" ref="I14:I27" si="2">H14*E14</f>
        <v>5.0225452874999999E-4</v>
      </c>
      <c r="J14" s="12">
        <f t="shared" ref="J14:J27" si="3">H14*F14</f>
        <v>0</v>
      </c>
      <c r="K14" s="12">
        <f t="shared" ref="K14:K27" si="4">H14-I14-J14</f>
        <v>0.99900924547125003</v>
      </c>
      <c r="M14" s="21">
        <f t="shared" ref="M14:M27" si="5">$B$4</f>
        <v>50000</v>
      </c>
      <c r="N14" s="21">
        <f>SUM($M$13:M14)</f>
        <v>100000</v>
      </c>
      <c r="O14" s="20">
        <f>VLOOKUP(B14,'Q1 Data'!$E$5:$G$20,3,0)</f>
        <v>0</v>
      </c>
      <c r="P14" s="21">
        <f t="shared" ref="P14:P27" si="6">N14*O14</f>
        <v>0</v>
      </c>
      <c r="Q14" s="21">
        <v>0</v>
      </c>
      <c r="R14" s="21">
        <f t="shared" ref="R14:R27" si="7">$B$8</f>
        <v>1000000</v>
      </c>
      <c r="S14" s="21"/>
      <c r="T14" s="21">
        <f>E5</f>
        <v>1000</v>
      </c>
      <c r="U14" s="21"/>
      <c r="V14" s="21">
        <f>$B$4*$E$8</f>
        <v>2500</v>
      </c>
      <c r="W14" s="21">
        <f t="shared" ref="W14:W26" si="8">0.45*N14</f>
        <v>45000</v>
      </c>
      <c r="Y14" s="21">
        <f t="shared" ref="Y14:Y27" si="9">M14*H14</f>
        <v>49975.574999999997</v>
      </c>
      <c r="Z14" s="21">
        <f t="shared" ref="Z14:Z27" si="10">-(S14+T14)*H14</f>
        <v>-999.51149999999996</v>
      </c>
      <c r="AA14" s="21">
        <f t="shared" ref="AA14:AA27" si="11">-(U14+V14)*H14</f>
        <v>-2498.7787499999999</v>
      </c>
      <c r="AB14" s="21">
        <f t="shared" ref="AB14:AB27" si="12">-P14*J14</f>
        <v>0</v>
      </c>
      <c r="AC14" s="21">
        <f t="shared" ref="AC14:AC27" si="13">-R14*I14</f>
        <v>-502.25452875000002</v>
      </c>
      <c r="AD14" s="21">
        <f t="shared" ref="AD14:AD27" si="14">-Q14*K14</f>
        <v>0</v>
      </c>
      <c r="AE14" s="21">
        <f t="shared" ref="AE14:AE27" si="15">SUM(Y14:AA14)*$H$4</f>
        <v>3021.02350875</v>
      </c>
      <c r="AF14" s="21">
        <f t="shared" ref="AF14:AF27" si="16">SUM(Y14:AE14)</f>
        <v>48996.053729999992</v>
      </c>
      <c r="AG14" s="18"/>
      <c r="AH14" s="45">
        <f t="shared" ref="AH14:AH27" si="17">W14*K14</f>
        <v>44955.41604620625</v>
      </c>
      <c r="AI14" s="12">
        <f t="shared" ref="AI14:AI27" si="18">AH13*$H$4</f>
        <v>1461.78556875</v>
      </c>
      <c r="AJ14" s="12">
        <f t="shared" ref="AJ14:AJ27" si="19">AH13-AH14</f>
        <v>-22466.407296206249</v>
      </c>
      <c r="AL14" s="21">
        <f t="shared" si="0"/>
        <v>27991.432002543741</v>
      </c>
      <c r="AM14" s="29">
        <f t="shared" si="1"/>
        <v>0.79719387755102034</v>
      </c>
    </row>
    <row r="15" spans="1:46" x14ac:dyDescent="0.35">
      <c r="B15" s="12">
        <f t="shared" ref="B15:B27" si="20">B14+1</f>
        <v>3</v>
      </c>
      <c r="C15" s="12">
        <f t="shared" ref="C15:C27" si="21">C14+1</f>
        <v>32</v>
      </c>
      <c r="E15" s="12">
        <f>VLOOKUP(C15,'Q1 Data'!$A$5:$B$68,2,0)</f>
        <v>5.2099999999999998E-4</v>
      </c>
      <c r="F15" s="12">
        <f>VLOOKUP(B15,'Q1 Data'!$E$5:$F$20,2,0)</f>
        <v>0.05</v>
      </c>
      <c r="H15" s="12">
        <f t="shared" ref="H15:H27" si="22">K14</f>
        <v>0.99900924547125003</v>
      </c>
      <c r="I15" s="12">
        <f t="shared" si="2"/>
        <v>5.2048381689052123E-4</v>
      </c>
      <c r="J15" s="12">
        <f t="shared" si="3"/>
        <v>4.9950462273562507E-2</v>
      </c>
      <c r="K15" s="12">
        <f t="shared" si="4"/>
        <v>0.94853829938079703</v>
      </c>
      <c r="M15" s="21">
        <f t="shared" si="5"/>
        <v>50000</v>
      </c>
      <c r="N15" s="21">
        <f>SUM($M$13:M15)</f>
        <v>150000</v>
      </c>
      <c r="O15" s="20">
        <f>VLOOKUP(B15,'Q1 Data'!$E$5:$G$20,3,0)</f>
        <v>0.8</v>
      </c>
      <c r="P15" s="21">
        <f t="shared" si="6"/>
        <v>120000</v>
      </c>
      <c r="Q15" s="21">
        <v>0</v>
      </c>
      <c r="R15" s="21">
        <f t="shared" si="7"/>
        <v>1000000</v>
      </c>
      <c r="S15" s="21"/>
      <c r="T15" s="21">
        <f>T14*(1+$E$6)</f>
        <v>1025</v>
      </c>
      <c r="U15" s="21"/>
      <c r="V15" s="21">
        <f t="shared" ref="V15:V27" si="23">$B$4*$E$8</f>
        <v>2500</v>
      </c>
      <c r="W15" s="21">
        <f t="shared" si="8"/>
        <v>67500</v>
      </c>
      <c r="Y15" s="21">
        <f t="shared" si="9"/>
        <v>49950.462273562502</v>
      </c>
      <c r="Z15" s="21">
        <f t="shared" si="10"/>
        <v>-1023.9844766080313</v>
      </c>
      <c r="AA15" s="21">
        <f t="shared" si="11"/>
        <v>-2497.5231136781249</v>
      </c>
      <c r="AB15" s="21">
        <f t="shared" si="12"/>
        <v>-5994.055472827501</v>
      </c>
      <c r="AC15" s="21">
        <f t="shared" si="13"/>
        <v>-520.48381689052121</v>
      </c>
      <c r="AD15" s="21">
        <f t="shared" si="14"/>
        <v>0</v>
      </c>
      <c r="AE15" s="21">
        <f t="shared" si="15"/>
        <v>3017.882054412963</v>
      </c>
      <c r="AF15" s="21">
        <f t="shared" si="16"/>
        <v>42932.297447971294</v>
      </c>
      <c r="AG15" s="18"/>
      <c r="AH15" s="45">
        <f t="shared" si="17"/>
        <v>64026.335208203796</v>
      </c>
      <c r="AI15" s="12">
        <f t="shared" si="18"/>
        <v>2922.1020430034064</v>
      </c>
      <c r="AJ15" s="12">
        <f t="shared" si="19"/>
        <v>-19070.919161997546</v>
      </c>
      <c r="AL15" s="21">
        <f t="shared" si="0"/>
        <v>26783.480328977152</v>
      </c>
      <c r="AM15" s="29">
        <f t="shared" si="1"/>
        <v>0.71178024781341087</v>
      </c>
    </row>
    <row r="16" spans="1:46" x14ac:dyDescent="0.35">
      <c r="B16" s="12">
        <f t="shared" si="20"/>
        <v>4</v>
      </c>
      <c r="C16" s="12">
        <f t="shared" si="21"/>
        <v>33</v>
      </c>
      <c r="E16" s="12">
        <f>VLOOKUP(C16,'Q1 Data'!$A$5:$B$68,2,0)</f>
        <v>5.4299999999999997E-4</v>
      </c>
      <c r="F16" s="12">
        <f>VLOOKUP(B16,'Q1 Data'!$E$5:$F$20,2,0)</f>
        <v>0.05</v>
      </c>
      <c r="H16" s="12">
        <f t="shared" si="22"/>
        <v>0.94853829938079703</v>
      </c>
      <c r="I16" s="12">
        <f t="shared" si="2"/>
        <v>5.1505629656377274E-4</v>
      </c>
      <c r="J16" s="12">
        <f t="shared" si="3"/>
        <v>4.7426914969039856E-2</v>
      </c>
      <c r="K16" s="12">
        <f t="shared" si="4"/>
        <v>0.90059632811519341</v>
      </c>
      <c r="M16" s="21">
        <f t="shared" si="5"/>
        <v>50000</v>
      </c>
      <c r="N16" s="21">
        <f>SUM($M$13:M16)</f>
        <v>200000</v>
      </c>
      <c r="O16" s="20">
        <f>VLOOKUP(B16,'Q1 Data'!$E$5:$G$20,3,0)</f>
        <v>0.85</v>
      </c>
      <c r="P16" s="21">
        <f t="shared" si="6"/>
        <v>170000</v>
      </c>
      <c r="Q16" s="21">
        <v>0</v>
      </c>
      <c r="R16" s="21">
        <f t="shared" si="7"/>
        <v>1000000</v>
      </c>
      <c r="S16" s="21"/>
      <c r="T16" s="21">
        <f t="shared" ref="T16:T27" si="24">T15*(1+$E$6)</f>
        <v>1050.625</v>
      </c>
      <c r="U16" s="21"/>
      <c r="V16" s="21">
        <f t="shared" si="23"/>
        <v>2500</v>
      </c>
      <c r="W16" s="21">
        <f t="shared" si="8"/>
        <v>90000</v>
      </c>
      <c r="Y16" s="21">
        <f t="shared" si="9"/>
        <v>47426.914969039848</v>
      </c>
      <c r="Z16" s="21">
        <f t="shared" si="10"/>
        <v>-996.55805078694993</v>
      </c>
      <c r="AA16" s="21">
        <f t="shared" si="11"/>
        <v>-2371.3457484519927</v>
      </c>
      <c r="AB16" s="21">
        <f t="shared" si="12"/>
        <v>-8062.5755447367756</v>
      </c>
      <c r="AC16" s="21">
        <f t="shared" si="13"/>
        <v>-515.05629656377278</v>
      </c>
      <c r="AD16" s="21">
        <f t="shared" si="14"/>
        <v>0</v>
      </c>
      <c r="AE16" s="21">
        <f t="shared" si="15"/>
        <v>2863.835726037059</v>
      </c>
      <c r="AF16" s="21">
        <f t="shared" si="16"/>
        <v>38345.215054537417</v>
      </c>
      <c r="AG16" s="18"/>
      <c r="AH16" s="45">
        <f t="shared" si="17"/>
        <v>81053.669530367406</v>
      </c>
      <c r="AI16" s="12">
        <f t="shared" si="18"/>
        <v>4161.7117885332473</v>
      </c>
      <c r="AJ16" s="12">
        <f t="shared" si="19"/>
        <v>-17027.33432216361</v>
      </c>
      <c r="AL16" s="21">
        <f t="shared" si="0"/>
        <v>25479.592520907056</v>
      </c>
      <c r="AM16" s="29">
        <f t="shared" si="1"/>
        <v>0.63551807840483121</v>
      </c>
    </row>
    <row r="17" spans="2:39" x14ac:dyDescent="0.35">
      <c r="B17" s="12">
        <f t="shared" si="20"/>
        <v>5</v>
      </c>
      <c r="C17" s="12">
        <f t="shared" si="21"/>
        <v>34</v>
      </c>
      <c r="E17" s="12">
        <f>VLOOKUP(C17,'Q1 Data'!$A$5:$B$68,2,0)</f>
        <v>5.6999999999999998E-4</v>
      </c>
      <c r="F17" s="12">
        <f>VLOOKUP(B17,'Q1 Data'!$E$5:$F$20,2,0)</f>
        <v>0.05</v>
      </c>
      <c r="H17" s="12">
        <f t="shared" si="22"/>
        <v>0.90059632811519341</v>
      </c>
      <c r="I17" s="12">
        <f t="shared" si="2"/>
        <v>5.1333990702566023E-4</v>
      </c>
      <c r="J17" s="12">
        <f t="shared" si="3"/>
        <v>4.5029816405759676E-2</v>
      </c>
      <c r="K17" s="12">
        <f t="shared" si="4"/>
        <v>0.85505317180240814</v>
      </c>
      <c r="M17" s="21">
        <f t="shared" si="5"/>
        <v>50000</v>
      </c>
      <c r="N17" s="21">
        <f>SUM($M$13:M17)</f>
        <v>250000</v>
      </c>
      <c r="O17" s="20">
        <f>VLOOKUP(B17,'Q1 Data'!$E$5:$G$20,3,0)</f>
        <v>0.85</v>
      </c>
      <c r="P17" s="21">
        <f t="shared" si="6"/>
        <v>212500</v>
      </c>
      <c r="Q17" s="21">
        <v>0</v>
      </c>
      <c r="R17" s="21">
        <f t="shared" si="7"/>
        <v>1000000</v>
      </c>
      <c r="S17" s="21"/>
      <c r="T17" s="21">
        <f t="shared" si="24"/>
        <v>1076.890625</v>
      </c>
      <c r="U17" s="21"/>
      <c r="V17" s="21">
        <f t="shared" si="23"/>
        <v>2500</v>
      </c>
      <c r="W17" s="21">
        <f t="shared" si="8"/>
        <v>112500</v>
      </c>
      <c r="Y17" s="21">
        <f t="shared" si="9"/>
        <v>45029.816405759673</v>
      </c>
      <c r="Z17" s="21">
        <f t="shared" si="10"/>
        <v>-969.84374265667566</v>
      </c>
      <c r="AA17" s="21">
        <f t="shared" si="11"/>
        <v>-2251.4908202879838</v>
      </c>
      <c r="AB17" s="21">
        <f t="shared" si="12"/>
        <v>-9568.8359862239304</v>
      </c>
      <c r="AC17" s="21">
        <f t="shared" si="13"/>
        <v>-513.33990702566018</v>
      </c>
      <c r="AD17" s="21">
        <f t="shared" si="14"/>
        <v>0</v>
      </c>
      <c r="AE17" s="21">
        <f t="shared" si="15"/>
        <v>2717.5513197829764</v>
      </c>
      <c r="AF17" s="21">
        <f t="shared" si="16"/>
        <v>34443.857269348402</v>
      </c>
      <c r="AG17" s="18"/>
      <c r="AH17" s="45">
        <f t="shared" si="17"/>
        <v>96193.481827770913</v>
      </c>
      <c r="AI17" s="12">
        <f t="shared" si="18"/>
        <v>5268.4885194738818</v>
      </c>
      <c r="AJ17" s="12">
        <f t="shared" si="19"/>
        <v>-15139.812297403507</v>
      </c>
      <c r="AL17" s="21">
        <f t="shared" si="0"/>
        <v>24572.533491418777</v>
      </c>
      <c r="AM17" s="29">
        <f t="shared" si="1"/>
        <v>0.56742685571859919</v>
      </c>
    </row>
    <row r="18" spans="2:39" x14ac:dyDescent="0.35">
      <c r="B18" s="12">
        <f t="shared" si="20"/>
        <v>6</v>
      </c>
      <c r="C18" s="12">
        <f t="shared" si="21"/>
        <v>35</v>
      </c>
      <c r="E18" s="12">
        <f>VLOOKUP(C18,'Q1 Data'!$A$5:$B$68,2,0)</f>
        <v>6.0099999999999997E-4</v>
      </c>
      <c r="F18" s="12">
        <f>VLOOKUP(B18,'Q1 Data'!$E$5:$F$20,2,0)</f>
        <v>0.05</v>
      </c>
      <c r="H18" s="12">
        <f t="shared" si="22"/>
        <v>0.85505317180240814</v>
      </c>
      <c r="I18" s="12">
        <f t="shared" si="2"/>
        <v>5.1388695625324723E-4</v>
      </c>
      <c r="J18" s="12">
        <f t="shared" si="3"/>
        <v>4.275265859012041E-2</v>
      </c>
      <c r="K18" s="12">
        <f t="shared" si="4"/>
        <v>0.81178662625603448</v>
      </c>
      <c r="M18" s="21">
        <f t="shared" si="5"/>
        <v>50000</v>
      </c>
      <c r="N18" s="21">
        <f>SUM($M$13:M18)</f>
        <v>300000</v>
      </c>
      <c r="O18" s="20">
        <f>VLOOKUP(B18,'Q1 Data'!$E$5:$G$20,3,0)</f>
        <v>0.9</v>
      </c>
      <c r="P18" s="21">
        <f t="shared" si="6"/>
        <v>270000</v>
      </c>
      <c r="Q18" s="21">
        <v>0</v>
      </c>
      <c r="R18" s="21">
        <f t="shared" si="7"/>
        <v>1000000</v>
      </c>
      <c r="S18" s="21"/>
      <c r="T18" s="21">
        <f t="shared" si="24"/>
        <v>1103.8128906249999</v>
      </c>
      <c r="U18" s="21"/>
      <c r="V18" s="21">
        <f t="shared" si="23"/>
        <v>2500</v>
      </c>
      <c r="W18" s="21">
        <f t="shared" si="8"/>
        <v>135000</v>
      </c>
      <c r="Y18" s="21">
        <f t="shared" si="9"/>
        <v>42752.658590120409</v>
      </c>
      <c r="Z18" s="21">
        <f t="shared" si="10"/>
        <v>-943.81871320529081</v>
      </c>
      <c r="AA18" s="21">
        <f t="shared" si="11"/>
        <v>-2137.6329295060204</v>
      </c>
      <c r="AB18" s="21">
        <f t="shared" si="12"/>
        <v>-11543.217819332511</v>
      </c>
      <c r="AC18" s="21">
        <f t="shared" si="13"/>
        <v>-513.88695625324726</v>
      </c>
      <c r="AD18" s="21">
        <f t="shared" si="14"/>
        <v>0</v>
      </c>
      <c r="AE18" s="21">
        <f t="shared" si="15"/>
        <v>2578.6284515815914</v>
      </c>
      <c r="AF18" s="21">
        <f t="shared" si="16"/>
        <v>30192.730623404932</v>
      </c>
      <c r="AG18" s="18"/>
      <c r="AH18" s="45">
        <f t="shared" si="17"/>
        <v>109591.19454456466</v>
      </c>
      <c r="AI18" s="12">
        <f t="shared" si="18"/>
        <v>6252.5763188051096</v>
      </c>
      <c r="AJ18" s="12">
        <f t="shared" si="19"/>
        <v>-13397.712716793743</v>
      </c>
      <c r="AL18" s="21">
        <f t="shared" si="0"/>
        <v>23047.594225416295</v>
      </c>
      <c r="AM18" s="29">
        <f t="shared" si="1"/>
        <v>0.50663112117732068</v>
      </c>
    </row>
    <row r="19" spans="2:39" x14ac:dyDescent="0.35">
      <c r="B19" s="12">
        <f t="shared" si="20"/>
        <v>7</v>
      </c>
      <c r="C19" s="12">
        <f t="shared" si="21"/>
        <v>36</v>
      </c>
      <c r="E19" s="12">
        <f>VLOOKUP(C19,'Q1 Data'!$A$5:$B$68,2,0)</f>
        <v>6.3750000000000005E-4</v>
      </c>
      <c r="F19" s="12">
        <f>VLOOKUP(B19,'Q1 Data'!$E$5:$F$20,2,0)</f>
        <v>0.05</v>
      </c>
      <c r="H19" s="12">
        <f t="shared" si="22"/>
        <v>0.81178662625603448</v>
      </c>
      <c r="I19" s="12">
        <f t="shared" si="2"/>
        <v>5.1751397423822204E-4</v>
      </c>
      <c r="J19" s="12">
        <f t="shared" si="3"/>
        <v>4.0589331312801728E-2</v>
      </c>
      <c r="K19" s="12">
        <f t="shared" si="4"/>
        <v>0.77067978096899448</v>
      </c>
      <c r="M19" s="21">
        <f t="shared" si="5"/>
        <v>50000</v>
      </c>
      <c r="N19" s="21">
        <f>SUM($M$13:M19)</f>
        <v>350000</v>
      </c>
      <c r="O19" s="20">
        <f>VLOOKUP(B19,'Q1 Data'!$E$5:$G$20,3,0)</f>
        <v>0.9</v>
      </c>
      <c r="P19" s="21">
        <f t="shared" si="6"/>
        <v>315000</v>
      </c>
      <c r="Q19" s="21">
        <v>0</v>
      </c>
      <c r="R19" s="21">
        <f t="shared" si="7"/>
        <v>1000000</v>
      </c>
      <c r="S19" s="21"/>
      <c r="T19" s="21">
        <f t="shared" si="24"/>
        <v>1131.4082128906248</v>
      </c>
      <c r="U19" s="21"/>
      <c r="V19" s="21">
        <f t="shared" si="23"/>
        <v>2500</v>
      </c>
      <c r="W19" s="21">
        <f t="shared" si="8"/>
        <v>157500</v>
      </c>
      <c r="Y19" s="21">
        <f t="shared" si="9"/>
        <v>40589.331312801725</v>
      </c>
      <c r="Z19" s="21">
        <f t="shared" si="10"/>
        <v>-918.46205606084948</v>
      </c>
      <c r="AA19" s="21">
        <f t="shared" si="11"/>
        <v>-2029.4665656400862</v>
      </c>
      <c r="AB19" s="21">
        <f t="shared" si="12"/>
        <v>-12785.639363532544</v>
      </c>
      <c r="AC19" s="21">
        <f t="shared" si="13"/>
        <v>-517.51397423822209</v>
      </c>
      <c r="AD19" s="21">
        <f t="shared" si="14"/>
        <v>0</v>
      </c>
      <c r="AE19" s="21">
        <f t="shared" si="15"/>
        <v>2446.6911749215515</v>
      </c>
      <c r="AF19" s="21">
        <f t="shared" si="16"/>
        <v>26784.940528251573</v>
      </c>
      <c r="AG19" s="18"/>
      <c r="AH19" s="45">
        <f t="shared" si="17"/>
        <v>121382.06550261664</v>
      </c>
      <c r="AI19" s="12">
        <f t="shared" si="18"/>
        <v>7123.4276453967032</v>
      </c>
      <c r="AJ19" s="12">
        <f t="shared" si="19"/>
        <v>-11790.870958051979</v>
      </c>
      <c r="AL19" s="21">
        <f t="shared" si="0"/>
        <v>22117.497215596297</v>
      </c>
      <c r="AM19" s="29">
        <f t="shared" si="1"/>
        <v>0.45234921533689343</v>
      </c>
    </row>
    <row r="20" spans="2:39" x14ac:dyDescent="0.35">
      <c r="B20" s="12">
        <f t="shared" si="20"/>
        <v>8</v>
      </c>
      <c r="C20" s="12">
        <f t="shared" si="21"/>
        <v>37</v>
      </c>
      <c r="E20" s="12">
        <f>VLOOKUP(C20,'Q1 Data'!$A$5:$B$68,2,0)</f>
        <v>6.7900000000000002E-4</v>
      </c>
      <c r="F20" s="12">
        <f>VLOOKUP(B20,'Q1 Data'!$E$5:$F$20,2,0)</f>
        <v>0.05</v>
      </c>
      <c r="H20" s="12">
        <f t="shared" si="22"/>
        <v>0.77067978096899448</v>
      </c>
      <c r="I20" s="12">
        <f t="shared" si="2"/>
        <v>5.2329157127794731E-4</v>
      </c>
      <c r="J20" s="12">
        <f t="shared" si="3"/>
        <v>3.8533989048449728E-2</v>
      </c>
      <c r="K20" s="12">
        <f t="shared" si="4"/>
        <v>0.73162250034926679</v>
      </c>
      <c r="M20" s="21">
        <f t="shared" si="5"/>
        <v>50000</v>
      </c>
      <c r="N20" s="21">
        <f>SUM($M$13:M20)</f>
        <v>400000</v>
      </c>
      <c r="O20" s="20">
        <f>VLOOKUP(B20,'Q1 Data'!$E$5:$G$20,3,0)</f>
        <v>0.95</v>
      </c>
      <c r="P20" s="21">
        <f t="shared" si="6"/>
        <v>380000</v>
      </c>
      <c r="Q20" s="21">
        <v>0</v>
      </c>
      <c r="R20" s="21">
        <f t="shared" si="7"/>
        <v>1000000</v>
      </c>
      <c r="S20" s="21"/>
      <c r="T20" s="21">
        <f t="shared" si="24"/>
        <v>1159.6934182128903</v>
      </c>
      <c r="U20" s="21"/>
      <c r="V20" s="21">
        <f t="shared" si="23"/>
        <v>2500</v>
      </c>
      <c r="W20" s="21">
        <f t="shared" si="8"/>
        <v>180000</v>
      </c>
      <c r="Y20" s="21">
        <f t="shared" si="9"/>
        <v>38533.989048449723</v>
      </c>
      <c r="Z20" s="21">
        <f t="shared" si="10"/>
        <v>-893.75226953949482</v>
      </c>
      <c r="AA20" s="21">
        <f t="shared" si="11"/>
        <v>-1926.6994524224863</v>
      </c>
      <c r="AB20" s="21">
        <f t="shared" si="12"/>
        <v>-14642.915838410896</v>
      </c>
      <c r="AC20" s="21">
        <f t="shared" si="13"/>
        <v>-523.29157127794736</v>
      </c>
      <c r="AD20" s="21">
        <f t="shared" si="14"/>
        <v>0</v>
      </c>
      <c r="AE20" s="21">
        <f t="shared" si="15"/>
        <v>2321.3799262217035</v>
      </c>
      <c r="AF20" s="21">
        <f t="shared" si="16"/>
        <v>22868.709843020602</v>
      </c>
      <c r="AG20" s="18"/>
      <c r="AH20" s="45">
        <f t="shared" si="17"/>
        <v>131692.05006286802</v>
      </c>
      <c r="AI20" s="12">
        <f t="shared" si="18"/>
        <v>7889.8342576700816</v>
      </c>
      <c r="AJ20" s="12">
        <f t="shared" si="19"/>
        <v>-10309.984560251381</v>
      </c>
      <c r="AL20" s="21">
        <f t="shared" si="0"/>
        <v>20448.559540439303</v>
      </c>
      <c r="AM20" s="29">
        <f t="shared" si="1"/>
        <v>0.4038832279793691</v>
      </c>
    </row>
    <row r="21" spans="2:39" x14ac:dyDescent="0.35">
      <c r="B21" s="12">
        <f t="shared" si="20"/>
        <v>9</v>
      </c>
      <c r="C21" s="12">
        <f t="shared" si="21"/>
        <v>38</v>
      </c>
      <c r="E21" s="12">
        <f>VLOOKUP(C21,'Q1 Data'!$A$5:$B$68,2,0)</f>
        <v>7.2650000000000004E-4</v>
      </c>
      <c r="F21" s="12">
        <f>VLOOKUP(B21,'Q1 Data'!$E$5:$F$20,2,0)</f>
        <v>0.05</v>
      </c>
      <c r="H21" s="12">
        <f t="shared" si="22"/>
        <v>0.73162250034926679</v>
      </c>
      <c r="I21" s="12">
        <f t="shared" si="2"/>
        <v>5.3152374650374239E-4</v>
      </c>
      <c r="J21" s="12">
        <f t="shared" si="3"/>
        <v>3.6581125017463342E-2</v>
      </c>
      <c r="K21" s="12">
        <f t="shared" si="4"/>
        <v>0.69450985158529965</v>
      </c>
      <c r="M21" s="21">
        <f t="shared" si="5"/>
        <v>50000</v>
      </c>
      <c r="N21" s="21">
        <f>SUM($M$13:M21)</f>
        <v>450000</v>
      </c>
      <c r="O21" s="20">
        <f>VLOOKUP(B21,'Q1 Data'!$E$5:$G$20,3,0)</f>
        <v>0.95</v>
      </c>
      <c r="P21" s="21">
        <f t="shared" si="6"/>
        <v>427500</v>
      </c>
      <c r="Q21" s="21">
        <v>0</v>
      </c>
      <c r="R21" s="21">
        <f t="shared" si="7"/>
        <v>1000000</v>
      </c>
      <c r="S21" s="21"/>
      <c r="T21" s="21">
        <f t="shared" si="24"/>
        <v>1188.6857536682123</v>
      </c>
      <c r="U21" s="21"/>
      <c r="V21" s="21">
        <f t="shared" si="23"/>
        <v>2500</v>
      </c>
      <c r="W21" s="21">
        <f t="shared" si="8"/>
        <v>202500</v>
      </c>
      <c r="Y21" s="21">
        <f t="shared" si="9"/>
        <v>36581.125017463339</v>
      </c>
      <c r="Z21" s="21">
        <f t="shared" si="10"/>
        <v>-869.66924322829016</v>
      </c>
      <c r="AA21" s="21">
        <f t="shared" si="11"/>
        <v>-1829.0562508731671</v>
      </c>
      <c r="AB21" s="21">
        <f t="shared" si="12"/>
        <v>-15638.430944965579</v>
      </c>
      <c r="AC21" s="21">
        <f t="shared" si="13"/>
        <v>-531.52374650374236</v>
      </c>
      <c r="AD21" s="21">
        <f t="shared" si="14"/>
        <v>0</v>
      </c>
      <c r="AE21" s="21">
        <f t="shared" si="15"/>
        <v>2202.3559690185225</v>
      </c>
      <c r="AF21" s="21">
        <f t="shared" si="16"/>
        <v>19914.800800911085</v>
      </c>
      <c r="AG21" s="18"/>
      <c r="AH21" s="45">
        <f t="shared" si="17"/>
        <v>140638.24494602319</v>
      </c>
      <c r="AI21" s="12">
        <f t="shared" si="18"/>
        <v>8559.9832540864209</v>
      </c>
      <c r="AJ21" s="12">
        <f t="shared" si="19"/>
        <v>-8946.1948831551708</v>
      </c>
      <c r="AL21" s="21">
        <f t="shared" si="0"/>
        <v>19528.589171842337</v>
      </c>
      <c r="AM21" s="29">
        <f t="shared" si="1"/>
        <v>0.36061002498157957</v>
      </c>
    </row>
    <row r="22" spans="2:39" x14ac:dyDescent="0.35">
      <c r="B22" s="12">
        <f t="shared" si="20"/>
        <v>10</v>
      </c>
      <c r="C22" s="12">
        <f t="shared" si="21"/>
        <v>39</v>
      </c>
      <c r="E22" s="12">
        <f>VLOOKUP(C22,'Q1 Data'!$A$5:$B$68,2,0)</f>
        <v>7.7999999999999999E-4</v>
      </c>
      <c r="F22" s="12">
        <f>VLOOKUP(B22,'Q1 Data'!$E$5:$F$20,2,0)</f>
        <v>0.05</v>
      </c>
      <c r="H22" s="12">
        <f t="shared" si="22"/>
        <v>0.69450985158529965</v>
      </c>
      <c r="I22" s="12">
        <f t="shared" si="2"/>
        <v>5.4171768423653369E-4</v>
      </c>
      <c r="J22" s="12">
        <f t="shared" si="3"/>
        <v>3.4725492579264987E-2</v>
      </c>
      <c r="K22" s="12">
        <f t="shared" si="4"/>
        <v>0.65924264132179822</v>
      </c>
      <c r="M22" s="21">
        <f t="shared" si="5"/>
        <v>50000</v>
      </c>
      <c r="N22" s="21">
        <f>SUM($M$13:M22)</f>
        <v>500000</v>
      </c>
      <c r="O22" s="20">
        <f>VLOOKUP(B22,'Q1 Data'!$E$5:$G$20,3,0)</f>
        <v>1</v>
      </c>
      <c r="P22" s="21">
        <f t="shared" si="6"/>
        <v>500000</v>
      </c>
      <c r="Q22" s="21">
        <v>0</v>
      </c>
      <c r="R22" s="21">
        <f t="shared" si="7"/>
        <v>1000000</v>
      </c>
      <c r="S22" s="21"/>
      <c r="T22" s="21">
        <f t="shared" si="24"/>
        <v>1218.4028975099175</v>
      </c>
      <c r="U22" s="21"/>
      <c r="V22" s="21">
        <f t="shared" si="23"/>
        <v>2500</v>
      </c>
      <c r="W22" s="21">
        <f t="shared" si="8"/>
        <v>225000</v>
      </c>
      <c r="Y22" s="21">
        <f t="shared" si="9"/>
        <v>34725.492579264981</v>
      </c>
      <c r="Z22" s="21">
        <f t="shared" si="10"/>
        <v>-846.19281552071186</v>
      </c>
      <c r="AA22" s="21">
        <f t="shared" si="11"/>
        <v>-1736.2746289632491</v>
      </c>
      <c r="AB22" s="21">
        <f t="shared" si="12"/>
        <v>-17362.746289632494</v>
      </c>
      <c r="AC22" s="21">
        <f t="shared" si="13"/>
        <v>-541.71768423653373</v>
      </c>
      <c r="AD22" s="21">
        <f t="shared" si="14"/>
        <v>0</v>
      </c>
      <c r="AE22" s="21">
        <f t="shared" si="15"/>
        <v>2089.2966337607663</v>
      </c>
      <c r="AF22" s="21">
        <f t="shared" si="16"/>
        <v>16327.857794672758</v>
      </c>
      <c r="AG22" s="18"/>
      <c r="AH22" s="45">
        <f t="shared" si="17"/>
        <v>148329.5942974046</v>
      </c>
      <c r="AI22" s="12">
        <f t="shared" si="18"/>
        <v>9141.4859214915068</v>
      </c>
      <c r="AJ22" s="12">
        <f t="shared" si="19"/>
        <v>-7691.3493513814174</v>
      </c>
      <c r="AL22" s="21">
        <f t="shared" si="0"/>
        <v>17777.994364782848</v>
      </c>
      <c r="AM22" s="29">
        <f t="shared" si="1"/>
        <v>0.32197323659069599</v>
      </c>
    </row>
    <row r="23" spans="2:39" x14ac:dyDescent="0.35">
      <c r="B23" s="12">
        <f t="shared" si="20"/>
        <v>11</v>
      </c>
      <c r="C23" s="12">
        <f t="shared" si="21"/>
        <v>40</v>
      </c>
      <c r="E23" s="12">
        <f>VLOOKUP(C23,'Q1 Data'!$A$5:$B$68,2,0)</f>
        <v>8.4000000000000003E-4</v>
      </c>
      <c r="F23" s="12">
        <f>VLOOKUP(B23,'Q1 Data'!$E$5:$F$20,2,0)</f>
        <v>0.15</v>
      </c>
      <c r="H23" s="12">
        <f t="shared" si="22"/>
        <v>0.65924264132179822</v>
      </c>
      <c r="I23" s="12">
        <f t="shared" si="2"/>
        <v>5.5376381871031057E-4</v>
      </c>
      <c r="J23" s="12">
        <f t="shared" si="3"/>
        <v>9.8886396198269735E-2</v>
      </c>
      <c r="K23" s="12">
        <f t="shared" si="4"/>
        <v>0.55980248130481813</v>
      </c>
      <c r="M23" s="21">
        <f t="shared" si="5"/>
        <v>50000</v>
      </c>
      <c r="N23" s="21">
        <f>SUM($M$13:M23)</f>
        <v>550000</v>
      </c>
      <c r="O23" s="20">
        <f>VLOOKUP(B23,'Q1 Data'!$E$5:$G$20,3,0)</f>
        <v>1.1000000000000001</v>
      </c>
      <c r="P23" s="21">
        <f t="shared" si="6"/>
        <v>605000</v>
      </c>
      <c r="Q23" s="21">
        <v>0</v>
      </c>
      <c r="R23" s="21">
        <f t="shared" si="7"/>
        <v>1000000</v>
      </c>
      <c r="S23" s="21"/>
      <c r="T23" s="21">
        <f t="shared" si="24"/>
        <v>1248.8629699476653</v>
      </c>
      <c r="U23" s="21"/>
      <c r="V23" s="21">
        <f t="shared" si="23"/>
        <v>2500</v>
      </c>
      <c r="W23" s="21">
        <f t="shared" si="8"/>
        <v>247500</v>
      </c>
      <c r="Y23" s="21">
        <f t="shared" si="9"/>
        <v>32962.132066089907</v>
      </c>
      <c r="Z23" s="21">
        <f t="shared" si="10"/>
        <v>-823.30372295728444</v>
      </c>
      <c r="AA23" s="21">
        <f t="shared" si="11"/>
        <v>-1648.1066033044956</v>
      </c>
      <c r="AB23" s="21">
        <f t="shared" si="12"/>
        <v>-59826.269699953191</v>
      </c>
      <c r="AC23" s="21">
        <f t="shared" si="13"/>
        <v>-553.7638187103106</v>
      </c>
      <c r="AD23" s="21">
        <f t="shared" si="14"/>
        <v>0</v>
      </c>
      <c r="AE23" s="21">
        <f t="shared" si="15"/>
        <v>1981.8969130888283</v>
      </c>
      <c r="AF23" s="21">
        <f t="shared" si="16"/>
        <v>-27907.414865746545</v>
      </c>
      <c r="AG23" s="18"/>
      <c r="AH23" s="45">
        <f t="shared" si="17"/>
        <v>138551.1141229425</v>
      </c>
      <c r="AI23" s="12">
        <f t="shared" si="18"/>
        <v>9641.4236293312988</v>
      </c>
      <c r="AJ23" s="12">
        <f t="shared" si="19"/>
        <v>9778.4801744621072</v>
      </c>
      <c r="AL23" s="21">
        <f t="shared" si="0"/>
        <v>-8487.5110619531406</v>
      </c>
      <c r="AM23" s="29">
        <f t="shared" si="1"/>
        <v>0.28747610409883567</v>
      </c>
    </row>
    <row r="24" spans="2:39" x14ac:dyDescent="0.35">
      <c r="B24" s="12">
        <f t="shared" si="20"/>
        <v>12</v>
      </c>
      <c r="C24" s="12">
        <f t="shared" si="21"/>
        <v>41</v>
      </c>
      <c r="E24" s="12">
        <f>VLOOKUP(C24,'Q1 Data'!$A$5:$B$68,2,0)</f>
        <v>9.075E-4</v>
      </c>
      <c r="F24" s="12">
        <f>VLOOKUP(B24,'Q1 Data'!$E$5:$F$20,2,0)</f>
        <v>0.15</v>
      </c>
      <c r="H24" s="12">
        <f t="shared" si="22"/>
        <v>0.55980248130481813</v>
      </c>
      <c r="I24" s="12">
        <f t="shared" si="2"/>
        <v>5.0802075178412245E-4</v>
      </c>
      <c r="J24" s="12">
        <f t="shared" si="3"/>
        <v>8.3970372195722717E-2</v>
      </c>
      <c r="K24" s="12">
        <f t="shared" si="4"/>
        <v>0.47532408835731127</v>
      </c>
      <c r="M24" s="21">
        <f t="shared" si="5"/>
        <v>50000</v>
      </c>
      <c r="N24" s="21">
        <f>SUM($M$13:M24)</f>
        <v>600000</v>
      </c>
      <c r="O24" s="20">
        <f>VLOOKUP(B24,'Q1 Data'!$E$5:$G$20,3,0)</f>
        <v>1.2</v>
      </c>
      <c r="P24" s="21">
        <f t="shared" si="6"/>
        <v>720000</v>
      </c>
      <c r="Q24" s="21">
        <v>0</v>
      </c>
      <c r="R24" s="21">
        <f t="shared" si="7"/>
        <v>1000000</v>
      </c>
      <c r="S24" s="21"/>
      <c r="T24" s="21">
        <f t="shared" si="24"/>
        <v>1280.0845441963568</v>
      </c>
      <c r="U24" s="21"/>
      <c r="V24" s="21">
        <f t="shared" si="23"/>
        <v>2500</v>
      </c>
      <c r="W24" s="21">
        <f t="shared" si="8"/>
        <v>270000</v>
      </c>
      <c r="Y24" s="21">
        <f t="shared" si="9"/>
        <v>27990.124065240907</v>
      </c>
      <c r="Z24" s="21">
        <f t="shared" si="10"/>
        <v>-716.59450412106764</v>
      </c>
      <c r="AA24" s="21">
        <f t="shared" si="11"/>
        <v>-1399.5062032620453</v>
      </c>
      <c r="AB24" s="21">
        <f t="shared" si="12"/>
        <v>-60458.667980920356</v>
      </c>
      <c r="AC24" s="21">
        <f t="shared" si="13"/>
        <v>-508.02075178412247</v>
      </c>
      <c r="AD24" s="21">
        <f t="shared" si="14"/>
        <v>0</v>
      </c>
      <c r="AE24" s="21">
        <f t="shared" si="15"/>
        <v>1681.8115182607567</v>
      </c>
      <c r="AF24" s="21">
        <f t="shared" si="16"/>
        <v>-33410.85385658592</v>
      </c>
      <c r="AG24" s="18"/>
      <c r="AH24" s="45">
        <f t="shared" si="17"/>
        <v>128337.50385647404</v>
      </c>
      <c r="AI24" s="12">
        <f t="shared" si="18"/>
        <v>9005.8224179912631</v>
      </c>
      <c r="AJ24" s="12">
        <f t="shared" si="19"/>
        <v>10213.610266468459</v>
      </c>
      <c r="AL24" s="21">
        <f t="shared" si="0"/>
        <v>-14191.421172126196</v>
      </c>
      <c r="AM24" s="29">
        <f t="shared" si="1"/>
        <v>0.25667509294538904</v>
      </c>
    </row>
    <row r="25" spans="2:39" x14ac:dyDescent="0.35">
      <c r="B25" s="12">
        <f t="shared" si="20"/>
        <v>13</v>
      </c>
      <c r="C25" s="12">
        <f t="shared" si="21"/>
        <v>42</v>
      </c>
      <c r="E25" s="12">
        <f>VLOOKUP(C25,'Q1 Data'!$A$5:$B$68,2,0)</f>
        <v>9.8449999999999992E-4</v>
      </c>
      <c r="F25" s="12">
        <f>VLOOKUP(B25,'Q1 Data'!$E$5:$F$20,2,0)</f>
        <v>0.15</v>
      </c>
      <c r="H25" s="12">
        <f t="shared" si="22"/>
        <v>0.47532408835731127</v>
      </c>
      <c r="I25" s="12">
        <f t="shared" si="2"/>
        <v>4.6795656498777288E-4</v>
      </c>
      <c r="J25" s="12">
        <f t="shared" si="3"/>
        <v>7.1298613253596682E-2</v>
      </c>
      <c r="K25" s="12">
        <f t="shared" si="4"/>
        <v>0.40355751853872679</v>
      </c>
      <c r="M25" s="21">
        <f t="shared" si="5"/>
        <v>50000</v>
      </c>
      <c r="N25" s="21">
        <f>SUM($M$13:M25)</f>
        <v>650000</v>
      </c>
      <c r="O25" s="20">
        <f>VLOOKUP(B25,'Q1 Data'!$E$5:$G$20,3,0)</f>
        <v>1.25</v>
      </c>
      <c r="P25" s="21">
        <f t="shared" si="6"/>
        <v>812500</v>
      </c>
      <c r="Q25" s="21">
        <v>0</v>
      </c>
      <c r="R25" s="21">
        <f t="shared" si="7"/>
        <v>1000000</v>
      </c>
      <c r="S25" s="21"/>
      <c r="T25" s="21">
        <f t="shared" si="24"/>
        <v>1312.0866578012656</v>
      </c>
      <c r="U25" s="21"/>
      <c r="V25" s="21">
        <f t="shared" si="23"/>
        <v>2500</v>
      </c>
      <c r="W25" s="21">
        <f t="shared" si="8"/>
        <v>292500</v>
      </c>
      <c r="Y25" s="21">
        <f t="shared" si="9"/>
        <v>23766.204417865563</v>
      </c>
      <c r="Z25" s="21">
        <f t="shared" si="10"/>
        <v>-623.66639446517797</v>
      </c>
      <c r="AA25" s="21">
        <f t="shared" si="11"/>
        <v>-1188.3102208932783</v>
      </c>
      <c r="AB25" s="21">
        <f t="shared" si="12"/>
        <v>-57930.123268547308</v>
      </c>
      <c r="AC25" s="21">
        <f t="shared" si="13"/>
        <v>-467.95656498777288</v>
      </c>
      <c r="AD25" s="21">
        <f t="shared" si="14"/>
        <v>0</v>
      </c>
      <c r="AE25" s="21">
        <f t="shared" si="15"/>
        <v>1427.0248071629619</v>
      </c>
      <c r="AF25" s="21">
        <f t="shared" si="16"/>
        <v>-35016.82722386501</v>
      </c>
      <c r="AG25" s="18"/>
      <c r="AH25" s="45">
        <f t="shared" si="17"/>
        <v>118040.57417257759</v>
      </c>
      <c r="AI25" s="12">
        <f t="shared" si="18"/>
        <v>8341.9377506708133</v>
      </c>
      <c r="AJ25" s="12">
        <f t="shared" si="19"/>
        <v>10296.929683896451</v>
      </c>
      <c r="AL25" s="21">
        <f t="shared" si="0"/>
        <v>-16377.959789297747</v>
      </c>
      <c r="AM25" s="29">
        <f t="shared" si="1"/>
        <v>0.22917419012981158</v>
      </c>
    </row>
    <row r="26" spans="2:39" x14ac:dyDescent="0.35">
      <c r="B26" s="12">
        <f t="shared" si="20"/>
        <v>14</v>
      </c>
      <c r="C26" s="12">
        <f t="shared" si="21"/>
        <v>43</v>
      </c>
      <c r="E26" s="12">
        <f>VLOOKUP(C26,'Q1 Data'!$A$5:$B$68,2,0)</f>
        <v>1.072E-3</v>
      </c>
      <c r="F26" s="12">
        <f>VLOOKUP(B26,'Q1 Data'!$E$5:$F$20,2,0)</f>
        <v>0.15</v>
      </c>
      <c r="H26" s="12">
        <f t="shared" si="22"/>
        <v>0.40355751853872679</v>
      </c>
      <c r="I26" s="12">
        <f t="shared" si="2"/>
        <v>4.3261365987351514E-4</v>
      </c>
      <c r="J26" s="12">
        <f t="shared" si="3"/>
        <v>6.0533627780809014E-2</v>
      </c>
      <c r="K26" s="12">
        <f t="shared" si="4"/>
        <v>0.34259127709804427</v>
      </c>
      <c r="M26" s="21">
        <f t="shared" si="5"/>
        <v>50000</v>
      </c>
      <c r="N26" s="21">
        <f>SUM($M$13:M26)</f>
        <v>700000</v>
      </c>
      <c r="O26" s="20">
        <f>VLOOKUP(B26,'Q1 Data'!$E$5:$G$20,3,0)</f>
        <v>1.3</v>
      </c>
      <c r="P26" s="21">
        <f t="shared" si="6"/>
        <v>910000</v>
      </c>
      <c r="Q26" s="21">
        <v>0</v>
      </c>
      <c r="R26" s="21">
        <f t="shared" si="7"/>
        <v>1000000</v>
      </c>
      <c r="S26" s="21"/>
      <c r="T26" s="21">
        <f t="shared" si="24"/>
        <v>1344.8888242462972</v>
      </c>
      <c r="U26" s="21"/>
      <c r="V26" s="21">
        <f t="shared" si="23"/>
        <v>2500</v>
      </c>
      <c r="W26" s="21">
        <f t="shared" si="8"/>
        <v>315000</v>
      </c>
      <c r="Y26" s="21">
        <f t="shared" si="9"/>
        <v>20177.87592693634</v>
      </c>
      <c r="Z26" s="21">
        <f t="shared" si="10"/>
        <v>-542.73999662330152</v>
      </c>
      <c r="AA26" s="21">
        <f t="shared" si="11"/>
        <v>-1008.893796346817</v>
      </c>
      <c r="AB26" s="21">
        <f t="shared" si="12"/>
        <v>-55085.601280536204</v>
      </c>
      <c r="AC26" s="21">
        <f t="shared" si="13"/>
        <v>-432.61365987351513</v>
      </c>
      <c r="AD26" s="21">
        <f t="shared" si="14"/>
        <v>0</v>
      </c>
      <c r="AE26" s="21">
        <f t="shared" si="15"/>
        <v>1210.7057387078044</v>
      </c>
      <c r="AF26" s="21">
        <f t="shared" si="16"/>
        <v>-35681.267067735702</v>
      </c>
      <c r="AG26" s="18"/>
      <c r="AH26" s="45">
        <f t="shared" si="17"/>
        <v>107916.25228588395</v>
      </c>
      <c r="AI26" s="12">
        <f t="shared" si="18"/>
        <v>7672.6373212175431</v>
      </c>
      <c r="AJ26" s="12">
        <f t="shared" si="19"/>
        <v>10124.321886693637</v>
      </c>
      <c r="AL26" s="21">
        <f t="shared" si="0"/>
        <v>-17884.307859824523</v>
      </c>
      <c r="AM26" s="29">
        <f t="shared" si="1"/>
        <v>0.20461981261590317</v>
      </c>
    </row>
    <row r="27" spans="2:39" x14ac:dyDescent="0.35">
      <c r="B27" s="12">
        <f t="shared" si="20"/>
        <v>15</v>
      </c>
      <c r="C27" s="12">
        <f t="shared" si="21"/>
        <v>44</v>
      </c>
      <c r="E27" s="12">
        <f>VLOOKUP(C27,'Q1 Data'!$A$5:$B$68,2,0)</f>
        <v>1.1724999999999999E-3</v>
      </c>
      <c r="F27" s="12">
        <f>VLOOKUP(B27,'Q1 Data'!$E$5:$F$20,2,0)</f>
        <v>0</v>
      </c>
      <c r="H27" s="12">
        <f t="shared" si="22"/>
        <v>0.34259127709804427</v>
      </c>
      <c r="I27" s="12">
        <f t="shared" si="2"/>
        <v>4.0168827239745689E-4</v>
      </c>
      <c r="J27" s="12">
        <f t="shared" si="3"/>
        <v>0</v>
      </c>
      <c r="K27" s="12">
        <f t="shared" si="4"/>
        <v>0.34218958882564682</v>
      </c>
      <c r="M27" s="21">
        <f t="shared" si="5"/>
        <v>50000</v>
      </c>
      <c r="N27" s="21">
        <f>SUM($M$13:M27)</f>
        <v>750000</v>
      </c>
      <c r="O27" s="20">
        <f>VLOOKUP(B27,'Q1 Data'!$E$5:$G$20,3,0)</f>
        <v>0</v>
      </c>
      <c r="P27" s="21">
        <f t="shared" si="6"/>
        <v>0</v>
      </c>
      <c r="Q27" s="21">
        <f>B7</f>
        <v>1000000</v>
      </c>
      <c r="R27" s="21">
        <f t="shared" si="7"/>
        <v>1000000</v>
      </c>
      <c r="S27" s="21"/>
      <c r="T27" s="21">
        <f t="shared" si="24"/>
        <v>1378.5110448524545</v>
      </c>
      <c r="U27" s="21"/>
      <c r="V27" s="21">
        <f t="shared" si="23"/>
        <v>2500</v>
      </c>
      <c r="W27" s="21">
        <v>0</v>
      </c>
      <c r="Y27" s="21">
        <f t="shared" si="9"/>
        <v>17129.563854902215</v>
      </c>
      <c r="Z27" s="21">
        <f t="shared" si="10"/>
        <v>-472.26585934976174</v>
      </c>
      <c r="AA27" s="21">
        <f t="shared" si="11"/>
        <v>-856.47819274511062</v>
      </c>
      <c r="AB27" s="21">
        <f t="shared" si="12"/>
        <v>0</v>
      </c>
      <c r="AC27" s="21">
        <f t="shared" si="13"/>
        <v>-401.6882723974569</v>
      </c>
      <c r="AD27" s="21">
        <f t="shared" si="14"/>
        <v>-342189.58882564685</v>
      </c>
      <c r="AE27" s="21">
        <f t="shared" si="15"/>
        <v>1027.0532871824773</v>
      </c>
      <c r="AF27" s="21">
        <f t="shared" si="16"/>
        <v>-325763.40400805447</v>
      </c>
      <c r="AH27" s="45">
        <f t="shared" si="17"/>
        <v>0</v>
      </c>
      <c r="AI27" s="12">
        <f t="shared" si="18"/>
        <v>7014.5563985824574</v>
      </c>
      <c r="AJ27" s="12">
        <f t="shared" si="19"/>
        <v>107916.25228588395</v>
      </c>
      <c r="AL27" s="21">
        <f t="shared" si="0"/>
        <v>-210832.59532358806</v>
      </c>
      <c r="AM27" s="29">
        <f t="shared" si="1"/>
        <v>0.18269626126419927</v>
      </c>
    </row>
  </sheetData>
  <mergeCells count="5">
    <mergeCell ref="H10:K10"/>
    <mergeCell ref="Y10:AF10"/>
    <mergeCell ref="AH10:AJ10"/>
    <mergeCell ref="H8:K8"/>
    <mergeCell ref="M10:W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5FBA-40D8-4FCC-A4C6-2B9B16C9F84B}">
  <dimension ref="A1:AH27"/>
  <sheetViews>
    <sheetView showGridLines="0" zoomScaleNormal="100" workbookViewId="0"/>
  </sheetViews>
  <sheetFormatPr defaultRowHeight="14.5" x14ac:dyDescent="0.35"/>
  <cols>
    <col min="1" max="1" width="16.1796875" bestFit="1" customWidth="1"/>
    <col min="4" max="4" width="17.7265625" bestFit="1" customWidth="1"/>
    <col min="7" max="7" width="11.1796875" bestFit="1" customWidth="1"/>
    <col min="10" max="10" width="19.26953125" bestFit="1" customWidth="1"/>
    <col min="13" max="13" width="10.1796875" bestFit="1" customWidth="1"/>
    <col min="14" max="14" width="11.1796875" bestFit="1" customWidth="1"/>
    <col min="15" max="15" width="8.81640625" style="16" bestFit="1" customWidth="1"/>
    <col min="16" max="16" width="18.26953125" bestFit="1" customWidth="1"/>
    <col min="17" max="17" width="17.81640625" bestFit="1" customWidth="1"/>
    <col min="18" max="18" width="13.81640625" bestFit="1" customWidth="1"/>
    <col min="19" max="19" width="14.54296875" bestFit="1" customWidth="1"/>
    <col min="20" max="20" width="9.1796875" bestFit="1" customWidth="1"/>
    <col min="21" max="21" width="10.1796875" bestFit="1" customWidth="1"/>
    <col min="22" max="22" width="17.36328125" bestFit="1" customWidth="1"/>
    <col min="24" max="24" width="10.1796875" bestFit="1" customWidth="1"/>
    <col min="25" max="25" width="9.7265625" bestFit="1" customWidth="1"/>
    <col min="26" max="27" width="10.7265625" bestFit="1" customWidth="1"/>
    <col min="28" max="28" width="8.81640625" bestFit="1" customWidth="1"/>
    <col min="29" max="29" width="11.7265625" bestFit="1" customWidth="1"/>
    <col min="30" max="30" width="14" bestFit="1" customWidth="1"/>
    <col min="31" max="31" width="13.1796875" bestFit="1" customWidth="1"/>
    <col min="32" max="32" width="11.7265625" bestFit="1" customWidth="1"/>
    <col min="33" max="33" width="13.81640625" customWidth="1"/>
    <col min="34" max="34" width="17.81640625" bestFit="1" customWidth="1"/>
    <col min="35" max="35" width="15.7265625" bestFit="1" customWidth="1"/>
    <col min="36" max="36" width="15.7265625" customWidth="1"/>
    <col min="37" max="37" width="11.1796875" bestFit="1" customWidth="1"/>
    <col min="38" max="38" width="14.81640625" bestFit="1" customWidth="1"/>
    <col min="41" max="41" width="14.1796875" bestFit="1" customWidth="1"/>
    <col min="42" max="42" width="11.1796875" bestFit="1" customWidth="1"/>
  </cols>
  <sheetData>
    <row r="1" spans="1:34" x14ac:dyDescent="0.35">
      <c r="O1" s="51"/>
      <c r="P1" s="27"/>
      <c r="Q1" s="27"/>
    </row>
    <row r="2" spans="1:34" x14ac:dyDescent="0.35">
      <c r="J2" t="s">
        <v>58</v>
      </c>
      <c r="O2" s="51"/>
      <c r="P2" s="27"/>
      <c r="Q2" s="27"/>
    </row>
    <row r="3" spans="1:34" x14ac:dyDescent="0.35">
      <c r="A3" t="s">
        <v>13</v>
      </c>
      <c r="J3" t="s">
        <v>59</v>
      </c>
      <c r="K3" s="11">
        <v>1.2</v>
      </c>
      <c r="O3" s="51"/>
      <c r="P3" s="27"/>
      <c r="Q3" s="27"/>
    </row>
    <row r="4" spans="1:34" x14ac:dyDescent="0.35">
      <c r="A4" s="12" t="s">
        <v>14</v>
      </c>
      <c r="B4" s="12">
        <v>50000</v>
      </c>
      <c r="D4" s="12" t="s">
        <v>15</v>
      </c>
      <c r="E4" s="12">
        <v>5000</v>
      </c>
      <c r="G4" s="12" t="s">
        <v>16</v>
      </c>
      <c r="H4" s="25">
        <f>'Q1(i)'!H4*K4</f>
        <v>5.2000000000000005E-2</v>
      </c>
      <c r="I4" s="27"/>
      <c r="J4" t="s">
        <v>60</v>
      </c>
      <c r="K4" s="11">
        <v>0.8</v>
      </c>
      <c r="O4" s="51"/>
      <c r="P4" s="27"/>
      <c r="Q4" s="27"/>
    </row>
    <row r="5" spans="1:34" x14ac:dyDescent="0.35">
      <c r="A5" s="12" t="s">
        <v>17</v>
      </c>
      <c r="B5" s="12">
        <v>15</v>
      </c>
      <c r="D5" s="12" t="s">
        <v>18</v>
      </c>
      <c r="E5" s="12">
        <f>1000*K5</f>
        <v>1200</v>
      </c>
      <c r="G5" s="12" t="s">
        <v>19</v>
      </c>
      <c r="H5" s="13">
        <v>0.12</v>
      </c>
      <c r="J5" t="s">
        <v>18</v>
      </c>
      <c r="K5" s="11">
        <v>1.2</v>
      </c>
      <c r="O5" s="51"/>
      <c r="P5" s="27"/>
      <c r="Q5" s="27"/>
    </row>
    <row r="6" spans="1:34" x14ac:dyDescent="0.35">
      <c r="A6" s="12" t="s">
        <v>3</v>
      </c>
      <c r="B6" s="12">
        <v>30</v>
      </c>
      <c r="D6" s="12" t="s">
        <v>20</v>
      </c>
      <c r="E6" s="25">
        <v>2.5000000000000001E-2</v>
      </c>
      <c r="O6" s="51"/>
      <c r="P6" s="27"/>
      <c r="Q6" s="27"/>
    </row>
    <row r="7" spans="1:34" x14ac:dyDescent="0.35">
      <c r="A7" s="12" t="s">
        <v>21</v>
      </c>
      <c r="B7" s="12">
        <f>B4*20</f>
        <v>1000000</v>
      </c>
      <c r="D7" s="12" t="s">
        <v>22</v>
      </c>
      <c r="E7" s="13">
        <v>0.25</v>
      </c>
      <c r="O7" s="60"/>
      <c r="P7" s="60"/>
      <c r="Q7" s="27"/>
      <c r="AG7" s="27"/>
      <c r="AH7" s="27"/>
    </row>
    <row r="8" spans="1:34" x14ac:dyDescent="0.35">
      <c r="A8" s="12" t="s">
        <v>23</v>
      </c>
      <c r="B8" s="12">
        <f>B4*20</f>
        <v>1000000</v>
      </c>
      <c r="D8" s="12" t="s">
        <v>24</v>
      </c>
      <c r="E8" s="13">
        <v>0.05</v>
      </c>
      <c r="O8" s="52"/>
      <c r="T8" s="27"/>
    </row>
    <row r="9" spans="1:34" x14ac:dyDescent="0.35">
      <c r="E9" s="11"/>
      <c r="T9" s="27"/>
    </row>
    <row r="10" spans="1:34" x14ac:dyDescent="0.35">
      <c r="E10" s="27"/>
      <c r="H10" s="56" t="s">
        <v>11</v>
      </c>
      <c r="I10" s="56"/>
      <c r="J10" s="56"/>
      <c r="K10" s="56"/>
      <c r="M10" s="59" t="s">
        <v>12</v>
      </c>
      <c r="N10" s="59"/>
      <c r="O10" s="59"/>
      <c r="P10" s="59"/>
      <c r="Q10" s="59"/>
      <c r="R10" s="59"/>
      <c r="S10" s="59"/>
      <c r="T10" s="59"/>
      <c r="U10" s="59"/>
      <c r="V10" s="59"/>
      <c r="X10" s="56" t="s">
        <v>25</v>
      </c>
      <c r="Y10" s="56"/>
      <c r="Z10" s="56"/>
      <c r="AA10" s="56"/>
      <c r="AB10" s="56"/>
      <c r="AC10" s="56"/>
      <c r="AD10" s="56"/>
      <c r="AE10" s="56"/>
      <c r="AG10" s="31"/>
    </row>
    <row r="11" spans="1:34" x14ac:dyDescent="0.35">
      <c r="B11" s="12" t="s">
        <v>26</v>
      </c>
      <c r="C11" s="12" t="s">
        <v>3</v>
      </c>
      <c r="E11" s="12" t="s">
        <v>27</v>
      </c>
      <c r="F11" s="12" t="s">
        <v>28</v>
      </c>
      <c r="H11" s="12" t="s">
        <v>29</v>
      </c>
      <c r="I11" s="12" t="s">
        <v>30</v>
      </c>
      <c r="J11" s="12" t="s">
        <v>31</v>
      </c>
      <c r="K11" s="12" t="s">
        <v>32</v>
      </c>
      <c r="M11" s="21" t="s">
        <v>33</v>
      </c>
      <c r="N11" s="21" t="s">
        <v>61</v>
      </c>
      <c r="O11" s="20" t="s">
        <v>35</v>
      </c>
      <c r="P11" s="21" t="s">
        <v>36</v>
      </c>
      <c r="Q11" s="21" t="s">
        <v>21</v>
      </c>
      <c r="R11" s="21" t="s">
        <v>37</v>
      </c>
      <c r="S11" s="21" t="s">
        <v>15</v>
      </c>
      <c r="T11" s="21" t="s">
        <v>18</v>
      </c>
      <c r="U11" s="21" t="s">
        <v>38</v>
      </c>
      <c r="V11" s="21" t="s">
        <v>39</v>
      </c>
      <c r="X11" s="21" t="s">
        <v>41</v>
      </c>
      <c r="Y11" s="21" t="s">
        <v>42</v>
      </c>
      <c r="Z11" s="21" t="s">
        <v>43</v>
      </c>
      <c r="AA11" s="21" t="s">
        <v>44</v>
      </c>
      <c r="AB11" s="21" t="s">
        <v>45</v>
      </c>
      <c r="AC11" s="21" t="s">
        <v>46</v>
      </c>
      <c r="AD11" s="21" t="s">
        <v>47</v>
      </c>
      <c r="AE11" s="21" t="s">
        <v>48</v>
      </c>
      <c r="AG11" s="12" t="s">
        <v>49</v>
      </c>
      <c r="AH11" s="49" t="s">
        <v>62</v>
      </c>
    </row>
    <row r="12" spans="1:34" x14ac:dyDescent="0.35">
      <c r="B12" s="12"/>
      <c r="C12" s="12"/>
      <c r="E12" s="12"/>
      <c r="F12" s="12"/>
      <c r="H12" s="12"/>
      <c r="I12" s="12"/>
      <c r="J12" s="12"/>
      <c r="K12" s="12"/>
      <c r="M12" s="21"/>
      <c r="N12" s="21"/>
      <c r="O12" s="20"/>
      <c r="P12" s="21"/>
      <c r="Q12" s="21"/>
      <c r="R12" s="21"/>
      <c r="S12" s="21"/>
      <c r="T12" s="21"/>
      <c r="U12" s="21"/>
      <c r="V12" s="21"/>
      <c r="X12" s="21"/>
      <c r="Y12" s="21"/>
      <c r="Z12" s="21"/>
      <c r="AA12" s="21"/>
      <c r="AB12" s="21"/>
      <c r="AC12" s="21"/>
      <c r="AD12" s="21"/>
      <c r="AE12" s="21"/>
      <c r="AG12" s="12"/>
      <c r="AH12" s="12"/>
    </row>
    <row r="13" spans="1:34" x14ac:dyDescent="0.35">
      <c r="B13" s="12">
        <v>1</v>
      </c>
      <c r="C13" s="12">
        <f>B6</f>
        <v>30</v>
      </c>
      <c r="E13" s="12">
        <f>VLOOKUP(C13,'Q1 Data'!$A$5:$B$68,2,0)*$K$3</f>
        <v>5.8619999999999994E-4</v>
      </c>
      <c r="F13" s="12">
        <f>VLOOKUP(B13,'Q1 Data'!$E$5:$F$20,2,0)</f>
        <v>0</v>
      </c>
      <c r="H13" s="12">
        <v>1</v>
      </c>
      <c r="I13" s="12">
        <f>H13*E13</f>
        <v>5.8619999999999994E-4</v>
      </c>
      <c r="J13" s="12">
        <f>H13*F13</f>
        <v>0</v>
      </c>
      <c r="K13" s="12">
        <f>H13-I13-J13</f>
        <v>0.99941380000000002</v>
      </c>
      <c r="M13" s="21">
        <f>$B$4</f>
        <v>50000</v>
      </c>
      <c r="N13" s="21">
        <f>M13</f>
        <v>50000</v>
      </c>
      <c r="O13" s="20">
        <f>VLOOKUP(B13,'Q1 Data'!$E$5:$G$20,3,0)</f>
        <v>0</v>
      </c>
      <c r="P13" s="21">
        <f>N13*O13</f>
        <v>0</v>
      </c>
      <c r="Q13" s="21">
        <v>0</v>
      </c>
      <c r="R13" s="21">
        <f>$B$8</f>
        <v>1000000</v>
      </c>
      <c r="S13" s="21">
        <f>E4</f>
        <v>5000</v>
      </c>
      <c r="T13" s="21"/>
      <c r="U13" s="21">
        <f>$B$4*E7</f>
        <v>12500</v>
      </c>
      <c r="V13" s="21"/>
      <c r="X13" s="21">
        <f>M13*H13</f>
        <v>50000</v>
      </c>
      <c r="Y13" s="21">
        <f>-(S13+T13)*H13</f>
        <v>-5000</v>
      </c>
      <c r="Z13" s="21">
        <f>-(U13+V13)*H13</f>
        <v>-12500</v>
      </c>
      <c r="AA13" s="21">
        <f>-P13*J13</f>
        <v>0</v>
      </c>
      <c r="AB13" s="21">
        <f>-R13*I13</f>
        <v>-586.19999999999993</v>
      </c>
      <c r="AC13" s="21">
        <f>-Q13*K13</f>
        <v>0</v>
      </c>
      <c r="AD13" s="21">
        <f>SUM(X13:Z13)*$H$4</f>
        <v>1690.0000000000002</v>
      </c>
      <c r="AE13" s="21">
        <f>SUM(X13:AD13)</f>
        <v>33603.800000000003</v>
      </c>
      <c r="AF13" s="18"/>
      <c r="AG13" s="22">
        <f t="shared" ref="AG13:AG26" si="0">(AG14-AE14)/(1+$H$4)</f>
        <v>11258.168925216911</v>
      </c>
      <c r="AH13" s="50">
        <f>AG13/K13</f>
        <v>11264.772334759547</v>
      </c>
    </row>
    <row r="14" spans="1:34" x14ac:dyDescent="0.35">
      <c r="B14" s="12">
        <f>B13+1</f>
        <v>2</v>
      </c>
      <c r="C14" s="12">
        <f>C13+1</f>
        <v>31</v>
      </c>
      <c r="E14" s="12">
        <f>VLOOKUP(C14,'Q1 Data'!$A$5:$B$68,2,0)*$K$3</f>
        <v>6.0300000000000002E-4</v>
      </c>
      <c r="F14" s="12">
        <f>VLOOKUP(B14,'Q1 Data'!$E$5:$F$20,2,0)</f>
        <v>0</v>
      </c>
      <c r="H14" s="12">
        <f>K13</f>
        <v>0.99941380000000002</v>
      </c>
      <c r="I14" s="12">
        <f t="shared" ref="I14:I27" si="1">H14*E14</f>
        <v>6.0264652140000008E-4</v>
      </c>
      <c r="J14" s="12">
        <f t="shared" ref="J14:J27" si="2">H14*F14</f>
        <v>0</v>
      </c>
      <c r="K14" s="12">
        <f t="shared" ref="K14:K27" si="3">H14-I14-J14</f>
        <v>0.99881115347860006</v>
      </c>
      <c r="M14" s="21">
        <f t="shared" ref="M14:M27" si="4">$B$4</f>
        <v>50000</v>
      </c>
      <c r="N14" s="21">
        <f>SUM($M$13:M14)</f>
        <v>100000</v>
      </c>
      <c r="O14" s="20">
        <f>VLOOKUP(B14,'Q1 Data'!$E$5:$G$20,3,0)</f>
        <v>0</v>
      </c>
      <c r="P14" s="21">
        <f t="shared" ref="P14:P27" si="5">N14*O14</f>
        <v>0</v>
      </c>
      <c r="Q14" s="21">
        <v>0</v>
      </c>
      <c r="R14" s="21">
        <f t="shared" ref="R14:R27" si="6">$B$8</f>
        <v>1000000</v>
      </c>
      <c r="S14" s="21"/>
      <c r="T14" s="21">
        <f>E5</f>
        <v>1200</v>
      </c>
      <c r="U14" s="21"/>
      <c r="V14" s="21">
        <f>$B$4*$E$8</f>
        <v>2500</v>
      </c>
      <c r="X14" s="21">
        <f t="shared" ref="X14:X27" si="7">M14*H14</f>
        <v>49970.69</v>
      </c>
      <c r="Y14" s="21">
        <f t="shared" ref="Y14:Y27" si="8">-(S14+T14)*H14</f>
        <v>-1199.29656</v>
      </c>
      <c r="Z14" s="21">
        <f t="shared" ref="Z14:Z27" si="9">-(U14+V14)*H14</f>
        <v>-2498.5345000000002</v>
      </c>
      <c r="AA14" s="21">
        <f t="shared" ref="AA14:AA27" si="10">-P14*J14</f>
        <v>0</v>
      </c>
      <c r="AB14" s="21">
        <f t="shared" ref="AB14:AB27" si="11">-R14*I14</f>
        <v>-602.6465214000001</v>
      </c>
      <c r="AC14" s="21">
        <f t="shared" ref="AC14:AC27" si="12">-Q14*K14</f>
        <v>0</v>
      </c>
      <c r="AD14" s="21">
        <f t="shared" ref="AD14:AD27" si="13">SUM(X14:Z14)*$H$4</f>
        <v>2406.18866488</v>
      </c>
      <c r="AE14" s="21">
        <f t="shared" ref="AE14:AE27" si="14">SUM(X14:AD14)</f>
        <v>48076.401083479999</v>
      </c>
      <c r="AF14" s="18"/>
      <c r="AG14" s="22">
        <f t="shared" si="0"/>
        <v>59919.994792808189</v>
      </c>
      <c r="AH14" s="50">
        <f t="shared" ref="AH14:AH27" si="15">AG14/K14</f>
        <v>59991.315259268376</v>
      </c>
    </row>
    <row r="15" spans="1:34" x14ac:dyDescent="0.35">
      <c r="B15" s="12">
        <f t="shared" ref="B15:C27" si="16">B14+1</f>
        <v>3</v>
      </c>
      <c r="C15" s="12">
        <f t="shared" si="16"/>
        <v>32</v>
      </c>
      <c r="E15" s="12">
        <f>VLOOKUP(C15,'Q1 Data'!$A$5:$B$68,2,0)*$K$3</f>
        <v>6.2519999999999991E-4</v>
      </c>
      <c r="F15" s="12">
        <f>VLOOKUP(B15,'Q1 Data'!$E$5:$F$20,2,0)</f>
        <v>0.05</v>
      </c>
      <c r="H15" s="12">
        <f t="shared" ref="H15:H27" si="17">K14</f>
        <v>0.99881115347860006</v>
      </c>
      <c r="I15" s="12">
        <f t="shared" si="1"/>
        <v>6.2445673315482061E-4</v>
      </c>
      <c r="J15" s="12">
        <f t="shared" si="2"/>
        <v>4.9940557673930006E-2</v>
      </c>
      <c r="K15" s="12">
        <f t="shared" si="3"/>
        <v>0.94824613907151523</v>
      </c>
      <c r="M15" s="21">
        <f t="shared" si="4"/>
        <v>50000</v>
      </c>
      <c r="N15" s="21">
        <f>SUM($M$13:M15)</f>
        <v>150000</v>
      </c>
      <c r="O15" s="20">
        <f>VLOOKUP(B15,'Q1 Data'!$E$5:$G$20,3,0)</f>
        <v>0.8</v>
      </c>
      <c r="P15" s="21">
        <f t="shared" si="5"/>
        <v>120000</v>
      </c>
      <c r="Q15" s="21">
        <v>0</v>
      </c>
      <c r="R15" s="21">
        <f t="shared" si="6"/>
        <v>1000000</v>
      </c>
      <c r="S15" s="21"/>
      <c r="T15" s="21">
        <f>T14*(1+$E$6)</f>
        <v>1230</v>
      </c>
      <c r="U15" s="21"/>
      <c r="V15" s="21">
        <f t="shared" ref="V15:V27" si="18">$B$4*$E$8</f>
        <v>2500</v>
      </c>
      <c r="X15" s="21">
        <f t="shared" si="7"/>
        <v>49940.557673930001</v>
      </c>
      <c r="Y15" s="21">
        <f t="shared" si="8"/>
        <v>-1228.537718778678</v>
      </c>
      <c r="Z15" s="21">
        <f t="shared" si="9"/>
        <v>-2497.0278836965003</v>
      </c>
      <c r="AA15" s="21">
        <f t="shared" si="10"/>
        <v>-5992.866920871601</v>
      </c>
      <c r="AB15" s="21">
        <f t="shared" si="11"/>
        <v>-624.45673315482065</v>
      </c>
      <c r="AC15" s="21">
        <f t="shared" si="12"/>
        <v>0</v>
      </c>
      <c r="AD15" s="21">
        <f t="shared" si="13"/>
        <v>2403.179587715651</v>
      </c>
      <c r="AE15" s="21">
        <f t="shared" si="14"/>
        <v>42000.848005144042</v>
      </c>
      <c r="AF15" s="18"/>
      <c r="AG15" s="22">
        <f t="shared" si="0"/>
        <v>105036.68252717826</v>
      </c>
      <c r="AH15" s="50">
        <f t="shared" si="15"/>
        <v>110769.42810442232</v>
      </c>
    </row>
    <row r="16" spans="1:34" x14ac:dyDescent="0.35">
      <c r="B16" s="12">
        <f t="shared" si="16"/>
        <v>4</v>
      </c>
      <c r="C16" s="12">
        <f t="shared" si="16"/>
        <v>33</v>
      </c>
      <c r="E16" s="12">
        <f>VLOOKUP(C16,'Q1 Data'!$A$5:$B$68,2,0)*$K$3</f>
        <v>6.515999999999999E-4</v>
      </c>
      <c r="F16" s="12">
        <f>VLOOKUP(B16,'Q1 Data'!$E$5:$F$20,2,0)</f>
        <v>0.05</v>
      </c>
      <c r="H16" s="12">
        <f t="shared" si="17"/>
        <v>0.94824613907151523</v>
      </c>
      <c r="I16" s="12">
        <f t="shared" si="1"/>
        <v>6.1787718421899918E-4</v>
      </c>
      <c r="J16" s="12">
        <f t="shared" si="2"/>
        <v>4.7412306953575761E-2</v>
      </c>
      <c r="K16" s="12">
        <f t="shared" si="3"/>
        <v>0.90021595493372042</v>
      </c>
      <c r="M16" s="21">
        <f t="shared" si="4"/>
        <v>50000</v>
      </c>
      <c r="N16" s="21">
        <f>SUM($M$13:M16)</f>
        <v>200000</v>
      </c>
      <c r="O16" s="20">
        <f>VLOOKUP(B16,'Q1 Data'!$E$5:$G$20,3,0)</f>
        <v>0.85</v>
      </c>
      <c r="P16" s="21">
        <f t="shared" si="5"/>
        <v>170000</v>
      </c>
      <c r="Q16" s="21">
        <v>0</v>
      </c>
      <c r="R16" s="21">
        <f t="shared" si="6"/>
        <v>1000000</v>
      </c>
      <c r="S16" s="21"/>
      <c r="T16" s="21">
        <f t="shared" ref="T16:T27" si="19">T15*(1+$E$6)</f>
        <v>1260.75</v>
      </c>
      <c r="U16" s="21"/>
      <c r="V16" s="21">
        <f t="shared" si="18"/>
        <v>2500</v>
      </c>
      <c r="X16" s="21">
        <f t="shared" si="7"/>
        <v>47412.30695357576</v>
      </c>
      <c r="Y16" s="21">
        <f t="shared" si="8"/>
        <v>-1195.5013198344129</v>
      </c>
      <c r="Z16" s="21">
        <f t="shared" si="9"/>
        <v>-2370.6153476787881</v>
      </c>
      <c r="AA16" s="21">
        <f t="shared" si="10"/>
        <v>-8060.0921821078791</v>
      </c>
      <c r="AB16" s="21">
        <f t="shared" si="11"/>
        <v>-617.87718421899922</v>
      </c>
      <c r="AC16" s="21">
        <f t="shared" si="12"/>
        <v>0</v>
      </c>
      <c r="AD16" s="21">
        <f t="shared" si="13"/>
        <v>2280.0018948752536</v>
      </c>
      <c r="AE16" s="21">
        <f t="shared" si="14"/>
        <v>37448.222814610941</v>
      </c>
      <c r="AF16" s="18"/>
      <c r="AG16" s="22">
        <f t="shared" si="0"/>
        <v>147946.81283320248</v>
      </c>
      <c r="AH16" s="50">
        <f t="shared" si="15"/>
        <v>164345.91280277327</v>
      </c>
    </row>
    <row r="17" spans="2:34" x14ac:dyDescent="0.35">
      <c r="B17" s="12">
        <f t="shared" si="16"/>
        <v>5</v>
      </c>
      <c r="C17" s="12">
        <f t="shared" si="16"/>
        <v>34</v>
      </c>
      <c r="E17" s="12">
        <f>VLOOKUP(C17,'Q1 Data'!$A$5:$B$68,2,0)*$K$3</f>
        <v>6.8399999999999993E-4</v>
      </c>
      <c r="F17" s="12">
        <f>VLOOKUP(B17,'Q1 Data'!$E$5:$F$20,2,0)</f>
        <v>0.05</v>
      </c>
      <c r="H17" s="12">
        <f t="shared" si="17"/>
        <v>0.90021595493372042</v>
      </c>
      <c r="I17" s="12">
        <f t="shared" si="1"/>
        <v>6.1574771317466465E-4</v>
      </c>
      <c r="J17" s="12">
        <f t="shared" si="2"/>
        <v>4.5010797746686024E-2</v>
      </c>
      <c r="K17" s="12">
        <f t="shared" si="3"/>
        <v>0.85458940947385975</v>
      </c>
      <c r="M17" s="21">
        <f t="shared" si="4"/>
        <v>50000</v>
      </c>
      <c r="N17" s="21">
        <f>SUM($M$13:M17)</f>
        <v>250000</v>
      </c>
      <c r="O17" s="20">
        <f>VLOOKUP(B17,'Q1 Data'!$E$5:$G$20,3,0)</f>
        <v>0.85</v>
      </c>
      <c r="P17" s="21">
        <f t="shared" si="5"/>
        <v>212500</v>
      </c>
      <c r="Q17" s="21">
        <v>0</v>
      </c>
      <c r="R17" s="21">
        <f t="shared" si="6"/>
        <v>1000000</v>
      </c>
      <c r="S17" s="21"/>
      <c r="T17" s="21">
        <f t="shared" si="19"/>
        <v>1292.26875</v>
      </c>
      <c r="U17" s="21"/>
      <c r="V17" s="21">
        <f t="shared" si="18"/>
        <v>2500</v>
      </c>
      <c r="X17" s="21">
        <f t="shared" si="7"/>
        <v>45010.797746686017</v>
      </c>
      <c r="Y17" s="21">
        <f t="shared" si="8"/>
        <v>-1163.3209468122552</v>
      </c>
      <c r="Z17" s="21">
        <f t="shared" si="9"/>
        <v>-2250.5398873343011</v>
      </c>
      <c r="AA17" s="21">
        <f t="shared" si="10"/>
        <v>-9564.7945211707793</v>
      </c>
      <c r="AB17" s="21">
        <f t="shared" si="11"/>
        <v>-615.74771317466468</v>
      </c>
      <c r="AC17" s="21">
        <f t="shared" si="12"/>
        <v>0</v>
      </c>
      <c r="AD17" s="21">
        <f t="shared" si="13"/>
        <v>2163.0407194520521</v>
      </c>
      <c r="AE17" s="21">
        <f t="shared" si="14"/>
        <v>33579.43539764607</v>
      </c>
      <c r="AF17" s="18"/>
      <c r="AG17" s="22">
        <f t="shared" si="0"/>
        <v>189219.48249817509</v>
      </c>
      <c r="AH17" s="50">
        <f t="shared" si="15"/>
        <v>221415.66511416374</v>
      </c>
    </row>
    <row r="18" spans="2:34" x14ac:dyDescent="0.35">
      <c r="B18" s="12">
        <f t="shared" si="16"/>
        <v>6</v>
      </c>
      <c r="C18" s="12">
        <f t="shared" si="16"/>
        <v>35</v>
      </c>
      <c r="E18" s="12">
        <f>VLOOKUP(C18,'Q1 Data'!$A$5:$B$68,2,0)*$K$3</f>
        <v>7.2119999999999997E-4</v>
      </c>
      <c r="F18" s="12">
        <f>VLOOKUP(B18,'Q1 Data'!$E$5:$F$20,2,0)</f>
        <v>0.05</v>
      </c>
      <c r="H18" s="12">
        <f t="shared" si="17"/>
        <v>0.85458940947385975</v>
      </c>
      <c r="I18" s="12">
        <f t="shared" si="1"/>
        <v>6.163298821125476E-4</v>
      </c>
      <c r="J18" s="12">
        <f t="shared" si="2"/>
        <v>4.2729470473692993E-2</v>
      </c>
      <c r="K18" s="12">
        <f t="shared" si="3"/>
        <v>0.81124360911805415</v>
      </c>
      <c r="M18" s="21">
        <f t="shared" si="4"/>
        <v>50000</v>
      </c>
      <c r="N18" s="21">
        <f>SUM($M$13:M18)</f>
        <v>300000</v>
      </c>
      <c r="O18" s="20">
        <f>VLOOKUP(B18,'Q1 Data'!$E$5:$G$20,3,0)</f>
        <v>0.9</v>
      </c>
      <c r="P18" s="21">
        <f t="shared" si="5"/>
        <v>270000</v>
      </c>
      <c r="Q18" s="21">
        <v>0</v>
      </c>
      <c r="R18" s="21">
        <f t="shared" si="6"/>
        <v>1000000</v>
      </c>
      <c r="S18" s="21"/>
      <c r="T18" s="21">
        <f t="shared" si="19"/>
        <v>1324.5754687499998</v>
      </c>
      <c r="U18" s="21"/>
      <c r="V18" s="21">
        <f t="shared" si="18"/>
        <v>2500</v>
      </c>
      <c r="X18" s="21">
        <f t="shared" si="7"/>
        <v>42729.470473692985</v>
      </c>
      <c r="Y18" s="21">
        <f t="shared" si="8"/>
        <v>-1131.9681676426233</v>
      </c>
      <c r="Z18" s="21">
        <f t="shared" si="9"/>
        <v>-2136.4735236846495</v>
      </c>
      <c r="AA18" s="21">
        <f t="shared" si="10"/>
        <v>-11536.957027897108</v>
      </c>
      <c r="AB18" s="21">
        <f t="shared" si="11"/>
        <v>-616.32988211254758</v>
      </c>
      <c r="AC18" s="21">
        <f t="shared" si="12"/>
        <v>0</v>
      </c>
      <c r="AD18" s="21">
        <f t="shared" si="13"/>
        <v>2051.9734966830174</v>
      </c>
      <c r="AE18" s="21">
        <f t="shared" si="14"/>
        <v>29359.715369039077</v>
      </c>
      <c r="AF18" s="18"/>
      <c r="AG18" s="22">
        <f t="shared" si="0"/>
        <v>228418.61095711926</v>
      </c>
      <c r="AH18" s="50">
        <f t="shared" si="15"/>
        <v>281565.99126302544</v>
      </c>
    </row>
    <row r="19" spans="2:34" x14ac:dyDescent="0.35">
      <c r="B19" s="12">
        <f t="shared" si="16"/>
        <v>7</v>
      </c>
      <c r="C19" s="12">
        <f t="shared" si="16"/>
        <v>36</v>
      </c>
      <c r="E19" s="12">
        <f>VLOOKUP(C19,'Q1 Data'!$A$5:$B$68,2,0)*$K$3</f>
        <v>7.6500000000000005E-4</v>
      </c>
      <c r="F19" s="12">
        <f>VLOOKUP(B19,'Q1 Data'!$E$5:$F$20,2,0)</f>
        <v>0.05</v>
      </c>
      <c r="H19" s="12">
        <f t="shared" si="17"/>
        <v>0.81124360911805415</v>
      </c>
      <c r="I19" s="12">
        <f t="shared" si="1"/>
        <v>6.2060136097531152E-4</v>
      </c>
      <c r="J19" s="12">
        <f t="shared" si="2"/>
        <v>4.0562180455902708E-2</v>
      </c>
      <c r="K19" s="12">
        <f t="shared" si="3"/>
        <v>0.7700608273011762</v>
      </c>
      <c r="M19" s="21">
        <f t="shared" si="4"/>
        <v>50000</v>
      </c>
      <c r="N19" s="21">
        <f>SUM($M$13:M19)</f>
        <v>350000</v>
      </c>
      <c r="O19" s="20">
        <f>VLOOKUP(B19,'Q1 Data'!$E$5:$G$20,3,0)</f>
        <v>0.9</v>
      </c>
      <c r="P19" s="21">
        <f t="shared" si="5"/>
        <v>315000</v>
      </c>
      <c r="Q19" s="21">
        <v>0</v>
      </c>
      <c r="R19" s="21">
        <f t="shared" si="6"/>
        <v>1000000</v>
      </c>
      <c r="S19" s="21"/>
      <c r="T19" s="21">
        <f t="shared" si="19"/>
        <v>1357.6898554687498</v>
      </c>
      <c r="U19" s="21"/>
      <c r="V19" s="21">
        <f t="shared" si="18"/>
        <v>2500</v>
      </c>
      <c r="X19" s="21">
        <f t="shared" si="7"/>
        <v>40562.180455902708</v>
      </c>
      <c r="Y19" s="21">
        <f t="shared" si="8"/>
        <v>-1101.4172184134379</v>
      </c>
      <c r="Z19" s="21">
        <f t="shared" si="9"/>
        <v>-2028.1090227951354</v>
      </c>
      <c r="AA19" s="21">
        <f t="shared" si="10"/>
        <v>-12777.086843609353</v>
      </c>
      <c r="AB19" s="21">
        <f t="shared" si="11"/>
        <v>-620.60136097531154</v>
      </c>
      <c r="AC19" s="21">
        <f t="shared" si="12"/>
        <v>0</v>
      </c>
      <c r="AD19" s="21">
        <f t="shared" si="13"/>
        <v>1946.4980191640952</v>
      </c>
      <c r="AE19" s="21">
        <f t="shared" si="14"/>
        <v>25981.464029273571</v>
      </c>
      <c r="AF19" s="18"/>
      <c r="AG19" s="22">
        <f t="shared" si="0"/>
        <v>266277.84275616304</v>
      </c>
      <c r="AH19" s="50">
        <f t="shared" si="15"/>
        <v>345788.06415771606</v>
      </c>
    </row>
    <row r="20" spans="2:34" x14ac:dyDescent="0.35">
      <c r="B20" s="12">
        <f t="shared" si="16"/>
        <v>8</v>
      </c>
      <c r="C20" s="12">
        <f t="shared" si="16"/>
        <v>37</v>
      </c>
      <c r="E20" s="12">
        <f>VLOOKUP(C20,'Q1 Data'!$A$5:$B$68,2,0)*$K$3</f>
        <v>8.1479999999999996E-4</v>
      </c>
      <c r="F20" s="12">
        <f>VLOOKUP(B20,'Q1 Data'!$E$5:$F$20,2,0)</f>
        <v>0.05</v>
      </c>
      <c r="H20" s="12">
        <f t="shared" si="17"/>
        <v>0.7700608273011762</v>
      </c>
      <c r="I20" s="12">
        <f t="shared" si="1"/>
        <v>6.2744556208499836E-4</v>
      </c>
      <c r="J20" s="12">
        <f t="shared" si="2"/>
        <v>3.8503041365058811E-2</v>
      </c>
      <c r="K20" s="12">
        <f t="shared" si="3"/>
        <v>0.73093034037403237</v>
      </c>
      <c r="M20" s="21">
        <f t="shared" si="4"/>
        <v>50000</v>
      </c>
      <c r="N20" s="21">
        <f>SUM($M$13:M20)</f>
        <v>400000</v>
      </c>
      <c r="O20" s="20">
        <f>VLOOKUP(B20,'Q1 Data'!$E$5:$G$20,3,0)</f>
        <v>0.95</v>
      </c>
      <c r="P20" s="21">
        <f t="shared" si="5"/>
        <v>380000</v>
      </c>
      <c r="Q20" s="21">
        <v>0</v>
      </c>
      <c r="R20" s="21">
        <f t="shared" si="6"/>
        <v>1000000</v>
      </c>
      <c r="S20" s="21"/>
      <c r="T20" s="21">
        <f t="shared" si="19"/>
        <v>1391.6321018554684</v>
      </c>
      <c r="U20" s="21"/>
      <c r="V20" s="21">
        <f t="shared" si="18"/>
        <v>2500</v>
      </c>
      <c r="X20" s="21">
        <f t="shared" si="7"/>
        <v>38503.041365058809</v>
      </c>
      <c r="Y20" s="21">
        <f t="shared" si="8"/>
        <v>-1071.6413676536968</v>
      </c>
      <c r="Z20" s="21">
        <f t="shared" si="9"/>
        <v>-1925.1520682529406</v>
      </c>
      <c r="AA20" s="21">
        <f t="shared" si="10"/>
        <v>-14631.155718722348</v>
      </c>
      <c r="AB20" s="21">
        <f t="shared" si="11"/>
        <v>-627.44556208499841</v>
      </c>
      <c r="AC20" s="21">
        <f t="shared" si="12"/>
        <v>0</v>
      </c>
      <c r="AD20" s="21">
        <f t="shared" si="13"/>
        <v>1846.3248923159133</v>
      </c>
      <c r="AE20" s="21">
        <f t="shared" si="14"/>
        <v>22093.971540660739</v>
      </c>
      <c r="AF20" s="18"/>
      <c r="AG20" s="22">
        <f t="shared" si="0"/>
        <v>302218.26212014427</v>
      </c>
      <c r="AH20" s="50">
        <f t="shared" si="15"/>
        <v>413470.67624186026</v>
      </c>
    </row>
    <row r="21" spans="2:34" x14ac:dyDescent="0.35">
      <c r="B21" s="12">
        <f t="shared" si="16"/>
        <v>9</v>
      </c>
      <c r="C21" s="12">
        <f t="shared" si="16"/>
        <v>38</v>
      </c>
      <c r="E21" s="12">
        <f>VLOOKUP(C21,'Q1 Data'!$A$5:$B$68,2,0)*$K$3</f>
        <v>8.7180000000000005E-4</v>
      </c>
      <c r="F21" s="12">
        <f>VLOOKUP(B21,'Q1 Data'!$E$5:$F$20,2,0)</f>
        <v>0.05</v>
      </c>
      <c r="H21" s="12">
        <f t="shared" si="17"/>
        <v>0.73093034037403237</v>
      </c>
      <c r="I21" s="12">
        <f t="shared" si="1"/>
        <v>6.3722507073808146E-4</v>
      </c>
      <c r="J21" s="12">
        <f t="shared" si="2"/>
        <v>3.6546517018701617E-2</v>
      </c>
      <c r="K21" s="12">
        <f t="shared" si="3"/>
        <v>0.69374659828459273</v>
      </c>
      <c r="M21" s="21">
        <f t="shared" si="4"/>
        <v>50000</v>
      </c>
      <c r="N21" s="21">
        <f>SUM($M$13:M21)</f>
        <v>450000</v>
      </c>
      <c r="O21" s="20">
        <f>VLOOKUP(B21,'Q1 Data'!$E$5:$G$20,3,0)</f>
        <v>0.95</v>
      </c>
      <c r="P21" s="21">
        <f t="shared" si="5"/>
        <v>427500</v>
      </c>
      <c r="Q21" s="21">
        <v>0</v>
      </c>
      <c r="R21" s="21">
        <f t="shared" si="6"/>
        <v>1000000</v>
      </c>
      <c r="S21" s="21"/>
      <c r="T21" s="21">
        <f t="shared" si="19"/>
        <v>1426.422904401855</v>
      </c>
      <c r="U21" s="21"/>
      <c r="V21" s="21">
        <f t="shared" si="18"/>
        <v>2500</v>
      </c>
      <c r="X21" s="21">
        <f t="shared" si="7"/>
        <v>36546.517018701619</v>
      </c>
      <c r="Y21" s="21">
        <f t="shared" si="8"/>
        <v>-1042.6157790317636</v>
      </c>
      <c r="Z21" s="21">
        <f t="shared" si="9"/>
        <v>-1827.325850935081</v>
      </c>
      <c r="AA21" s="21">
        <f t="shared" si="10"/>
        <v>-15623.636025494941</v>
      </c>
      <c r="AB21" s="21">
        <f t="shared" si="11"/>
        <v>-637.22507073808151</v>
      </c>
      <c r="AC21" s="21">
        <f t="shared" si="12"/>
        <v>0</v>
      </c>
      <c r="AD21" s="21">
        <f t="shared" si="13"/>
        <v>1751.1819202142085</v>
      </c>
      <c r="AE21" s="21">
        <f t="shared" si="14"/>
        <v>19166.896212715961</v>
      </c>
      <c r="AF21" s="18"/>
      <c r="AG21" s="22">
        <f t="shared" si="0"/>
        <v>337100.50796310772</v>
      </c>
      <c r="AH21" s="50">
        <f t="shared" si="15"/>
        <v>485913.02472206199</v>
      </c>
    </row>
    <row r="22" spans="2:34" x14ac:dyDescent="0.35">
      <c r="B22" s="12">
        <f t="shared" si="16"/>
        <v>10</v>
      </c>
      <c r="C22" s="12">
        <f t="shared" si="16"/>
        <v>39</v>
      </c>
      <c r="E22" s="12">
        <f>VLOOKUP(C22,'Q1 Data'!$A$5:$B$68,2,0)*$K$3</f>
        <v>9.3599999999999998E-4</v>
      </c>
      <c r="F22" s="12">
        <f>VLOOKUP(B22,'Q1 Data'!$E$5:$F$20,2,0)</f>
        <v>0.05</v>
      </c>
      <c r="H22" s="12">
        <f t="shared" si="17"/>
        <v>0.69374659828459273</v>
      </c>
      <c r="I22" s="12">
        <f t="shared" si="1"/>
        <v>6.4934681599437881E-4</v>
      </c>
      <c r="J22" s="12">
        <f t="shared" si="2"/>
        <v>3.4687329914229639E-2</v>
      </c>
      <c r="K22" s="12">
        <f t="shared" si="3"/>
        <v>0.65840992155436873</v>
      </c>
      <c r="M22" s="21">
        <f t="shared" si="4"/>
        <v>50000</v>
      </c>
      <c r="N22" s="21">
        <f>SUM($M$13:M22)</f>
        <v>500000</v>
      </c>
      <c r="O22" s="20">
        <f>VLOOKUP(B22,'Q1 Data'!$E$5:$G$20,3,0)</f>
        <v>1</v>
      </c>
      <c r="P22" s="21">
        <f t="shared" si="5"/>
        <v>500000</v>
      </c>
      <c r="Q22" s="21">
        <v>0</v>
      </c>
      <c r="R22" s="21">
        <f t="shared" si="6"/>
        <v>1000000</v>
      </c>
      <c r="S22" s="21"/>
      <c r="T22" s="21">
        <f t="shared" si="19"/>
        <v>1462.0834770119013</v>
      </c>
      <c r="U22" s="21"/>
      <c r="V22" s="21">
        <f t="shared" si="18"/>
        <v>2500</v>
      </c>
      <c r="X22" s="21">
        <f t="shared" si="7"/>
        <v>34687.329914229638</v>
      </c>
      <c r="Y22" s="21">
        <f t="shared" si="8"/>
        <v>-1014.3154385851161</v>
      </c>
      <c r="Z22" s="21">
        <f t="shared" si="9"/>
        <v>-1734.3664957114818</v>
      </c>
      <c r="AA22" s="21">
        <f t="shared" si="10"/>
        <v>-17343.664957114819</v>
      </c>
      <c r="AB22" s="21">
        <f t="shared" si="11"/>
        <v>-649.34681599437886</v>
      </c>
      <c r="AC22" s="21">
        <f t="shared" si="12"/>
        <v>0</v>
      </c>
      <c r="AD22" s="21">
        <f t="shared" si="13"/>
        <v>1660.8096949565183</v>
      </c>
      <c r="AE22" s="21">
        <f t="shared" si="14"/>
        <v>15606.445901780362</v>
      </c>
      <c r="AF22" s="18"/>
      <c r="AG22" s="22">
        <f t="shared" si="0"/>
        <v>370236.18027896975</v>
      </c>
      <c r="AH22" s="50">
        <f t="shared" si="15"/>
        <v>562318.65310431411</v>
      </c>
    </row>
    <row r="23" spans="2:34" x14ac:dyDescent="0.35">
      <c r="B23" s="12">
        <f t="shared" si="16"/>
        <v>11</v>
      </c>
      <c r="C23" s="12">
        <f t="shared" si="16"/>
        <v>40</v>
      </c>
      <c r="E23" s="12">
        <f>VLOOKUP(C23,'Q1 Data'!$A$5:$B$68,2,0)*$K$3</f>
        <v>1.008E-3</v>
      </c>
      <c r="F23" s="12">
        <f>VLOOKUP(B23,'Q1 Data'!$E$5:$F$20,2,0)</f>
        <v>0.15</v>
      </c>
      <c r="H23" s="12">
        <f t="shared" si="17"/>
        <v>0.65840992155436873</v>
      </c>
      <c r="I23" s="12">
        <f t="shared" si="1"/>
        <v>6.6367720092680373E-4</v>
      </c>
      <c r="J23" s="12">
        <f t="shared" si="2"/>
        <v>9.8761488233155309E-2</v>
      </c>
      <c r="K23" s="12">
        <f t="shared" si="3"/>
        <v>0.55898475612028664</v>
      </c>
      <c r="M23" s="21">
        <f t="shared" si="4"/>
        <v>50000</v>
      </c>
      <c r="N23" s="21">
        <f>SUM($M$13:M23)</f>
        <v>550000</v>
      </c>
      <c r="O23" s="20">
        <f>VLOOKUP(B23,'Q1 Data'!$E$5:$G$20,3,0)</f>
        <v>1.1000000000000001</v>
      </c>
      <c r="P23" s="21">
        <f t="shared" si="5"/>
        <v>605000</v>
      </c>
      <c r="Q23" s="21">
        <v>0</v>
      </c>
      <c r="R23" s="21">
        <f t="shared" si="6"/>
        <v>1000000</v>
      </c>
      <c r="S23" s="21"/>
      <c r="T23" s="21">
        <f t="shared" si="19"/>
        <v>1498.6355639371986</v>
      </c>
      <c r="U23" s="21"/>
      <c r="V23" s="21">
        <f t="shared" si="18"/>
        <v>2500</v>
      </c>
      <c r="X23" s="21">
        <f t="shared" si="7"/>
        <v>32920.496077718439</v>
      </c>
      <c r="Y23" s="21">
        <f t="shared" si="8"/>
        <v>-986.71652409047806</v>
      </c>
      <c r="Z23" s="21">
        <f t="shared" si="9"/>
        <v>-1646.0248038859218</v>
      </c>
      <c r="AA23" s="21">
        <f t="shared" si="10"/>
        <v>-59750.700381058959</v>
      </c>
      <c r="AB23" s="21">
        <f t="shared" si="11"/>
        <v>-663.67720092680372</v>
      </c>
      <c r="AC23" s="21">
        <f t="shared" si="12"/>
        <v>0</v>
      </c>
      <c r="AD23" s="21">
        <f t="shared" si="13"/>
        <v>1574.9632469865862</v>
      </c>
      <c r="AE23" s="21">
        <f t="shared" si="14"/>
        <v>-28551.659585257137</v>
      </c>
      <c r="AF23" s="18"/>
      <c r="AG23" s="22">
        <f t="shared" si="0"/>
        <v>360936.80206821905</v>
      </c>
      <c r="AH23" s="50">
        <f t="shared" si="15"/>
        <v>645700.61726432818</v>
      </c>
    </row>
    <row r="24" spans="2:34" x14ac:dyDescent="0.35">
      <c r="B24" s="12">
        <f t="shared" si="16"/>
        <v>12</v>
      </c>
      <c r="C24" s="12">
        <f t="shared" si="16"/>
        <v>41</v>
      </c>
      <c r="E24" s="12">
        <f>VLOOKUP(C24,'Q1 Data'!$A$5:$B$68,2,0)*$K$3</f>
        <v>1.0889999999999999E-3</v>
      </c>
      <c r="F24" s="12">
        <f>VLOOKUP(B24,'Q1 Data'!$E$5:$F$20,2,0)</f>
        <v>0.15</v>
      </c>
      <c r="H24" s="12">
        <f t="shared" si="17"/>
        <v>0.55898475612028664</v>
      </c>
      <c r="I24" s="12">
        <f t="shared" si="1"/>
        <v>6.0873439941499206E-4</v>
      </c>
      <c r="J24" s="12">
        <f t="shared" si="2"/>
        <v>8.3847713418042993E-2</v>
      </c>
      <c r="K24" s="12">
        <f t="shared" si="3"/>
        <v>0.47452830830282866</v>
      </c>
      <c r="M24" s="21">
        <f t="shared" si="4"/>
        <v>50000</v>
      </c>
      <c r="N24" s="21">
        <f>SUM($M$13:M24)</f>
        <v>600000</v>
      </c>
      <c r="O24" s="20">
        <f>VLOOKUP(B24,'Q1 Data'!$E$5:$G$20,3,0)</f>
        <v>1.2</v>
      </c>
      <c r="P24" s="21">
        <f t="shared" si="5"/>
        <v>720000</v>
      </c>
      <c r="Q24" s="21">
        <v>0</v>
      </c>
      <c r="R24" s="21">
        <f t="shared" si="6"/>
        <v>1000000</v>
      </c>
      <c r="S24" s="21"/>
      <c r="T24" s="21">
        <f t="shared" si="19"/>
        <v>1536.1014530356285</v>
      </c>
      <c r="U24" s="21"/>
      <c r="V24" s="21">
        <f t="shared" si="18"/>
        <v>2500</v>
      </c>
      <c r="X24" s="21">
        <f t="shared" si="7"/>
        <v>27949.237806014331</v>
      </c>
      <c r="Y24" s="21">
        <f t="shared" si="8"/>
        <v>-858.65729610113874</v>
      </c>
      <c r="Z24" s="21">
        <f t="shared" si="9"/>
        <v>-1397.4618903007165</v>
      </c>
      <c r="AA24" s="21">
        <f t="shared" si="10"/>
        <v>-60370.353660990957</v>
      </c>
      <c r="AB24" s="21">
        <f t="shared" si="11"/>
        <v>-608.73439941499203</v>
      </c>
      <c r="AC24" s="21">
        <f t="shared" si="12"/>
        <v>0</v>
      </c>
      <c r="AD24" s="21">
        <f t="shared" si="13"/>
        <v>1336.0421682198489</v>
      </c>
      <c r="AE24" s="21">
        <f t="shared" si="14"/>
        <v>-33949.927272573623</v>
      </c>
      <c r="AF24" s="18"/>
      <c r="AG24" s="22">
        <f t="shared" si="0"/>
        <v>345755.58850319282</v>
      </c>
      <c r="AH24" s="50">
        <f t="shared" si="15"/>
        <v>728630.05737171485</v>
      </c>
    </row>
    <row r="25" spans="2:34" x14ac:dyDescent="0.35">
      <c r="B25" s="12">
        <f t="shared" si="16"/>
        <v>13</v>
      </c>
      <c r="C25" s="12">
        <f t="shared" si="16"/>
        <v>42</v>
      </c>
      <c r="E25" s="12">
        <f>VLOOKUP(C25,'Q1 Data'!$A$5:$B$68,2,0)*$K$3</f>
        <v>1.1813999999999998E-3</v>
      </c>
      <c r="F25" s="12">
        <f>VLOOKUP(B25,'Q1 Data'!$E$5:$F$20,2,0)</f>
        <v>0.15</v>
      </c>
      <c r="H25" s="12">
        <f t="shared" si="17"/>
        <v>0.47452830830282866</v>
      </c>
      <c r="I25" s="12">
        <f t="shared" si="1"/>
        <v>5.606077434289617E-4</v>
      </c>
      <c r="J25" s="12">
        <f t="shared" si="2"/>
        <v>7.1179246245424294E-2</v>
      </c>
      <c r="K25" s="12">
        <f t="shared" si="3"/>
        <v>0.40278845431397536</v>
      </c>
      <c r="M25" s="21">
        <f t="shared" si="4"/>
        <v>50000</v>
      </c>
      <c r="N25" s="21">
        <f>SUM($M$13:M25)</f>
        <v>650000</v>
      </c>
      <c r="O25" s="20">
        <f>VLOOKUP(B25,'Q1 Data'!$E$5:$G$20,3,0)</f>
        <v>1.25</v>
      </c>
      <c r="P25" s="21">
        <f t="shared" si="5"/>
        <v>812500</v>
      </c>
      <c r="Q25" s="21">
        <v>0</v>
      </c>
      <c r="R25" s="21">
        <f t="shared" si="6"/>
        <v>1000000</v>
      </c>
      <c r="S25" s="21"/>
      <c r="T25" s="21">
        <f t="shared" si="19"/>
        <v>1574.5039893615192</v>
      </c>
      <c r="U25" s="21"/>
      <c r="V25" s="21">
        <f t="shared" si="18"/>
        <v>2500</v>
      </c>
      <c r="X25" s="21">
        <f t="shared" si="7"/>
        <v>23726.415415141433</v>
      </c>
      <c r="Y25" s="21">
        <f t="shared" si="8"/>
        <v>-747.14671448777665</v>
      </c>
      <c r="Z25" s="21">
        <f t="shared" si="9"/>
        <v>-1186.3207707570716</v>
      </c>
      <c r="AA25" s="21">
        <f t="shared" si="10"/>
        <v>-57833.137574407236</v>
      </c>
      <c r="AB25" s="21">
        <f t="shared" si="11"/>
        <v>-560.60774342896173</v>
      </c>
      <c r="AC25" s="21">
        <f t="shared" si="12"/>
        <v>0</v>
      </c>
      <c r="AD25" s="21">
        <f t="shared" si="13"/>
        <v>1133.2332923546226</v>
      </c>
      <c r="AE25" s="21">
        <f t="shared" si="14"/>
        <v>-35467.564095584996</v>
      </c>
      <c r="AF25" s="18"/>
      <c r="AG25" s="22">
        <f t="shared" si="0"/>
        <v>328267.31500977383</v>
      </c>
      <c r="AH25" s="50">
        <f t="shared" si="15"/>
        <v>814986.90315956285</v>
      </c>
    </row>
    <row r="26" spans="2:34" x14ac:dyDescent="0.35">
      <c r="B26" s="12">
        <f t="shared" si="16"/>
        <v>14</v>
      </c>
      <c r="C26" s="12">
        <f t="shared" si="16"/>
        <v>43</v>
      </c>
      <c r="E26" s="12">
        <f>VLOOKUP(C26,'Q1 Data'!$A$5:$B$68,2,0)*$K$3</f>
        <v>1.2864E-3</v>
      </c>
      <c r="F26" s="12">
        <f>VLOOKUP(B26,'Q1 Data'!$E$5:$F$20,2,0)</f>
        <v>0.15</v>
      </c>
      <c r="H26" s="12">
        <f t="shared" si="17"/>
        <v>0.40278845431397536</v>
      </c>
      <c r="I26" s="12">
        <f t="shared" si="1"/>
        <v>5.1814706762949797E-4</v>
      </c>
      <c r="J26" s="12">
        <f t="shared" si="2"/>
        <v>6.0418268147096305E-2</v>
      </c>
      <c r="K26" s="12">
        <f t="shared" si="3"/>
        <v>0.34185203909924955</v>
      </c>
      <c r="M26" s="21">
        <f t="shared" si="4"/>
        <v>50000</v>
      </c>
      <c r="N26" s="21">
        <f>SUM($M$13:M26)</f>
        <v>700000</v>
      </c>
      <c r="O26" s="20">
        <f>VLOOKUP(B26,'Q1 Data'!$E$5:$G$20,3,0)</f>
        <v>1.3</v>
      </c>
      <c r="P26" s="21">
        <f t="shared" si="5"/>
        <v>910000</v>
      </c>
      <c r="Q26" s="21">
        <v>0</v>
      </c>
      <c r="R26" s="21">
        <f t="shared" si="6"/>
        <v>1000000</v>
      </c>
      <c r="S26" s="21"/>
      <c r="T26" s="21">
        <f t="shared" si="19"/>
        <v>1613.8665890955569</v>
      </c>
      <c r="U26" s="21"/>
      <c r="V26" s="21">
        <f t="shared" si="18"/>
        <v>2500</v>
      </c>
      <c r="X26" s="21">
        <f t="shared" si="7"/>
        <v>20139.422715698769</v>
      </c>
      <c r="Y26" s="21">
        <f t="shared" si="8"/>
        <v>-650.04682889076696</v>
      </c>
      <c r="Z26" s="21">
        <f t="shared" si="9"/>
        <v>-1006.9711357849384</v>
      </c>
      <c r="AA26" s="21">
        <f t="shared" si="10"/>
        <v>-54980.62401385764</v>
      </c>
      <c r="AB26" s="21">
        <f t="shared" si="11"/>
        <v>-518.147067629498</v>
      </c>
      <c r="AC26" s="21">
        <f t="shared" si="12"/>
        <v>0</v>
      </c>
      <c r="AD26" s="21">
        <f t="shared" si="13"/>
        <v>961.08504705319933</v>
      </c>
      <c r="AE26" s="21">
        <f t="shared" si="14"/>
        <v>-36055.281283410877</v>
      </c>
      <c r="AF26" s="18"/>
      <c r="AG26" s="22">
        <f t="shared" si="0"/>
        <v>309281.93410687119</v>
      </c>
      <c r="AH26" s="50">
        <f t="shared" si="15"/>
        <v>904724.55545914616</v>
      </c>
    </row>
    <row r="27" spans="2:34" x14ac:dyDescent="0.35">
      <c r="B27" s="12">
        <f t="shared" si="16"/>
        <v>15</v>
      </c>
      <c r="C27" s="12">
        <f t="shared" si="16"/>
        <v>44</v>
      </c>
      <c r="E27" s="12">
        <f>VLOOKUP(C27,'Q1 Data'!$A$5:$B$68,2,0)*$K$3</f>
        <v>1.4069999999999998E-3</v>
      </c>
      <c r="F27" s="12">
        <f>VLOOKUP(B27,'Q1 Data'!$E$5:$F$20,2,0)</f>
        <v>0</v>
      </c>
      <c r="H27" s="12">
        <f t="shared" si="17"/>
        <v>0.34185203909924955</v>
      </c>
      <c r="I27" s="12">
        <f t="shared" si="1"/>
        <v>4.8098581901264407E-4</v>
      </c>
      <c r="J27" s="12">
        <f t="shared" si="2"/>
        <v>0</v>
      </c>
      <c r="K27" s="12">
        <f t="shared" si="3"/>
        <v>0.34137105328023692</v>
      </c>
      <c r="M27" s="21">
        <f t="shared" si="4"/>
        <v>50000</v>
      </c>
      <c r="N27" s="21">
        <f>SUM($M$13:M27)</f>
        <v>750000</v>
      </c>
      <c r="O27" s="20">
        <f>VLOOKUP(B27,'Q1 Data'!$E$5:$G$20,3,0)</f>
        <v>0</v>
      </c>
      <c r="P27" s="21">
        <f t="shared" si="5"/>
        <v>0</v>
      </c>
      <c r="Q27" s="21">
        <f>B7</f>
        <v>1000000</v>
      </c>
      <c r="R27" s="21">
        <f t="shared" si="6"/>
        <v>1000000</v>
      </c>
      <c r="S27" s="21"/>
      <c r="T27" s="21">
        <f t="shared" si="19"/>
        <v>1654.2132538229457</v>
      </c>
      <c r="U27" s="21"/>
      <c r="V27" s="21">
        <f t="shared" si="18"/>
        <v>2500</v>
      </c>
      <c r="X27" s="21">
        <f t="shared" si="7"/>
        <v>17092.601954962476</v>
      </c>
      <c r="Y27" s="21">
        <f t="shared" si="8"/>
        <v>-565.49617392437847</v>
      </c>
      <c r="Z27" s="21">
        <f t="shared" si="9"/>
        <v>-854.63009774812383</v>
      </c>
      <c r="AA27" s="21">
        <f t="shared" si="10"/>
        <v>0</v>
      </c>
      <c r="AB27" s="21">
        <f t="shared" si="11"/>
        <v>-480.98581901264407</v>
      </c>
      <c r="AC27" s="21">
        <f t="shared" si="12"/>
        <v>-341371.0532802369</v>
      </c>
      <c r="AD27" s="21">
        <f t="shared" si="13"/>
        <v>814.96873553107878</v>
      </c>
      <c r="AE27" s="21">
        <f t="shared" si="14"/>
        <v>-325364.5946804285</v>
      </c>
      <c r="AG27" s="22">
        <f>AF27</f>
        <v>0</v>
      </c>
      <c r="AH27" s="50">
        <f t="shared" si="15"/>
        <v>0</v>
      </c>
    </row>
  </sheetData>
  <mergeCells count="4">
    <mergeCell ref="H10:K10"/>
    <mergeCell ref="M10:V10"/>
    <mergeCell ref="X10:AE10"/>
    <mergeCell ref="O7:P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77EA7-E605-4BDD-A56E-35FF3EAF2D4A}">
  <dimension ref="A3:AQ27"/>
  <sheetViews>
    <sheetView showGridLines="0" zoomScale="85" zoomScaleNormal="85" workbookViewId="0"/>
  </sheetViews>
  <sheetFormatPr defaultRowHeight="14.5" x14ac:dyDescent="0.35"/>
  <cols>
    <col min="1" max="1" width="16.1796875" bestFit="1" customWidth="1"/>
    <col min="4" max="4" width="17.7265625" bestFit="1" customWidth="1"/>
    <col min="7" max="7" width="11.1796875" bestFit="1" customWidth="1"/>
    <col min="13" max="13" width="10.1796875" bestFit="1" customWidth="1"/>
    <col min="14" max="14" width="11.1796875" bestFit="1" customWidth="1"/>
    <col min="15" max="15" width="8.81640625" style="16" bestFit="1" customWidth="1"/>
    <col min="16" max="16" width="11.1796875" bestFit="1" customWidth="1"/>
    <col min="17" max="17" width="17.81640625" bestFit="1" customWidth="1"/>
    <col min="18" max="18" width="13.81640625" bestFit="1" customWidth="1"/>
    <col min="19" max="19" width="14.54296875" bestFit="1" customWidth="1"/>
    <col min="20" max="20" width="9.1796875" bestFit="1" customWidth="1"/>
    <col min="21" max="21" width="10.1796875" bestFit="1" customWidth="1"/>
    <col min="22" max="22" width="17.36328125" bestFit="1" customWidth="1"/>
    <col min="23" max="23" width="17.36328125" customWidth="1"/>
    <col min="25" max="25" width="10.1796875" bestFit="1" customWidth="1"/>
    <col min="26" max="26" width="9.7265625" bestFit="1" customWidth="1"/>
    <col min="27" max="28" width="10.7265625" bestFit="1" customWidth="1"/>
    <col min="29" max="29" width="8.81640625" bestFit="1" customWidth="1"/>
    <col min="30" max="30" width="11.7265625" bestFit="1" customWidth="1"/>
    <col min="31" max="31" width="14" bestFit="1" customWidth="1"/>
    <col min="32" max="32" width="13.1796875" bestFit="1" customWidth="1"/>
    <col min="33" max="33" width="11.7265625" bestFit="1" customWidth="1"/>
    <col min="34" max="34" width="14.54296875" style="17" customWidth="1"/>
    <col min="35" max="35" width="12.36328125" style="17" bestFit="1" customWidth="1"/>
    <col min="36" max="36" width="15.7265625" style="17" bestFit="1" customWidth="1"/>
    <col min="37" max="37" width="15.7265625" customWidth="1"/>
    <col min="38" max="38" width="11.1796875" bestFit="1" customWidth="1"/>
    <col min="39" max="39" width="18.1796875" style="46" customWidth="1"/>
    <col min="42" max="42" width="14.1796875" bestFit="1" customWidth="1"/>
    <col min="43" max="43" width="11.54296875" bestFit="1" customWidth="1"/>
  </cols>
  <sheetData>
    <row r="3" spans="1:43" x14ac:dyDescent="0.35">
      <c r="A3" t="s">
        <v>13</v>
      </c>
    </row>
    <row r="4" spans="1:43" x14ac:dyDescent="0.35">
      <c r="A4" s="12" t="s">
        <v>14</v>
      </c>
      <c r="B4" s="12">
        <v>50000</v>
      </c>
      <c r="D4" s="12" t="s">
        <v>15</v>
      </c>
      <c r="E4" s="12">
        <v>5000</v>
      </c>
      <c r="G4" s="12" t="s">
        <v>16</v>
      </c>
      <c r="H4" s="25">
        <v>6.5000000000000002E-2</v>
      </c>
      <c r="Q4" s="27"/>
    </row>
    <row r="5" spans="1:43" x14ac:dyDescent="0.35">
      <c r="A5" s="12" t="s">
        <v>17</v>
      </c>
      <c r="B5" s="12">
        <v>15</v>
      </c>
      <c r="D5" s="12" t="s">
        <v>18</v>
      </c>
      <c r="E5" s="12">
        <v>1000</v>
      </c>
      <c r="G5" s="12" t="s">
        <v>19</v>
      </c>
      <c r="H5" s="13">
        <v>0.12</v>
      </c>
      <c r="Q5" s="27"/>
    </row>
    <row r="6" spans="1:43" x14ac:dyDescent="0.35">
      <c r="A6" s="12" t="s">
        <v>3</v>
      </c>
      <c r="B6" s="12">
        <v>30</v>
      </c>
      <c r="D6" s="12" t="s">
        <v>20</v>
      </c>
      <c r="E6" s="25">
        <v>2.5000000000000001E-2</v>
      </c>
      <c r="Q6" s="27"/>
    </row>
    <row r="7" spans="1:43" x14ac:dyDescent="0.35">
      <c r="A7" s="12" t="s">
        <v>21</v>
      </c>
      <c r="B7" s="12">
        <f>B4*20</f>
        <v>1000000</v>
      </c>
      <c r="D7" s="12" t="s">
        <v>22</v>
      </c>
      <c r="E7" s="13">
        <v>0.25</v>
      </c>
      <c r="AH7" s="26"/>
    </row>
    <row r="8" spans="1:43" x14ac:dyDescent="0.35">
      <c r="A8" s="12" t="s">
        <v>23</v>
      </c>
      <c r="B8" s="12">
        <f>B4*20</f>
        <v>1000000</v>
      </c>
      <c r="D8" s="12" t="s">
        <v>24</v>
      </c>
      <c r="E8" s="13">
        <v>0.05</v>
      </c>
    </row>
    <row r="9" spans="1:43" x14ac:dyDescent="0.35">
      <c r="E9" s="11"/>
    </row>
    <row r="10" spans="1:43" x14ac:dyDescent="0.35">
      <c r="H10" s="56" t="s">
        <v>11</v>
      </c>
      <c r="I10" s="56"/>
      <c r="J10" s="56"/>
      <c r="K10" s="56"/>
      <c r="M10" s="62" t="s">
        <v>12</v>
      </c>
      <c r="N10" s="61"/>
      <c r="O10" s="61"/>
      <c r="P10" s="61"/>
      <c r="Q10" s="61"/>
      <c r="R10" s="61"/>
      <c r="S10" s="61"/>
      <c r="T10" s="61"/>
      <c r="U10" s="61"/>
      <c r="V10" s="61"/>
      <c r="W10" s="61"/>
      <c r="Y10" s="56" t="s">
        <v>25</v>
      </c>
      <c r="Z10" s="56"/>
      <c r="AA10" s="56"/>
      <c r="AB10" s="56"/>
      <c r="AC10" s="56"/>
      <c r="AD10" s="56"/>
      <c r="AE10" s="56"/>
      <c r="AF10" s="56"/>
      <c r="AH10" s="61"/>
      <c r="AI10" s="61"/>
      <c r="AJ10" s="61"/>
    </row>
    <row r="11" spans="1:43" x14ac:dyDescent="0.35">
      <c r="B11" s="12" t="s">
        <v>26</v>
      </c>
      <c r="C11" s="12" t="s">
        <v>3</v>
      </c>
      <c r="E11" s="12" t="s">
        <v>27</v>
      </c>
      <c r="F11" s="12" t="s">
        <v>28</v>
      </c>
      <c r="H11" s="12" t="s">
        <v>29</v>
      </c>
      <c r="I11" s="12" t="s">
        <v>30</v>
      </c>
      <c r="J11" s="12" t="s">
        <v>31</v>
      </c>
      <c r="K11" s="12" t="s">
        <v>32</v>
      </c>
      <c r="M11" s="21" t="s">
        <v>33</v>
      </c>
      <c r="N11" s="21" t="s">
        <v>61</v>
      </c>
      <c r="O11" s="20" t="s">
        <v>35</v>
      </c>
      <c r="P11" s="21" t="s">
        <v>36</v>
      </c>
      <c r="Q11" s="21" t="s">
        <v>21</v>
      </c>
      <c r="R11" s="21" t="s">
        <v>37</v>
      </c>
      <c r="S11" s="21" t="s">
        <v>15</v>
      </c>
      <c r="T11" s="21" t="s">
        <v>18</v>
      </c>
      <c r="U11" s="21" t="s">
        <v>38</v>
      </c>
      <c r="V11" s="21" t="s">
        <v>39</v>
      </c>
      <c r="W11" s="21" t="s">
        <v>40</v>
      </c>
      <c r="Y11" s="21" t="s">
        <v>41</v>
      </c>
      <c r="Z11" s="21" t="s">
        <v>42</v>
      </c>
      <c r="AA11" s="21" t="s">
        <v>43</v>
      </c>
      <c r="AB11" s="21" t="s">
        <v>44</v>
      </c>
      <c r="AC11" s="21" t="s">
        <v>45</v>
      </c>
      <c r="AD11" s="21" t="s">
        <v>46</v>
      </c>
      <c r="AE11" s="21" t="s">
        <v>47</v>
      </c>
      <c r="AF11" s="21" t="s">
        <v>48</v>
      </c>
      <c r="AH11" s="21" t="s">
        <v>49</v>
      </c>
      <c r="AI11" s="21" t="s">
        <v>50</v>
      </c>
      <c r="AJ11" s="21" t="s">
        <v>51</v>
      </c>
      <c r="AL11" s="21" t="s">
        <v>52</v>
      </c>
      <c r="AM11" s="47" t="s">
        <v>53</v>
      </c>
      <c r="AP11" s="12" t="s">
        <v>54</v>
      </c>
      <c r="AQ11" s="20">
        <f>SUMPRODUCT(AL13:AL27,AM13:AM27)</f>
        <v>39511.738499148378</v>
      </c>
    </row>
    <row r="12" spans="1:43" x14ac:dyDescent="0.35">
      <c r="B12" s="12"/>
      <c r="C12" s="12"/>
      <c r="E12" s="12"/>
      <c r="F12" s="12"/>
      <c r="H12" s="12"/>
      <c r="I12" s="12"/>
      <c r="J12" s="12"/>
      <c r="K12" s="12"/>
      <c r="M12" s="21"/>
      <c r="N12" s="21"/>
      <c r="O12" s="20"/>
      <c r="P12" s="21"/>
      <c r="Q12" s="21"/>
      <c r="R12" s="21"/>
      <c r="S12" s="21"/>
      <c r="T12" s="21"/>
      <c r="U12" s="21"/>
      <c r="V12" s="21"/>
      <c r="W12" s="21"/>
      <c r="Y12" s="21"/>
      <c r="Z12" s="21"/>
      <c r="AA12" s="21"/>
      <c r="AB12" s="21"/>
      <c r="AC12" s="21"/>
      <c r="AD12" s="21"/>
      <c r="AE12" s="21"/>
      <c r="AF12" s="21"/>
      <c r="AH12" s="21">
        <f>'Q1(ii)'!AG12</f>
        <v>0</v>
      </c>
      <c r="AI12" s="21"/>
      <c r="AJ12" s="21"/>
      <c r="AL12" s="21"/>
      <c r="AM12" s="47">
        <v>1</v>
      </c>
      <c r="AP12" s="12" t="s">
        <v>55</v>
      </c>
      <c r="AQ12" s="20">
        <f>SUMPRODUCT(Y13:Y27,AM12:AM26)</f>
        <v>319255.46928901784</v>
      </c>
    </row>
    <row r="13" spans="1:43" x14ac:dyDescent="0.35">
      <c r="B13" s="12">
        <v>1</v>
      </c>
      <c r="C13" s="12">
        <f>B6</f>
        <v>30</v>
      </c>
      <c r="E13" s="12">
        <f>VLOOKUP(C13,'Q1 Data'!$A$5:$B$68,2,0)</f>
        <v>4.885E-4</v>
      </c>
      <c r="F13" s="12">
        <f>VLOOKUP(B13,'Q1 Data'!$E$5:$F$20,2,0)</f>
        <v>0</v>
      </c>
      <c r="H13" s="12">
        <v>1</v>
      </c>
      <c r="I13" s="12">
        <f>H13*E13</f>
        <v>4.885E-4</v>
      </c>
      <c r="J13" s="12">
        <f>H13*F13</f>
        <v>0</v>
      </c>
      <c r="K13" s="12">
        <f>H13-I13-J13</f>
        <v>0.9995115</v>
      </c>
      <c r="M13" s="21">
        <f>$B$4</f>
        <v>50000</v>
      </c>
      <c r="N13" s="21">
        <f>M13</f>
        <v>50000</v>
      </c>
      <c r="O13" s="20">
        <f>VLOOKUP(B13,'Q1 Data'!$E$5:$G$20,3,0)</f>
        <v>0</v>
      </c>
      <c r="P13" s="21">
        <f>N13*O13</f>
        <v>0</v>
      </c>
      <c r="Q13" s="21">
        <v>0</v>
      </c>
      <c r="R13" s="21">
        <f>$B$8</f>
        <v>1000000</v>
      </c>
      <c r="S13" s="21">
        <f>E4</f>
        <v>5000</v>
      </c>
      <c r="T13" s="21"/>
      <c r="U13" s="21">
        <f>$B$4*E7</f>
        <v>12500</v>
      </c>
      <c r="V13" s="21"/>
      <c r="W13" s="21">
        <f>'Q1(ii)'!AH13</f>
        <v>11264.772334759547</v>
      </c>
      <c r="Y13" s="21">
        <f>M13*H13</f>
        <v>50000</v>
      </c>
      <c r="Z13" s="21">
        <f>-(S13+T13)*H13</f>
        <v>-5000</v>
      </c>
      <c r="AA13" s="21">
        <f>-(U13+V13)*H13</f>
        <v>-12500</v>
      </c>
      <c r="AB13" s="21">
        <f>-P13*J13</f>
        <v>0</v>
      </c>
      <c r="AC13" s="21">
        <f>-R13*I13</f>
        <v>-488.5</v>
      </c>
      <c r="AD13" s="21">
        <f>-Q13*K13</f>
        <v>0</v>
      </c>
      <c r="AE13" s="21">
        <f>SUM(Y13:AA13)*$H$4</f>
        <v>2112.5</v>
      </c>
      <c r="AF13" s="21">
        <f>SUM(Y13:AE13)</f>
        <v>34124</v>
      </c>
      <c r="AG13" s="18"/>
      <c r="AH13" s="21">
        <f>W13*K13</f>
        <v>11259.269493474018</v>
      </c>
      <c r="AI13" s="21">
        <f>AH12*$H$4</f>
        <v>0</v>
      </c>
      <c r="AJ13" s="21">
        <f>AH12-AH13</f>
        <v>-11259.269493474018</v>
      </c>
      <c r="AL13" s="21">
        <f t="shared" ref="AL13:AL27" si="0">AF13+AI13+AJ13</f>
        <v>22864.730506525982</v>
      </c>
      <c r="AM13" s="47">
        <f t="shared" ref="AM13:AM27" si="1">1/(1+$H$5)^B13</f>
        <v>0.89285714285714279</v>
      </c>
      <c r="AP13" s="12" t="s">
        <v>57</v>
      </c>
      <c r="AQ13" s="24">
        <f>AQ11/AQ12</f>
        <v>0.12376213502979619</v>
      </c>
    </row>
    <row r="14" spans="1:43" x14ac:dyDescent="0.35">
      <c r="B14" s="12">
        <f>B13+1</f>
        <v>2</v>
      </c>
      <c r="C14" s="12">
        <f>C13+1</f>
        <v>31</v>
      </c>
      <c r="E14" s="12">
        <f>VLOOKUP(C14,'Q1 Data'!$A$5:$B$68,2,0)</f>
        <v>5.0250000000000002E-4</v>
      </c>
      <c r="F14" s="12">
        <f>VLOOKUP(B14,'Q1 Data'!$E$5:$F$20,2,0)</f>
        <v>0</v>
      </c>
      <c r="H14" s="12">
        <f>K13</f>
        <v>0.9995115</v>
      </c>
      <c r="I14" s="12">
        <f t="shared" ref="I14:I27" si="2">H14*E14</f>
        <v>5.0225452874999999E-4</v>
      </c>
      <c r="J14" s="12">
        <f t="shared" ref="J14:J27" si="3">H14*F14</f>
        <v>0</v>
      </c>
      <c r="K14" s="12">
        <f t="shared" ref="K14:K27" si="4">H14-I14-J14</f>
        <v>0.99900924547125003</v>
      </c>
      <c r="M14" s="21">
        <f t="shared" ref="M14:M27" si="5">$B$4</f>
        <v>50000</v>
      </c>
      <c r="N14" s="21">
        <f>SUM($M$13:M14)</f>
        <v>100000</v>
      </c>
      <c r="O14" s="20">
        <f>VLOOKUP(B14,'Q1 Data'!$E$5:$G$20,3,0)</f>
        <v>0</v>
      </c>
      <c r="P14" s="21">
        <f t="shared" ref="P14:P27" si="6">N14*O14</f>
        <v>0</v>
      </c>
      <c r="Q14" s="21">
        <v>0</v>
      </c>
      <c r="R14" s="21">
        <f t="shared" ref="R14:R27" si="7">$B$8</f>
        <v>1000000</v>
      </c>
      <c r="S14" s="21"/>
      <c r="T14" s="21">
        <f>E5</f>
        <v>1000</v>
      </c>
      <c r="U14" s="21"/>
      <c r="V14" s="21">
        <f>$B$4*$E$8</f>
        <v>2500</v>
      </c>
      <c r="W14" s="21">
        <f>'Q1(ii)'!AH14</f>
        <v>59991.315259268376</v>
      </c>
      <c r="Y14" s="21">
        <f t="shared" ref="Y14:Y27" si="8">M14*H14</f>
        <v>49975.574999999997</v>
      </c>
      <c r="Z14" s="21">
        <f t="shared" ref="Z14:Z27" si="9">-(S14+T14)*H14</f>
        <v>-999.51149999999996</v>
      </c>
      <c r="AA14" s="21">
        <f t="shared" ref="AA14:AA27" si="10">-(U14+V14)*H14</f>
        <v>-2498.7787499999999</v>
      </c>
      <c r="AB14" s="21">
        <f t="shared" ref="AB14:AB27" si="11">-P14*J14</f>
        <v>0</v>
      </c>
      <c r="AC14" s="21">
        <f t="shared" ref="AC14:AC27" si="12">-R14*I14</f>
        <v>-502.25452875000002</v>
      </c>
      <c r="AD14" s="21">
        <f t="shared" ref="AD14:AD27" si="13">-Q14*K14</f>
        <v>0</v>
      </c>
      <c r="AE14" s="21">
        <f t="shared" ref="AE14:AE27" si="14">SUM(Y14:AA14)*$H$4</f>
        <v>3021.02350875</v>
      </c>
      <c r="AF14" s="21">
        <f t="shared" ref="AF14:AF27" si="15">SUM(Y14:AE14)</f>
        <v>48996.053729999992</v>
      </c>
      <c r="AG14" s="18"/>
      <c r="AH14" s="21">
        <f t="shared" ref="AH14:AH27" si="16">W14*K14</f>
        <v>59931.878591989589</v>
      </c>
      <c r="AI14" s="21">
        <f t="shared" ref="AI14:AI26" si="17">AH13*$H$4</f>
        <v>731.85251707581119</v>
      </c>
      <c r="AJ14" s="21">
        <f t="shared" ref="AJ14:AJ27" si="18">AH13-AH14</f>
        <v>-48672.609098515575</v>
      </c>
      <c r="AL14" s="21">
        <f t="shared" si="0"/>
        <v>1055.297148560232</v>
      </c>
      <c r="AM14" s="47">
        <f t="shared" si="1"/>
        <v>0.79719387755102034</v>
      </c>
    </row>
    <row r="15" spans="1:43" x14ac:dyDescent="0.35">
      <c r="B15" s="12">
        <f t="shared" ref="B15:C27" si="19">B14+1</f>
        <v>3</v>
      </c>
      <c r="C15" s="12">
        <f t="shared" si="19"/>
        <v>32</v>
      </c>
      <c r="E15" s="12">
        <f>VLOOKUP(C15,'Q1 Data'!$A$5:$B$68,2,0)</f>
        <v>5.2099999999999998E-4</v>
      </c>
      <c r="F15" s="12">
        <f>VLOOKUP(B15,'Q1 Data'!$E$5:$F$20,2,0)</f>
        <v>0.05</v>
      </c>
      <c r="H15" s="12">
        <f t="shared" ref="H15:H27" si="20">K14</f>
        <v>0.99900924547125003</v>
      </c>
      <c r="I15" s="12">
        <f t="shared" si="2"/>
        <v>5.2048381689052123E-4</v>
      </c>
      <c r="J15" s="12">
        <f t="shared" si="3"/>
        <v>4.9950462273562507E-2</v>
      </c>
      <c r="K15" s="12">
        <f t="shared" si="4"/>
        <v>0.94853829938079703</v>
      </c>
      <c r="M15" s="21">
        <f t="shared" si="5"/>
        <v>50000</v>
      </c>
      <c r="N15" s="21">
        <f>SUM($M$13:M15)</f>
        <v>150000</v>
      </c>
      <c r="O15" s="20">
        <f>VLOOKUP(B15,'Q1 Data'!$E$5:$G$20,3,0)</f>
        <v>0.8</v>
      </c>
      <c r="P15" s="21">
        <f t="shared" si="6"/>
        <v>120000</v>
      </c>
      <c r="Q15" s="21">
        <v>0</v>
      </c>
      <c r="R15" s="21">
        <f t="shared" si="7"/>
        <v>1000000</v>
      </c>
      <c r="S15" s="21"/>
      <c r="T15" s="21">
        <f>T14*(1+$E$6)</f>
        <v>1025</v>
      </c>
      <c r="U15" s="21"/>
      <c r="V15" s="21">
        <f t="shared" ref="V15:V27" si="21">$B$4*$E$8</f>
        <v>2500</v>
      </c>
      <c r="W15" s="21">
        <f>'Q1(ii)'!AH15</f>
        <v>110769.42810442232</v>
      </c>
      <c r="Y15" s="21">
        <f t="shared" si="8"/>
        <v>49950.462273562502</v>
      </c>
      <c r="Z15" s="21">
        <f t="shared" si="9"/>
        <v>-1023.9844766080313</v>
      </c>
      <c r="AA15" s="21">
        <f t="shared" si="10"/>
        <v>-2497.5231136781249</v>
      </c>
      <c r="AB15" s="21">
        <f t="shared" si="11"/>
        <v>-5994.055472827501</v>
      </c>
      <c r="AC15" s="21">
        <f t="shared" si="12"/>
        <v>-520.48381689052121</v>
      </c>
      <c r="AD15" s="21">
        <f t="shared" si="13"/>
        <v>0</v>
      </c>
      <c r="AE15" s="21">
        <f t="shared" si="14"/>
        <v>3017.882054412963</v>
      </c>
      <c r="AF15" s="21">
        <f t="shared" si="15"/>
        <v>42932.297447971294</v>
      </c>
      <c r="AG15" s="18"/>
      <c r="AH15" s="21">
        <f t="shared" si="16"/>
        <v>105069.04495755221</v>
      </c>
      <c r="AI15" s="21">
        <f t="shared" si="17"/>
        <v>3895.5721084793236</v>
      </c>
      <c r="AJ15" s="21">
        <f t="shared" si="18"/>
        <v>-45137.166365562618</v>
      </c>
      <c r="AL15" s="21">
        <f t="shared" si="0"/>
        <v>1690.7031908880017</v>
      </c>
      <c r="AM15" s="47">
        <f t="shared" si="1"/>
        <v>0.71178024781341087</v>
      </c>
    </row>
    <row r="16" spans="1:43" x14ac:dyDescent="0.35">
      <c r="B16" s="12">
        <f t="shared" si="19"/>
        <v>4</v>
      </c>
      <c r="C16" s="12">
        <f t="shared" si="19"/>
        <v>33</v>
      </c>
      <c r="E16" s="12">
        <f>VLOOKUP(C16,'Q1 Data'!$A$5:$B$68,2,0)</f>
        <v>5.4299999999999997E-4</v>
      </c>
      <c r="F16" s="12">
        <f>VLOOKUP(B16,'Q1 Data'!$E$5:$F$20,2,0)</f>
        <v>0.05</v>
      </c>
      <c r="H16" s="12">
        <f t="shared" si="20"/>
        <v>0.94853829938079703</v>
      </c>
      <c r="I16" s="12">
        <f t="shared" si="2"/>
        <v>5.1505629656377274E-4</v>
      </c>
      <c r="J16" s="12">
        <f t="shared" si="3"/>
        <v>4.7426914969039856E-2</v>
      </c>
      <c r="K16" s="12">
        <f t="shared" si="4"/>
        <v>0.90059632811519341</v>
      </c>
      <c r="M16" s="21">
        <f t="shared" si="5"/>
        <v>50000</v>
      </c>
      <c r="N16" s="21">
        <f>SUM($M$13:M16)</f>
        <v>200000</v>
      </c>
      <c r="O16" s="20">
        <f>VLOOKUP(B16,'Q1 Data'!$E$5:$G$20,3,0)</f>
        <v>0.85</v>
      </c>
      <c r="P16" s="21">
        <f t="shared" si="6"/>
        <v>170000</v>
      </c>
      <c r="Q16" s="21">
        <v>0</v>
      </c>
      <c r="R16" s="21">
        <f t="shared" si="7"/>
        <v>1000000</v>
      </c>
      <c r="S16" s="21"/>
      <c r="T16" s="21">
        <f t="shared" ref="T16:T27" si="22">T15*(1+$E$6)</f>
        <v>1050.625</v>
      </c>
      <c r="U16" s="21"/>
      <c r="V16" s="21">
        <f t="shared" si="21"/>
        <v>2500</v>
      </c>
      <c r="W16" s="21">
        <f>'Q1(ii)'!AH16</f>
        <v>164345.91280277327</v>
      </c>
      <c r="Y16" s="21">
        <f t="shared" si="8"/>
        <v>47426.914969039848</v>
      </c>
      <c r="Z16" s="21">
        <f t="shared" si="9"/>
        <v>-996.55805078694993</v>
      </c>
      <c r="AA16" s="21">
        <f t="shared" si="10"/>
        <v>-2371.3457484519927</v>
      </c>
      <c r="AB16" s="21">
        <f t="shared" si="11"/>
        <v>-8062.5755447367756</v>
      </c>
      <c r="AC16" s="21">
        <f t="shared" si="12"/>
        <v>-515.05629656377278</v>
      </c>
      <c r="AD16" s="21">
        <f t="shared" si="13"/>
        <v>0</v>
      </c>
      <c r="AE16" s="21">
        <f t="shared" si="14"/>
        <v>2863.835726037059</v>
      </c>
      <c r="AF16" s="21">
        <f t="shared" si="15"/>
        <v>38345.215054537417</v>
      </c>
      <c r="AG16" s="18"/>
      <c r="AH16" s="21">
        <f t="shared" si="16"/>
        <v>148009.32561091735</v>
      </c>
      <c r="AI16" s="21">
        <f t="shared" si="17"/>
        <v>6829.4879222408936</v>
      </c>
      <c r="AJ16" s="21">
        <f t="shared" si="18"/>
        <v>-42940.280653365146</v>
      </c>
      <c r="AL16" s="21">
        <f t="shared" si="0"/>
        <v>2234.4223234131641</v>
      </c>
      <c r="AM16" s="47">
        <f t="shared" si="1"/>
        <v>0.63551807840483121</v>
      </c>
    </row>
    <row r="17" spans="2:39" x14ac:dyDescent="0.35">
      <c r="B17" s="12">
        <f t="shared" si="19"/>
        <v>5</v>
      </c>
      <c r="C17" s="12">
        <f t="shared" si="19"/>
        <v>34</v>
      </c>
      <c r="E17" s="12">
        <f>VLOOKUP(C17,'Q1 Data'!$A$5:$B$68,2,0)</f>
        <v>5.6999999999999998E-4</v>
      </c>
      <c r="F17" s="12">
        <f>VLOOKUP(B17,'Q1 Data'!$E$5:$F$20,2,0)</f>
        <v>0.05</v>
      </c>
      <c r="H17" s="12">
        <f t="shared" si="20"/>
        <v>0.90059632811519341</v>
      </c>
      <c r="I17" s="12">
        <f t="shared" si="2"/>
        <v>5.1333990702566023E-4</v>
      </c>
      <c r="J17" s="12">
        <f t="shared" si="3"/>
        <v>4.5029816405759676E-2</v>
      </c>
      <c r="K17" s="12">
        <f t="shared" si="4"/>
        <v>0.85505317180240814</v>
      </c>
      <c r="M17" s="21">
        <f t="shared" si="5"/>
        <v>50000</v>
      </c>
      <c r="N17" s="21">
        <f>SUM($M$13:M17)</f>
        <v>250000</v>
      </c>
      <c r="O17" s="20">
        <f>VLOOKUP(B17,'Q1 Data'!$E$5:$G$20,3,0)</f>
        <v>0.85</v>
      </c>
      <c r="P17" s="21">
        <f t="shared" si="6"/>
        <v>212500</v>
      </c>
      <c r="Q17" s="21">
        <v>0</v>
      </c>
      <c r="R17" s="21">
        <f t="shared" si="7"/>
        <v>1000000</v>
      </c>
      <c r="S17" s="21"/>
      <c r="T17" s="21">
        <f t="shared" si="22"/>
        <v>1076.890625</v>
      </c>
      <c r="U17" s="21"/>
      <c r="V17" s="21">
        <f t="shared" si="21"/>
        <v>2500</v>
      </c>
      <c r="W17" s="21">
        <f>'Q1(ii)'!AH17</f>
        <v>221415.66511416374</v>
      </c>
      <c r="Y17" s="21">
        <f t="shared" si="8"/>
        <v>45029.816405759673</v>
      </c>
      <c r="Z17" s="21">
        <f t="shared" si="9"/>
        <v>-969.84374265667566</v>
      </c>
      <c r="AA17" s="21">
        <f t="shared" si="10"/>
        <v>-2251.4908202879838</v>
      </c>
      <c r="AB17" s="21">
        <f t="shared" si="11"/>
        <v>-9568.8359862239304</v>
      </c>
      <c r="AC17" s="21">
        <f t="shared" si="12"/>
        <v>-513.33990702566018</v>
      </c>
      <c r="AD17" s="21">
        <f t="shared" si="13"/>
        <v>0</v>
      </c>
      <c r="AE17" s="21">
        <f t="shared" si="14"/>
        <v>2717.5513197829764</v>
      </c>
      <c r="AF17" s="21">
        <f t="shared" si="15"/>
        <v>34443.857269348402</v>
      </c>
      <c r="AG17" s="18"/>
      <c r="AH17" s="21">
        <f t="shared" si="16"/>
        <v>189322.16674260551</v>
      </c>
      <c r="AI17" s="21">
        <f t="shared" si="17"/>
        <v>9620.6061647096285</v>
      </c>
      <c r="AJ17" s="21">
        <f t="shared" si="18"/>
        <v>-41312.841131688154</v>
      </c>
      <c r="AL17" s="21">
        <f t="shared" si="0"/>
        <v>2751.6223023698767</v>
      </c>
      <c r="AM17" s="47">
        <f t="shared" si="1"/>
        <v>0.56742685571859919</v>
      </c>
    </row>
    <row r="18" spans="2:39" x14ac:dyDescent="0.35">
      <c r="B18" s="12">
        <f t="shared" si="19"/>
        <v>6</v>
      </c>
      <c r="C18" s="12">
        <f t="shared" si="19"/>
        <v>35</v>
      </c>
      <c r="E18" s="12">
        <f>VLOOKUP(C18,'Q1 Data'!$A$5:$B$68,2,0)</f>
        <v>6.0099999999999997E-4</v>
      </c>
      <c r="F18" s="12">
        <f>VLOOKUP(B18,'Q1 Data'!$E$5:$F$20,2,0)</f>
        <v>0.05</v>
      </c>
      <c r="H18" s="12">
        <f t="shared" si="20"/>
        <v>0.85505317180240814</v>
      </c>
      <c r="I18" s="12">
        <f t="shared" si="2"/>
        <v>5.1388695625324723E-4</v>
      </c>
      <c r="J18" s="12">
        <f t="shared" si="3"/>
        <v>4.275265859012041E-2</v>
      </c>
      <c r="K18" s="12">
        <f t="shared" si="4"/>
        <v>0.81178662625603448</v>
      </c>
      <c r="M18" s="21">
        <f t="shared" si="5"/>
        <v>50000</v>
      </c>
      <c r="N18" s="21">
        <f>SUM($M$13:M18)</f>
        <v>300000</v>
      </c>
      <c r="O18" s="20">
        <f>VLOOKUP(B18,'Q1 Data'!$E$5:$G$20,3,0)</f>
        <v>0.9</v>
      </c>
      <c r="P18" s="21">
        <f t="shared" si="6"/>
        <v>270000</v>
      </c>
      <c r="Q18" s="21">
        <v>0</v>
      </c>
      <c r="R18" s="21">
        <f t="shared" si="7"/>
        <v>1000000</v>
      </c>
      <c r="S18" s="21"/>
      <c r="T18" s="21">
        <f t="shared" si="22"/>
        <v>1103.8128906249999</v>
      </c>
      <c r="U18" s="21"/>
      <c r="V18" s="21">
        <f t="shared" si="21"/>
        <v>2500</v>
      </c>
      <c r="W18" s="21">
        <f>'Q1(ii)'!AH18</f>
        <v>281565.99126302544</v>
      </c>
      <c r="Y18" s="21">
        <f t="shared" si="8"/>
        <v>42752.658590120409</v>
      </c>
      <c r="Z18" s="21">
        <f t="shared" si="9"/>
        <v>-943.81871320529081</v>
      </c>
      <c r="AA18" s="21">
        <f t="shared" si="10"/>
        <v>-2137.6329295060204</v>
      </c>
      <c r="AB18" s="21">
        <f t="shared" si="11"/>
        <v>-11543.217819332511</v>
      </c>
      <c r="AC18" s="21">
        <f t="shared" si="12"/>
        <v>-513.88695625324726</v>
      </c>
      <c r="AD18" s="21">
        <f t="shared" si="13"/>
        <v>0</v>
      </c>
      <c r="AE18" s="21">
        <f t="shared" si="14"/>
        <v>2578.6284515815914</v>
      </c>
      <c r="AF18" s="21">
        <f t="shared" si="15"/>
        <v>30192.730623404932</v>
      </c>
      <c r="AG18" s="18"/>
      <c r="AH18" s="21">
        <f t="shared" si="16"/>
        <v>228571.5061158475</v>
      </c>
      <c r="AI18" s="21">
        <f t="shared" si="17"/>
        <v>12305.940838269358</v>
      </c>
      <c r="AJ18" s="21">
        <f t="shared" si="18"/>
        <v>-39249.339373241994</v>
      </c>
      <c r="AL18" s="21">
        <f t="shared" si="0"/>
        <v>3249.3320884322966</v>
      </c>
      <c r="AM18" s="47">
        <f t="shared" si="1"/>
        <v>0.50663112117732068</v>
      </c>
    </row>
    <row r="19" spans="2:39" x14ac:dyDescent="0.35">
      <c r="B19" s="12">
        <f t="shared" si="19"/>
        <v>7</v>
      </c>
      <c r="C19" s="12">
        <f t="shared" si="19"/>
        <v>36</v>
      </c>
      <c r="E19" s="12">
        <f>VLOOKUP(C19,'Q1 Data'!$A$5:$B$68,2,0)</f>
        <v>6.3750000000000005E-4</v>
      </c>
      <c r="F19" s="12">
        <f>VLOOKUP(B19,'Q1 Data'!$E$5:$F$20,2,0)</f>
        <v>0.05</v>
      </c>
      <c r="H19" s="12">
        <f t="shared" si="20"/>
        <v>0.81178662625603448</v>
      </c>
      <c r="I19" s="12">
        <f t="shared" si="2"/>
        <v>5.1751397423822204E-4</v>
      </c>
      <c r="J19" s="12">
        <f t="shared" si="3"/>
        <v>4.0589331312801728E-2</v>
      </c>
      <c r="K19" s="12">
        <f t="shared" si="4"/>
        <v>0.77067978096899448</v>
      </c>
      <c r="M19" s="21">
        <f t="shared" si="5"/>
        <v>50000</v>
      </c>
      <c r="N19" s="21">
        <f>SUM($M$13:M19)</f>
        <v>350000</v>
      </c>
      <c r="O19" s="20">
        <f>VLOOKUP(B19,'Q1 Data'!$E$5:$G$20,3,0)</f>
        <v>0.9</v>
      </c>
      <c r="P19" s="21">
        <f t="shared" si="6"/>
        <v>315000</v>
      </c>
      <c r="Q19" s="21">
        <v>0</v>
      </c>
      <c r="R19" s="21">
        <f t="shared" si="7"/>
        <v>1000000</v>
      </c>
      <c r="S19" s="21"/>
      <c r="T19" s="21">
        <f t="shared" si="22"/>
        <v>1131.4082128906248</v>
      </c>
      <c r="U19" s="21"/>
      <c r="V19" s="21">
        <f t="shared" si="21"/>
        <v>2500</v>
      </c>
      <c r="W19" s="21">
        <f>'Q1(ii)'!AH19</f>
        <v>345788.06415771606</v>
      </c>
      <c r="Y19" s="21">
        <f t="shared" si="8"/>
        <v>40589.331312801725</v>
      </c>
      <c r="Z19" s="21">
        <f t="shared" si="9"/>
        <v>-918.46205606084948</v>
      </c>
      <c r="AA19" s="21">
        <f t="shared" si="10"/>
        <v>-2029.4665656400862</v>
      </c>
      <c r="AB19" s="21">
        <f t="shared" si="11"/>
        <v>-12785.639363532544</v>
      </c>
      <c r="AC19" s="21">
        <f t="shared" si="12"/>
        <v>-517.51397423822209</v>
      </c>
      <c r="AD19" s="21">
        <f t="shared" si="13"/>
        <v>0</v>
      </c>
      <c r="AE19" s="21">
        <f t="shared" si="14"/>
        <v>2446.6911749215515</v>
      </c>
      <c r="AF19" s="21">
        <f t="shared" si="15"/>
        <v>26784.940528251573</v>
      </c>
      <c r="AG19" s="18"/>
      <c r="AH19" s="21">
        <f t="shared" si="16"/>
        <v>266491.86954676121</v>
      </c>
      <c r="AI19" s="21">
        <f t="shared" si="17"/>
        <v>14857.147897530089</v>
      </c>
      <c r="AJ19" s="21">
        <f t="shared" si="18"/>
        <v>-37920.363430913712</v>
      </c>
      <c r="AL19" s="21">
        <f t="shared" si="0"/>
        <v>3721.7249948679528</v>
      </c>
      <c r="AM19" s="47">
        <f t="shared" si="1"/>
        <v>0.45234921533689343</v>
      </c>
    </row>
    <row r="20" spans="2:39" x14ac:dyDescent="0.35">
      <c r="B20" s="12">
        <f t="shared" si="19"/>
        <v>8</v>
      </c>
      <c r="C20" s="12">
        <f t="shared" si="19"/>
        <v>37</v>
      </c>
      <c r="E20" s="12">
        <f>VLOOKUP(C20,'Q1 Data'!$A$5:$B$68,2,0)</f>
        <v>6.7900000000000002E-4</v>
      </c>
      <c r="F20" s="12">
        <f>VLOOKUP(B20,'Q1 Data'!$E$5:$F$20,2,0)</f>
        <v>0.05</v>
      </c>
      <c r="H20" s="12">
        <f t="shared" si="20"/>
        <v>0.77067978096899448</v>
      </c>
      <c r="I20" s="12">
        <f t="shared" si="2"/>
        <v>5.2329157127794731E-4</v>
      </c>
      <c r="J20" s="12">
        <f t="shared" si="3"/>
        <v>3.8533989048449728E-2</v>
      </c>
      <c r="K20" s="12">
        <f t="shared" si="4"/>
        <v>0.73162250034926679</v>
      </c>
      <c r="M20" s="21">
        <f t="shared" si="5"/>
        <v>50000</v>
      </c>
      <c r="N20" s="21">
        <f>SUM($M$13:M20)</f>
        <v>400000</v>
      </c>
      <c r="O20" s="20">
        <f>VLOOKUP(B20,'Q1 Data'!$E$5:$G$20,3,0)</f>
        <v>0.95</v>
      </c>
      <c r="P20" s="21">
        <f t="shared" si="6"/>
        <v>380000</v>
      </c>
      <c r="Q20" s="21">
        <v>0</v>
      </c>
      <c r="R20" s="21">
        <f t="shared" si="7"/>
        <v>1000000</v>
      </c>
      <c r="S20" s="21"/>
      <c r="T20" s="21">
        <f t="shared" si="22"/>
        <v>1159.6934182128903</v>
      </c>
      <c r="U20" s="21"/>
      <c r="V20" s="21">
        <f t="shared" si="21"/>
        <v>2500</v>
      </c>
      <c r="W20" s="21">
        <f>'Q1(ii)'!AH20</f>
        <v>413470.67624186026</v>
      </c>
      <c r="Y20" s="21">
        <f t="shared" si="8"/>
        <v>38533.989048449723</v>
      </c>
      <c r="Z20" s="21">
        <f t="shared" si="9"/>
        <v>-893.75226953949482</v>
      </c>
      <c r="AA20" s="21">
        <f t="shared" si="10"/>
        <v>-1926.6994524224863</v>
      </c>
      <c r="AB20" s="21">
        <f t="shared" si="11"/>
        <v>-14642.915838410896</v>
      </c>
      <c r="AC20" s="21">
        <f t="shared" si="12"/>
        <v>-523.29157127794736</v>
      </c>
      <c r="AD20" s="21">
        <f t="shared" si="13"/>
        <v>0</v>
      </c>
      <c r="AE20" s="21">
        <f t="shared" si="14"/>
        <v>2321.3799262217035</v>
      </c>
      <c r="AF20" s="21">
        <f t="shared" si="15"/>
        <v>22868.709843020602</v>
      </c>
      <c r="AG20" s="18"/>
      <c r="AH20" s="21">
        <f t="shared" si="16"/>
        <v>302504.44997317198</v>
      </c>
      <c r="AI20" s="21">
        <f t="shared" si="17"/>
        <v>17321.971520539479</v>
      </c>
      <c r="AJ20" s="21">
        <f t="shared" si="18"/>
        <v>-36012.580426410772</v>
      </c>
      <c r="AL20" s="21">
        <f t="shared" si="0"/>
        <v>4178.1009371493128</v>
      </c>
      <c r="AM20" s="47">
        <f t="shared" si="1"/>
        <v>0.4038832279793691</v>
      </c>
    </row>
    <row r="21" spans="2:39" x14ac:dyDescent="0.35">
      <c r="B21" s="12">
        <f t="shared" si="19"/>
        <v>9</v>
      </c>
      <c r="C21" s="12">
        <f t="shared" si="19"/>
        <v>38</v>
      </c>
      <c r="E21" s="12">
        <f>VLOOKUP(C21,'Q1 Data'!$A$5:$B$68,2,0)</f>
        <v>7.2650000000000004E-4</v>
      </c>
      <c r="F21" s="12">
        <f>VLOOKUP(B21,'Q1 Data'!$E$5:$F$20,2,0)</f>
        <v>0.05</v>
      </c>
      <c r="H21" s="12">
        <f t="shared" si="20"/>
        <v>0.73162250034926679</v>
      </c>
      <c r="I21" s="12">
        <f t="shared" si="2"/>
        <v>5.3152374650374239E-4</v>
      </c>
      <c r="J21" s="12">
        <f t="shared" si="3"/>
        <v>3.6581125017463342E-2</v>
      </c>
      <c r="K21" s="12">
        <f t="shared" si="4"/>
        <v>0.69450985158529965</v>
      </c>
      <c r="M21" s="21">
        <f t="shared" si="5"/>
        <v>50000</v>
      </c>
      <c r="N21" s="21">
        <f>SUM($M$13:M21)</f>
        <v>450000</v>
      </c>
      <c r="O21" s="20">
        <f>VLOOKUP(B21,'Q1 Data'!$E$5:$G$20,3,0)</f>
        <v>0.95</v>
      </c>
      <c r="P21" s="21">
        <f t="shared" si="6"/>
        <v>427500</v>
      </c>
      <c r="Q21" s="21">
        <v>0</v>
      </c>
      <c r="R21" s="21">
        <f t="shared" si="7"/>
        <v>1000000</v>
      </c>
      <c r="S21" s="21"/>
      <c r="T21" s="21">
        <f t="shared" si="22"/>
        <v>1188.6857536682123</v>
      </c>
      <c r="U21" s="21"/>
      <c r="V21" s="21">
        <f t="shared" si="21"/>
        <v>2500</v>
      </c>
      <c r="W21" s="21">
        <f>'Q1(ii)'!AH21</f>
        <v>485913.02472206199</v>
      </c>
      <c r="Y21" s="21">
        <f t="shared" si="8"/>
        <v>36581.125017463339</v>
      </c>
      <c r="Z21" s="21">
        <f t="shared" si="9"/>
        <v>-869.66924322829016</v>
      </c>
      <c r="AA21" s="21">
        <f t="shared" si="10"/>
        <v>-1829.0562508731671</v>
      </c>
      <c r="AB21" s="21">
        <f t="shared" si="11"/>
        <v>-15638.430944965579</v>
      </c>
      <c r="AC21" s="21">
        <f t="shared" si="12"/>
        <v>-531.52374650374236</v>
      </c>
      <c r="AD21" s="21">
        <f t="shared" si="13"/>
        <v>0</v>
      </c>
      <c r="AE21" s="21">
        <f t="shared" si="14"/>
        <v>2202.3559690185225</v>
      </c>
      <c r="AF21" s="21">
        <f t="shared" si="15"/>
        <v>19914.800800911085</v>
      </c>
      <c r="AG21" s="18"/>
      <c r="AH21" s="21">
        <f t="shared" si="16"/>
        <v>337471.3826830833</v>
      </c>
      <c r="AI21" s="21">
        <f t="shared" si="17"/>
        <v>19662.78924825618</v>
      </c>
      <c r="AJ21" s="21">
        <f t="shared" si="18"/>
        <v>-34966.932709911314</v>
      </c>
      <c r="AL21" s="21">
        <f t="shared" si="0"/>
        <v>4610.6573392559512</v>
      </c>
      <c r="AM21" s="47">
        <f t="shared" si="1"/>
        <v>0.36061002498157957</v>
      </c>
    </row>
    <row r="22" spans="2:39" x14ac:dyDescent="0.35">
      <c r="B22" s="12">
        <f t="shared" si="19"/>
        <v>10</v>
      </c>
      <c r="C22" s="12">
        <f t="shared" si="19"/>
        <v>39</v>
      </c>
      <c r="E22" s="12">
        <f>VLOOKUP(C22,'Q1 Data'!$A$5:$B$68,2,0)</f>
        <v>7.7999999999999999E-4</v>
      </c>
      <c r="F22" s="12">
        <f>VLOOKUP(B22,'Q1 Data'!$E$5:$F$20,2,0)</f>
        <v>0.05</v>
      </c>
      <c r="H22" s="12">
        <f t="shared" si="20"/>
        <v>0.69450985158529965</v>
      </c>
      <c r="I22" s="12">
        <f t="shared" si="2"/>
        <v>5.4171768423653369E-4</v>
      </c>
      <c r="J22" s="12">
        <f t="shared" si="3"/>
        <v>3.4725492579264987E-2</v>
      </c>
      <c r="K22" s="12">
        <f t="shared" si="4"/>
        <v>0.65924264132179822</v>
      </c>
      <c r="M22" s="21">
        <f t="shared" si="5"/>
        <v>50000</v>
      </c>
      <c r="N22" s="21">
        <f>SUM($M$13:M22)</f>
        <v>500000</v>
      </c>
      <c r="O22" s="20">
        <f>VLOOKUP(B22,'Q1 Data'!$E$5:$G$20,3,0)</f>
        <v>1</v>
      </c>
      <c r="P22" s="21">
        <f t="shared" si="6"/>
        <v>500000</v>
      </c>
      <c r="Q22" s="21">
        <v>0</v>
      </c>
      <c r="R22" s="21">
        <f t="shared" si="7"/>
        <v>1000000</v>
      </c>
      <c r="S22" s="21"/>
      <c r="T22" s="21">
        <f t="shared" si="22"/>
        <v>1218.4028975099175</v>
      </c>
      <c r="U22" s="21"/>
      <c r="V22" s="21">
        <f t="shared" si="21"/>
        <v>2500</v>
      </c>
      <c r="W22" s="21">
        <f>'Q1(ii)'!AH22</f>
        <v>562318.65310431411</v>
      </c>
      <c r="Y22" s="21">
        <f t="shared" si="8"/>
        <v>34725.492579264981</v>
      </c>
      <c r="Z22" s="21">
        <f t="shared" si="9"/>
        <v>-846.19281552071186</v>
      </c>
      <c r="AA22" s="21">
        <f t="shared" si="10"/>
        <v>-1736.2746289632491</v>
      </c>
      <c r="AB22" s="21">
        <f t="shared" si="11"/>
        <v>-17362.746289632494</v>
      </c>
      <c r="AC22" s="21">
        <f t="shared" si="12"/>
        <v>-541.71768423653373</v>
      </c>
      <c r="AD22" s="21">
        <f t="shared" si="13"/>
        <v>0</v>
      </c>
      <c r="AE22" s="21">
        <f t="shared" si="14"/>
        <v>2089.2966337607663</v>
      </c>
      <c r="AF22" s="21">
        <f t="shared" si="15"/>
        <v>16327.857794672758</v>
      </c>
      <c r="AG22" s="18"/>
      <c r="AH22" s="21">
        <f t="shared" si="16"/>
        <v>370704.43413700402</v>
      </c>
      <c r="AI22" s="21">
        <f t="shared" si="17"/>
        <v>21935.639874400415</v>
      </c>
      <c r="AJ22" s="21">
        <f t="shared" si="18"/>
        <v>-33233.051453920722</v>
      </c>
      <c r="AL22" s="21">
        <f t="shared" si="0"/>
        <v>5030.4462151524494</v>
      </c>
      <c r="AM22" s="47">
        <f t="shared" si="1"/>
        <v>0.32197323659069599</v>
      </c>
    </row>
    <row r="23" spans="2:39" x14ac:dyDescent="0.35">
      <c r="B23" s="12">
        <f t="shared" si="19"/>
        <v>11</v>
      </c>
      <c r="C23" s="12">
        <f t="shared" si="19"/>
        <v>40</v>
      </c>
      <c r="E23" s="12">
        <f>VLOOKUP(C23,'Q1 Data'!$A$5:$B$68,2,0)</f>
        <v>8.4000000000000003E-4</v>
      </c>
      <c r="F23" s="12">
        <f>VLOOKUP(B23,'Q1 Data'!$E$5:$F$20,2,0)</f>
        <v>0.15</v>
      </c>
      <c r="H23" s="12">
        <f t="shared" si="20"/>
        <v>0.65924264132179822</v>
      </c>
      <c r="I23" s="12">
        <f t="shared" si="2"/>
        <v>5.5376381871031057E-4</v>
      </c>
      <c r="J23" s="12">
        <f t="shared" si="3"/>
        <v>9.8886396198269735E-2</v>
      </c>
      <c r="K23" s="12">
        <f t="shared" si="4"/>
        <v>0.55980248130481813</v>
      </c>
      <c r="M23" s="21">
        <f t="shared" si="5"/>
        <v>50000</v>
      </c>
      <c r="N23" s="21">
        <f>SUM($M$13:M23)</f>
        <v>550000</v>
      </c>
      <c r="O23" s="20">
        <f>VLOOKUP(B23,'Q1 Data'!$E$5:$G$20,3,0)</f>
        <v>1.1000000000000001</v>
      </c>
      <c r="P23" s="21">
        <f t="shared" si="6"/>
        <v>605000</v>
      </c>
      <c r="Q23" s="21">
        <v>0</v>
      </c>
      <c r="R23" s="21">
        <f t="shared" si="7"/>
        <v>1000000</v>
      </c>
      <c r="S23" s="21"/>
      <c r="T23" s="21">
        <f t="shared" si="22"/>
        <v>1248.8629699476653</v>
      </c>
      <c r="U23" s="21"/>
      <c r="V23" s="21">
        <f t="shared" si="21"/>
        <v>2500</v>
      </c>
      <c r="W23" s="21">
        <f>'Q1(ii)'!AH23</f>
        <v>645700.61726432818</v>
      </c>
      <c r="Y23" s="21">
        <f t="shared" si="8"/>
        <v>32962.132066089907</v>
      </c>
      <c r="Z23" s="21">
        <f t="shared" si="9"/>
        <v>-823.30372295728444</v>
      </c>
      <c r="AA23" s="21">
        <f t="shared" si="10"/>
        <v>-1648.1066033044956</v>
      </c>
      <c r="AB23" s="21">
        <f t="shared" si="11"/>
        <v>-59826.269699953191</v>
      </c>
      <c r="AC23" s="21">
        <f t="shared" si="12"/>
        <v>-553.7638187103106</v>
      </c>
      <c r="AD23" s="21">
        <f t="shared" si="13"/>
        <v>0</v>
      </c>
      <c r="AE23" s="21">
        <f t="shared" si="14"/>
        <v>1981.8969130888283</v>
      </c>
      <c r="AF23" s="21">
        <f t="shared" si="15"/>
        <v>-27907.414865746545</v>
      </c>
      <c r="AG23" s="18"/>
      <c r="AH23" s="21">
        <f t="shared" si="16"/>
        <v>361464.80772462359</v>
      </c>
      <c r="AI23" s="21">
        <f t="shared" si="17"/>
        <v>24095.788218905262</v>
      </c>
      <c r="AJ23" s="21">
        <f t="shared" si="18"/>
        <v>9239.6264123804285</v>
      </c>
      <c r="AL23" s="21">
        <f t="shared" si="0"/>
        <v>5427.9997655391453</v>
      </c>
      <c r="AM23" s="47">
        <f t="shared" si="1"/>
        <v>0.28747610409883567</v>
      </c>
    </row>
    <row r="24" spans="2:39" x14ac:dyDescent="0.35">
      <c r="B24" s="12">
        <f t="shared" si="19"/>
        <v>12</v>
      </c>
      <c r="C24" s="12">
        <f t="shared" si="19"/>
        <v>41</v>
      </c>
      <c r="E24" s="12">
        <f>VLOOKUP(C24,'Q1 Data'!$A$5:$B$68,2,0)</f>
        <v>9.075E-4</v>
      </c>
      <c r="F24" s="12">
        <f>VLOOKUP(B24,'Q1 Data'!$E$5:$F$20,2,0)</f>
        <v>0.15</v>
      </c>
      <c r="H24" s="12">
        <f t="shared" si="20"/>
        <v>0.55980248130481813</v>
      </c>
      <c r="I24" s="12">
        <f t="shared" si="2"/>
        <v>5.0802075178412245E-4</v>
      </c>
      <c r="J24" s="12">
        <f t="shared" si="3"/>
        <v>8.3970372195722717E-2</v>
      </c>
      <c r="K24" s="12">
        <f t="shared" si="4"/>
        <v>0.47532408835731127</v>
      </c>
      <c r="M24" s="21">
        <f t="shared" si="5"/>
        <v>50000</v>
      </c>
      <c r="N24" s="21">
        <f>SUM($M$13:M24)</f>
        <v>600000</v>
      </c>
      <c r="O24" s="20">
        <f>VLOOKUP(B24,'Q1 Data'!$E$5:$G$20,3,0)</f>
        <v>1.2</v>
      </c>
      <c r="P24" s="21">
        <f t="shared" si="6"/>
        <v>720000</v>
      </c>
      <c r="Q24" s="21">
        <v>0</v>
      </c>
      <c r="R24" s="21">
        <f t="shared" si="7"/>
        <v>1000000</v>
      </c>
      <c r="S24" s="21"/>
      <c r="T24" s="21">
        <f t="shared" si="22"/>
        <v>1280.0845441963568</v>
      </c>
      <c r="U24" s="21"/>
      <c r="V24" s="21">
        <f t="shared" si="21"/>
        <v>2500</v>
      </c>
      <c r="W24" s="21">
        <f>'Q1(ii)'!AH24</f>
        <v>728630.05737171485</v>
      </c>
      <c r="Y24" s="21">
        <f t="shared" si="8"/>
        <v>27990.124065240907</v>
      </c>
      <c r="Z24" s="21">
        <f t="shared" si="9"/>
        <v>-716.59450412106764</v>
      </c>
      <c r="AA24" s="21">
        <f t="shared" si="10"/>
        <v>-1399.5062032620453</v>
      </c>
      <c r="AB24" s="21">
        <f t="shared" si="11"/>
        <v>-60458.667980920356</v>
      </c>
      <c r="AC24" s="21">
        <f t="shared" si="12"/>
        <v>-508.02075178412247</v>
      </c>
      <c r="AD24" s="21">
        <f t="shared" si="13"/>
        <v>0</v>
      </c>
      <c r="AE24" s="21">
        <f t="shared" si="14"/>
        <v>1681.8115182607567</v>
      </c>
      <c r="AF24" s="21">
        <f t="shared" si="15"/>
        <v>-33410.85385658592</v>
      </c>
      <c r="AG24" s="18"/>
      <c r="AH24" s="21">
        <f t="shared" si="16"/>
        <v>346335.41776994575</v>
      </c>
      <c r="AI24" s="21">
        <f t="shared" si="17"/>
        <v>23495.212502100534</v>
      </c>
      <c r="AJ24" s="21">
        <f t="shared" si="18"/>
        <v>15129.389954677841</v>
      </c>
      <c r="AL24" s="21">
        <f t="shared" si="0"/>
        <v>5213.7486001924553</v>
      </c>
      <c r="AM24" s="47">
        <f t="shared" si="1"/>
        <v>0.25667509294538904</v>
      </c>
    </row>
    <row r="25" spans="2:39" x14ac:dyDescent="0.35">
      <c r="B25" s="12">
        <f t="shared" si="19"/>
        <v>13</v>
      </c>
      <c r="C25" s="12">
        <f t="shared" si="19"/>
        <v>42</v>
      </c>
      <c r="E25" s="12">
        <f>VLOOKUP(C25,'Q1 Data'!$A$5:$B$68,2,0)</f>
        <v>9.8449999999999992E-4</v>
      </c>
      <c r="F25" s="12">
        <f>VLOOKUP(B25,'Q1 Data'!$E$5:$F$20,2,0)</f>
        <v>0.15</v>
      </c>
      <c r="H25" s="12">
        <f t="shared" si="20"/>
        <v>0.47532408835731127</v>
      </c>
      <c r="I25" s="12">
        <f t="shared" si="2"/>
        <v>4.6795656498777288E-4</v>
      </c>
      <c r="J25" s="12">
        <f t="shared" si="3"/>
        <v>7.1298613253596682E-2</v>
      </c>
      <c r="K25" s="12">
        <f t="shared" si="4"/>
        <v>0.40355751853872679</v>
      </c>
      <c r="M25" s="21">
        <f t="shared" si="5"/>
        <v>50000</v>
      </c>
      <c r="N25" s="21">
        <f>SUM($M$13:M25)</f>
        <v>650000</v>
      </c>
      <c r="O25" s="20">
        <f>VLOOKUP(B25,'Q1 Data'!$E$5:$G$20,3,0)</f>
        <v>1.25</v>
      </c>
      <c r="P25" s="21">
        <f t="shared" si="6"/>
        <v>812500</v>
      </c>
      <c r="Q25" s="21">
        <v>0</v>
      </c>
      <c r="R25" s="21">
        <f t="shared" si="7"/>
        <v>1000000</v>
      </c>
      <c r="S25" s="21"/>
      <c r="T25" s="21">
        <f t="shared" si="22"/>
        <v>1312.0866578012656</v>
      </c>
      <c r="U25" s="21"/>
      <c r="V25" s="21">
        <f t="shared" si="21"/>
        <v>2500</v>
      </c>
      <c r="W25" s="21">
        <f>'Q1(ii)'!AH25</f>
        <v>814986.90315956285</v>
      </c>
      <c r="Y25" s="21">
        <f t="shared" si="8"/>
        <v>23766.204417865563</v>
      </c>
      <c r="Z25" s="21">
        <f t="shared" si="9"/>
        <v>-623.66639446517797</v>
      </c>
      <c r="AA25" s="21">
        <f t="shared" si="10"/>
        <v>-1188.3102208932783</v>
      </c>
      <c r="AB25" s="21">
        <f t="shared" si="11"/>
        <v>-57930.123268547308</v>
      </c>
      <c r="AC25" s="21">
        <f t="shared" si="12"/>
        <v>-467.95656498777288</v>
      </c>
      <c r="AD25" s="21">
        <f t="shared" si="13"/>
        <v>0</v>
      </c>
      <c r="AE25" s="21">
        <f t="shared" si="14"/>
        <v>1427.0248071629619</v>
      </c>
      <c r="AF25" s="21">
        <f t="shared" si="15"/>
        <v>-35016.82722386501</v>
      </c>
      <c r="AG25" s="18"/>
      <c r="AH25" s="21">
        <f t="shared" si="16"/>
        <v>328894.0922806348</v>
      </c>
      <c r="AI25" s="21">
        <f t="shared" si="17"/>
        <v>22511.802155046473</v>
      </c>
      <c r="AJ25" s="21">
        <f t="shared" si="18"/>
        <v>17441.325489310955</v>
      </c>
      <c r="AL25" s="21">
        <f t="shared" si="0"/>
        <v>4936.3004204924182</v>
      </c>
      <c r="AM25" s="47">
        <f t="shared" si="1"/>
        <v>0.22917419012981158</v>
      </c>
    </row>
    <row r="26" spans="2:39" x14ac:dyDescent="0.35">
      <c r="B26" s="12">
        <f t="shared" si="19"/>
        <v>14</v>
      </c>
      <c r="C26" s="12">
        <f t="shared" si="19"/>
        <v>43</v>
      </c>
      <c r="E26" s="12">
        <f>VLOOKUP(C26,'Q1 Data'!$A$5:$B$68,2,0)</f>
        <v>1.072E-3</v>
      </c>
      <c r="F26" s="12">
        <f>VLOOKUP(B26,'Q1 Data'!$E$5:$F$20,2,0)</f>
        <v>0.15</v>
      </c>
      <c r="H26" s="12">
        <f t="shared" si="20"/>
        <v>0.40355751853872679</v>
      </c>
      <c r="I26" s="12">
        <f t="shared" si="2"/>
        <v>4.3261365987351514E-4</v>
      </c>
      <c r="J26" s="12">
        <f t="shared" si="3"/>
        <v>6.0533627780809014E-2</v>
      </c>
      <c r="K26" s="12">
        <f t="shared" si="4"/>
        <v>0.34259127709804427</v>
      </c>
      <c r="M26" s="21">
        <f t="shared" si="5"/>
        <v>50000</v>
      </c>
      <c r="N26" s="21">
        <f>SUM($M$13:M26)</f>
        <v>700000</v>
      </c>
      <c r="O26" s="20">
        <f>VLOOKUP(B26,'Q1 Data'!$E$5:$G$20,3,0)</f>
        <v>1.3</v>
      </c>
      <c r="P26" s="21">
        <f t="shared" si="6"/>
        <v>910000</v>
      </c>
      <c r="Q26" s="21">
        <v>0</v>
      </c>
      <c r="R26" s="21">
        <f t="shared" si="7"/>
        <v>1000000</v>
      </c>
      <c r="S26" s="21"/>
      <c r="T26" s="21">
        <f t="shared" si="22"/>
        <v>1344.8888242462972</v>
      </c>
      <c r="U26" s="21"/>
      <c r="V26" s="21">
        <f t="shared" si="21"/>
        <v>2500</v>
      </c>
      <c r="W26" s="21">
        <f>'Q1(ii)'!AH26</f>
        <v>904724.55545914616</v>
      </c>
      <c r="Y26" s="21">
        <f t="shared" si="8"/>
        <v>20177.87592693634</v>
      </c>
      <c r="Z26" s="21">
        <f t="shared" si="9"/>
        <v>-542.73999662330152</v>
      </c>
      <c r="AA26" s="21">
        <f t="shared" si="10"/>
        <v>-1008.893796346817</v>
      </c>
      <c r="AB26" s="21">
        <f t="shared" si="11"/>
        <v>-55085.601280536204</v>
      </c>
      <c r="AC26" s="21">
        <f t="shared" si="12"/>
        <v>-432.61365987351513</v>
      </c>
      <c r="AD26" s="21">
        <f t="shared" si="13"/>
        <v>0</v>
      </c>
      <c r="AE26" s="21">
        <f t="shared" si="14"/>
        <v>1210.7057387078044</v>
      </c>
      <c r="AF26" s="21">
        <f t="shared" si="15"/>
        <v>-35681.267067735702</v>
      </c>
      <c r="AG26" s="18"/>
      <c r="AH26" s="21">
        <f t="shared" si="16"/>
        <v>309950.74087670929</v>
      </c>
      <c r="AI26" s="21">
        <f t="shared" si="17"/>
        <v>21378.115998241261</v>
      </c>
      <c r="AJ26" s="21">
        <f t="shared" si="18"/>
        <v>18943.35140392551</v>
      </c>
      <c r="AL26" s="21">
        <f t="shared" si="0"/>
        <v>4640.2003344310688</v>
      </c>
      <c r="AM26" s="47">
        <f t="shared" si="1"/>
        <v>0.20461981261590317</v>
      </c>
    </row>
    <row r="27" spans="2:39" x14ac:dyDescent="0.35">
      <c r="B27" s="12">
        <f t="shared" si="19"/>
        <v>15</v>
      </c>
      <c r="C27" s="12">
        <f t="shared" si="19"/>
        <v>44</v>
      </c>
      <c r="E27" s="12">
        <f>VLOOKUP(C27,'Q1 Data'!$A$5:$B$68,2,0)</f>
        <v>1.1724999999999999E-3</v>
      </c>
      <c r="F27" s="12">
        <f>VLOOKUP(B27,'Q1 Data'!$E$5:$F$20,2,0)</f>
        <v>0</v>
      </c>
      <c r="H27" s="12">
        <f t="shared" si="20"/>
        <v>0.34259127709804427</v>
      </c>
      <c r="I27" s="12">
        <f t="shared" si="2"/>
        <v>4.0168827239745689E-4</v>
      </c>
      <c r="J27" s="12">
        <f t="shared" si="3"/>
        <v>0</v>
      </c>
      <c r="K27" s="12">
        <f t="shared" si="4"/>
        <v>0.34218958882564682</v>
      </c>
      <c r="M27" s="21">
        <f t="shared" si="5"/>
        <v>50000</v>
      </c>
      <c r="N27" s="21">
        <f>SUM($M$13:M27)</f>
        <v>750000</v>
      </c>
      <c r="O27" s="20">
        <f>VLOOKUP(B27,'Q1 Data'!$E$5:$G$20,3,0)</f>
        <v>0</v>
      </c>
      <c r="P27" s="21">
        <f t="shared" si="6"/>
        <v>0</v>
      </c>
      <c r="Q27" s="21">
        <f>B7</f>
        <v>1000000</v>
      </c>
      <c r="R27" s="21">
        <f t="shared" si="7"/>
        <v>1000000</v>
      </c>
      <c r="S27" s="21"/>
      <c r="T27" s="21">
        <f t="shared" si="22"/>
        <v>1378.5110448524545</v>
      </c>
      <c r="U27" s="21"/>
      <c r="V27" s="21">
        <f t="shared" si="21"/>
        <v>2500</v>
      </c>
      <c r="W27" s="21">
        <f>'Q1(ii)'!AH27</f>
        <v>0</v>
      </c>
      <c r="Y27" s="21">
        <f t="shared" si="8"/>
        <v>17129.563854902215</v>
      </c>
      <c r="Z27" s="21">
        <f t="shared" si="9"/>
        <v>-472.26585934976174</v>
      </c>
      <c r="AA27" s="21">
        <f t="shared" si="10"/>
        <v>-856.47819274511062</v>
      </c>
      <c r="AB27" s="21">
        <f t="shared" si="11"/>
        <v>0</v>
      </c>
      <c r="AC27" s="21">
        <f t="shared" si="12"/>
        <v>-401.6882723974569</v>
      </c>
      <c r="AD27" s="21">
        <f t="shared" si="13"/>
        <v>-342189.58882564685</v>
      </c>
      <c r="AE27" s="21">
        <f t="shared" si="14"/>
        <v>1027.0532871824773</v>
      </c>
      <c r="AF27" s="21">
        <f t="shared" si="15"/>
        <v>-325763.40400805447</v>
      </c>
      <c r="AH27" s="21">
        <f t="shared" si="16"/>
        <v>0</v>
      </c>
      <c r="AI27" s="21">
        <f>AH26*$H$4</f>
        <v>20146.798156986104</v>
      </c>
      <c r="AJ27" s="21">
        <f t="shared" si="18"/>
        <v>309950.74087670929</v>
      </c>
      <c r="AL27" s="21">
        <f t="shared" si="0"/>
        <v>4334.1350256409496</v>
      </c>
      <c r="AM27" s="47">
        <f t="shared" si="1"/>
        <v>0.18269626126419927</v>
      </c>
    </row>
  </sheetData>
  <mergeCells count="4">
    <mergeCell ref="H10:K10"/>
    <mergeCell ref="Y10:AF10"/>
    <mergeCell ref="AH10:AJ10"/>
    <mergeCell ref="M10:W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9CD91-39CC-43A7-A80A-FFE321952DC5}">
  <dimension ref="B2:G22"/>
  <sheetViews>
    <sheetView workbookViewId="0"/>
  </sheetViews>
  <sheetFormatPr defaultRowHeight="14.5" x14ac:dyDescent="0.35"/>
  <cols>
    <col min="3" max="3" width="12.54296875" style="17" bestFit="1" customWidth="1"/>
  </cols>
  <sheetData>
    <row r="2" spans="2:7" x14ac:dyDescent="0.35">
      <c r="B2" s="14" t="s">
        <v>63</v>
      </c>
    </row>
    <row r="3" spans="2:7" x14ac:dyDescent="0.35">
      <c r="C3" s="26"/>
    </row>
    <row r="5" spans="2:7" x14ac:dyDescent="0.35">
      <c r="B5" s="12" t="s">
        <v>64</v>
      </c>
      <c r="C5" s="21" t="s">
        <v>65</v>
      </c>
      <c r="E5" t="s">
        <v>66</v>
      </c>
      <c r="F5" s="15">
        <f>IRR(C7:C22)</f>
        <v>3.5173643038661107E-2</v>
      </c>
      <c r="G5" s="27"/>
    </row>
    <row r="6" spans="2:7" x14ac:dyDescent="0.35">
      <c r="B6" s="12"/>
      <c r="C6" s="21"/>
    </row>
    <row r="7" spans="2:7" x14ac:dyDescent="0.35">
      <c r="B7" s="12">
        <v>0</v>
      </c>
      <c r="C7" s="21">
        <f>-'Q1(i)'!$B$4</f>
        <v>-50000</v>
      </c>
    </row>
    <row r="8" spans="2:7" x14ac:dyDescent="0.35">
      <c r="B8" s="12">
        <f>B7+1</f>
        <v>1</v>
      </c>
      <c r="C8" s="21">
        <f>-'Q1(i)'!$B$4</f>
        <v>-50000</v>
      </c>
    </row>
    <row r="9" spans="2:7" x14ac:dyDescent="0.35">
      <c r="B9" s="12">
        <f t="shared" ref="B9:B22" si="0">B8+1</f>
        <v>2</v>
      </c>
      <c r="C9" s="21">
        <f>-'Q1(i)'!$B$4</f>
        <v>-50000</v>
      </c>
    </row>
    <row r="10" spans="2:7" x14ac:dyDescent="0.35">
      <c r="B10" s="12">
        <f t="shared" si="0"/>
        <v>3</v>
      </c>
      <c r="C10" s="21">
        <f>-'Q1(i)'!$B$4</f>
        <v>-50000</v>
      </c>
    </row>
    <row r="11" spans="2:7" x14ac:dyDescent="0.35">
      <c r="B11" s="12">
        <f t="shared" si="0"/>
        <v>4</v>
      </c>
      <c r="C11" s="21">
        <f>-'Q1(i)'!$B$4</f>
        <v>-50000</v>
      </c>
    </row>
    <row r="12" spans="2:7" x14ac:dyDescent="0.35">
      <c r="B12" s="12">
        <f t="shared" si="0"/>
        <v>5</v>
      </c>
      <c r="C12" s="21">
        <f>-'Q1(i)'!$B$4</f>
        <v>-50000</v>
      </c>
    </row>
    <row r="13" spans="2:7" x14ac:dyDescent="0.35">
      <c r="B13" s="12">
        <f t="shared" si="0"/>
        <v>6</v>
      </c>
      <c r="C13" s="21">
        <f>-'Q1(i)'!$B$4</f>
        <v>-50000</v>
      </c>
    </row>
    <row r="14" spans="2:7" x14ac:dyDescent="0.35">
      <c r="B14" s="12">
        <f t="shared" si="0"/>
        <v>7</v>
      </c>
      <c r="C14" s="21">
        <f>-'Q1(i)'!$B$4</f>
        <v>-50000</v>
      </c>
    </row>
    <row r="15" spans="2:7" x14ac:dyDescent="0.35">
      <c r="B15" s="12">
        <f t="shared" si="0"/>
        <v>8</v>
      </c>
      <c r="C15" s="21">
        <f>-'Q1(i)'!$B$4</f>
        <v>-50000</v>
      </c>
    </row>
    <row r="16" spans="2:7" x14ac:dyDescent="0.35">
      <c r="B16" s="12">
        <f t="shared" si="0"/>
        <v>9</v>
      </c>
      <c r="C16" s="21">
        <f>-'Q1(i)'!$B$4</f>
        <v>-50000</v>
      </c>
    </row>
    <row r="17" spans="2:3" x14ac:dyDescent="0.35">
      <c r="B17" s="12">
        <f t="shared" si="0"/>
        <v>10</v>
      </c>
      <c r="C17" s="21">
        <f>-'Q1(i)'!$B$4</f>
        <v>-50000</v>
      </c>
    </row>
    <row r="18" spans="2:3" x14ac:dyDescent="0.35">
      <c r="B18" s="12">
        <f t="shared" si="0"/>
        <v>11</v>
      </c>
      <c r="C18" s="21">
        <f>-'Q1(i)'!$B$4</f>
        <v>-50000</v>
      </c>
    </row>
    <row r="19" spans="2:3" x14ac:dyDescent="0.35">
      <c r="B19" s="12">
        <f t="shared" si="0"/>
        <v>12</v>
      </c>
      <c r="C19" s="21">
        <f>-'Q1(i)'!$B$4</f>
        <v>-50000</v>
      </c>
    </row>
    <row r="20" spans="2:3" x14ac:dyDescent="0.35">
      <c r="B20" s="12">
        <f t="shared" si="0"/>
        <v>13</v>
      </c>
      <c r="C20" s="21">
        <f>-'Q1(i)'!$B$4</f>
        <v>-50000</v>
      </c>
    </row>
    <row r="21" spans="2:3" x14ac:dyDescent="0.35">
      <c r="B21" s="12">
        <f t="shared" si="0"/>
        <v>14</v>
      </c>
      <c r="C21" s="21">
        <f>-'Q1(i)'!$B$4</f>
        <v>-50000</v>
      </c>
    </row>
    <row r="22" spans="2:3" x14ac:dyDescent="0.35">
      <c r="B22" s="12">
        <f t="shared" si="0"/>
        <v>15</v>
      </c>
      <c r="C22" s="21">
        <f>'Q1(i)'!$B$7</f>
        <v>1000000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948FA-82A0-400A-9AE3-2C948E098B15}">
  <dimension ref="A1:Q80"/>
  <sheetViews>
    <sheetView showGridLines="0" zoomScale="85" zoomScaleNormal="85" workbookViewId="0">
      <selection activeCell="P9" sqref="P9"/>
    </sheetView>
  </sheetViews>
  <sheetFormatPr defaultRowHeight="14.5" x14ac:dyDescent="0.35"/>
  <cols>
    <col min="6" max="6" width="14.54296875" bestFit="1" customWidth="1"/>
    <col min="12" max="12" width="27.453125" bestFit="1" customWidth="1"/>
    <col min="14" max="14" width="11.54296875" bestFit="1" customWidth="1"/>
    <col min="16" max="16" width="22.36328125" bestFit="1" customWidth="1"/>
    <col min="17" max="17" width="11.54296875" bestFit="1" customWidth="1"/>
  </cols>
  <sheetData>
    <row r="1" spans="1:17" x14ac:dyDescent="0.35">
      <c r="F1" t="s">
        <v>60</v>
      </c>
      <c r="G1" s="11">
        <v>0.06</v>
      </c>
      <c r="K1" t="s">
        <v>67</v>
      </c>
    </row>
    <row r="2" spans="1:17" x14ac:dyDescent="0.35">
      <c r="F2" t="s">
        <v>68</v>
      </c>
      <c r="G2">
        <v>50000</v>
      </c>
      <c r="K2" t="s">
        <v>69</v>
      </c>
      <c r="L2" s="19">
        <f>N19</f>
        <v>355913.82121046167</v>
      </c>
      <c r="M2" s="27"/>
      <c r="P2" s="27"/>
      <c r="Q2" s="27"/>
    </row>
    <row r="3" spans="1:17" x14ac:dyDescent="0.35">
      <c r="F3" t="s">
        <v>70</v>
      </c>
      <c r="G3">
        <v>60</v>
      </c>
      <c r="K3" t="s">
        <v>71</v>
      </c>
      <c r="L3" s="19">
        <f>Q19</f>
        <v>367858.38932093559</v>
      </c>
      <c r="M3" s="27"/>
    </row>
    <row r="4" spans="1:17" x14ac:dyDescent="0.35">
      <c r="A4" t="s">
        <v>72</v>
      </c>
      <c r="F4" t="s">
        <v>73</v>
      </c>
      <c r="G4">
        <v>57</v>
      </c>
    </row>
    <row r="6" spans="1:17" x14ac:dyDescent="0.35"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ht="16" x14ac:dyDescent="0.4">
      <c r="L7" s="48" t="s">
        <v>74</v>
      </c>
      <c r="P7" s="48" t="s">
        <v>75</v>
      </c>
    </row>
    <row r="8" spans="1:17" x14ac:dyDescent="0.35">
      <c r="A8" s="53" t="s">
        <v>7</v>
      </c>
      <c r="B8" s="54"/>
      <c r="C8" s="55"/>
      <c r="F8" s="12" t="s">
        <v>64</v>
      </c>
      <c r="G8" s="12" t="s">
        <v>76</v>
      </c>
      <c r="H8" s="12" t="s">
        <v>70</v>
      </c>
      <c r="I8" s="12" t="s">
        <v>73</v>
      </c>
      <c r="J8" s="12" t="s">
        <v>77</v>
      </c>
      <c r="K8" s="12" t="s">
        <v>78</v>
      </c>
      <c r="L8" s="12" t="s">
        <v>79</v>
      </c>
      <c r="M8" s="12" t="s">
        <v>80</v>
      </c>
      <c r="N8" s="12" t="s">
        <v>81</v>
      </c>
      <c r="P8" s="12" t="s">
        <v>82</v>
      </c>
      <c r="Q8" s="12" t="s">
        <v>81</v>
      </c>
    </row>
    <row r="9" spans="1:17" x14ac:dyDescent="0.35">
      <c r="A9" s="12" t="s">
        <v>8</v>
      </c>
      <c r="B9" s="12" t="s">
        <v>83</v>
      </c>
      <c r="C9" s="12" t="s">
        <v>84</v>
      </c>
      <c r="F9" s="12">
        <v>1</v>
      </c>
      <c r="G9" s="12">
        <f>$G$2</f>
        <v>50000</v>
      </c>
      <c r="H9" s="12">
        <f>$G$3+1</f>
        <v>61</v>
      </c>
      <c r="I9" s="12">
        <f>$G$4+1</f>
        <v>58</v>
      </c>
      <c r="J9" s="12">
        <f t="shared" ref="J9:J18" si="0">B21/$B$20</f>
        <v>0.99754899471423719</v>
      </c>
      <c r="K9" s="12">
        <f t="shared" ref="K9:K18" si="1">C18/$C$17</f>
        <v>0.99862500345237193</v>
      </c>
      <c r="L9" s="12">
        <f>J9*K9</f>
        <v>0.99617736829041525</v>
      </c>
      <c r="M9" s="12">
        <f>1/(1+$G$1)^F9</f>
        <v>0.94339622641509424</v>
      </c>
      <c r="N9" s="21">
        <f>G9*L9*M9</f>
        <v>46989.49850426487</v>
      </c>
      <c r="P9" s="12">
        <f>J9+K9-L9</f>
        <v>0.99999662987619387</v>
      </c>
      <c r="Q9" s="21">
        <f>G9*M9*P9</f>
        <v>47169.65235265065</v>
      </c>
    </row>
    <row r="10" spans="1:17" x14ac:dyDescent="0.35">
      <c r="A10" s="12">
        <v>50</v>
      </c>
      <c r="B10" s="12">
        <v>9941.9225000000006</v>
      </c>
      <c r="C10" s="12">
        <v>9952.6969000000008</v>
      </c>
      <c r="F10" s="12">
        <f>F9+1</f>
        <v>2</v>
      </c>
      <c r="G10" s="12">
        <f t="shared" ref="G10:G18" si="2">$G$2</f>
        <v>50000</v>
      </c>
      <c r="H10" s="12">
        <f>H9+1</f>
        <v>62</v>
      </c>
      <c r="I10" s="12">
        <f>I9+1</f>
        <v>59</v>
      </c>
      <c r="J10" s="12">
        <f t="shared" si="0"/>
        <v>0.99460124256022064</v>
      </c>
      <c r="K10" s="12">
        <f t="shared" si="1"/>
        <v>0.99705216691082288</v>
      </c>
      <c r="L10" s="12">
        <f t="shared" ref="L10:L18" si="3">J10*K10</f>
        <v>0.99166932410686492</v>
      </c>
      <c r="M10" s="12">
        <f t="shared" ref="M10:M18" si="4">1/(1+$G$1)^F10</f>
        <v>0.88999644001423983</v>
      </c>
      <c r="N10" s="21">
        <f t="shared" ref="N10:N18" si="5">G10*L10*M10</f>
        <v>44129.108406321859</v>
      </c>
      <c r="P10" s="12">
        <f t="shared" ref="P10:P18" si="6">J10+K10-L10</f>
        <v>0.99998408536417871</v>
      </c>
      <c r="Q10" s="21">
        <f t="shared" ref="Q10:Q18" si="7">G10*M10*P10</f>
        <v>44499.113802250737</v>
      </c>
    </row>
    <row r="11" spans="1:17" x14ac:dyDescent="0.35">
      <c r="A11" s="12">
        <v>51</v>
      </c>
      <c r="B11" s="12">
        <v>9936.5041000000001</v>
      </c>
      <c r="C11" s="12">
        <v>9947.4518000000007</v>
      </c>
      <c r="F11" s="12">
        <f t="shared" ref="F11:F18" si="8">F10+1</f>
        <v>3</v>
      </c>
      <c r="G11" s="12">
        <f t="shared" si="2"/>
        <v>50000</v>
      </c>
      <c r="H11" s="12">
        <f t="shared" ref="H11:H18" si="9">H10+1</f>
        <v>63</v>
      </c>
      <c r="I11" s="12">
        <f t="shared" ref="I11:I18" si="10">I10+1</f>
        <v>60</v>
      </c>
      <c r="J11" s="12">
        <f t="shared" si="0"/>
        <v>0.99107040233555199</v>
      </c>
      <c r="K11" s="12">
        <f t="shared" si="1"/>
        <v>0.99525646857298511</v>
      </c>
      <c r="L11" s="12">
        <f t="shared" si="3"/>
        <v>0.986369228735689</v>
      </c>
      <c r="M11" s="12">
        <f t="shared" si="4"/>
        <v>0.8396192830323016</v>
      </c>
      <c r="N11" s="21">
        <f t="shared" si="5"/>
        <v>41408.731231809172</v>
      </c>
      <c r="P11" s="12">
        <f t="shared" si="6"/>
        <v>0.9999576421728481</v>
      </c>
      <c r="Q11" s="21">
        <f t="shared" si="7"/>
        <v>41979.185929191874</v>
      </c>
    </row>
    <row r="12" spans="1:17" x14ac:dyDescent="0.35">
      <c r="A12" s="12">
        <v>52</v>
      </c>
      <c r="B12" s="12">
        <v>9930.2440999999999</v>
      </c>
      <c r="C12" s="12">
        <v>9941.4534999999996</v>
      </c>
      <c r="F12" s="12">
        <f t="shared" si="8"/>
        <v>4</v>
      </c>
      <c r="G12" s="12">
        <f t="shared" si="2"/>
        <v>50000</v>
      </c>
      <c r="H12" s="12">
        <f t="shared" si="9"/>
        <v>64</v>
      </c>
      <c r="I12" s="12">
        <f t="shared" si="10"/>
        <v>61</v>
      </c>
      <c r="J12" s="12">
        <f t="shared" si="0"/>
        <v>0.98685736077170727</v>
      </c>
      <c r="K12" s="12">
        <f t="shared" si="1"/>
        <v>0.99320823799792513</v>
      </c>
      <c r="L12" s="12">
        <f t="shared" si="3"/>
        <v>0.98015486044735012</v>
      </c>
      <c r="M12" s="12">
        <f t="shared" si="4"/>
        <v>0.79209366323802044</v>
      </c>
      <c r="N12" s="21">
        <f t="shared" si="5"/>
        <v>38818.722697614612</v>
      </c>
      <c r="P12" s="12">
        <f t="shared" si="6"/>
        <v>0.99991073832228217</v>
      </c>
      <c r="Q12" s="21">
        <f t="shared" si="7"/>
        <v>39601.147981436501</v>
      </c>
    </row>
    <row r="13" spans="1:17" x14ac:dyDescent="0.35">
      <c r="A13" s="12">
        <v>53</v>
      </c>
      <c r="B13" s="12">
        <v>9922.9950000000008</v>
      </c>
      <c r="C13" s="12">
        <v>9934.5740000000005</v>
      </c>
      <c r="F13" s="12">
        <f t="shared" si="8"/>
        <v>5</v>
      </c>
      <c r="G13" s="12">
        <f t="shared" si="2"/>
        <v>50000</v>
      </c>
      <c r="H13" s="12">
        <f t="shared" si="9"/>
        <v>65</v>
      </c>
      <c r="I13" s="12">
        <f t="shared" si="10"/>
        <v>62</v>
      </c>
      <c r="J13" s="12">
        <f t="shared" si="0"/>
        <v>0.98185100598186592</v>
      </c>
      <c r="K13" s="12">
        <f t="shared" si="1"/>
        <v>0.99078381129405524</v>
      </c>
      <c r="L13" s="12">
        <f t="shared" si="3"/>
        <v>0.97280208182961536</v>
      </c>
      <c r="M13" s="12">
        <f t="shared" si="4"/>
        <v>0.74725817286605689</v>
      </c>
      <c r="N13" s="21">
        <f t="shared" si="5"/>
        <v>36346.715311414737</v>
      </c>
      <c r="P13" s="12">
        <f t="shared" si="6"/>
        <v>0.9998327354463058</v>
      </c>
      <c r="Q13" s="21">
        <f t="shared" si="7"/>
        <v>37356.659153063905</v>
      </c>
    </row>
    <row r="14" spans="1:17" x14ac:dyDescent="0.35">
      <c r="A14" s="12">
        <v>54</v>
      </c>
      <c r="B14" s="12">
        <v>9914.5802999999996</v>
      </c>
      <c r="C14" s="12">
        <v>9926.6759999999995</v>
      </c>
      <c r="F14" s="12">
        <f t="shared" si="8"/>
        <v>6</v>
      </c>
      <c r="G14" s="12">
        <f t="shared" si="2"/>
        <v>50000</v>
      </c>
      <c r="H14" s="12">
        <f t="shared" si="9"/>
        <v>66</v>
      </c>
      <c r="I14" s="12">
        <f t="shared" si="10"/>
        <v>63</v>
      </c>
      <c r="J14" s="12">
        <f t="shared" si="0"/>
        <v>0.97592853276926472</v>
      </c>
      <c r="K14" s="12">
        <f t="shared" si="1"/>
        <v>0.98792540386285477</v>
      </c>
      <c r="L14" s="12">
        <f t="shared" si="3"/>
        <v>0.96414458987735918</v>
      </c>
      <c r="M14" s="12">
        <f t="shared" si="4"/>
        <v>0.70496054043967626</v>
      </c>
      <c r="N14" s="21">
        <f t="shared" si="5"/>
        <v>33984.194557096664</v>
      </c>
      <c r="P14" s="12">
        <f t="shared" si="6"/>
        <v>0.99970934675476031</v>
      </c>
      <c r="Q14" s="21">
        <f t="shared" si="7"/>
        <v>35237.782068541579</v>
      </c>
    </row>
    <row r="15" spans="1:17" x14ac:dyDescent="0.35">
      <c r="A15" s="12">
        <v>55</v>
      </c>
      <c r="B15" s="12">
        <v>9904.8045999999995</v>
      </c>
      <c r="C15" s="12">
        <v>9917.6229000000003</v>
      </c>
      <c r="F15" s="12">
        <f t="shared" si="8"/>
        <v>7</v>
      </c>
      <c r="G15" s="12">
        <f t="shared" si="2"/>
        <v>50000</v>
      </c>
      <c r="H15" s="12">
        <f t="shared" si="9"/>
        <v>67</v>
      </c>
      <c r="I15" s="12">
        <f t="shared" si="10"/>
        <v>64</v>
      </c>
      <c r="J15" s="12">
        <f t="shared" si="0"/>
        <v>0.96895355989234988</v>
      </c>
      <c r="K15" s="12">
        <f t="shared" si="1"/>
        <v>0.98456546896481478</v>
      </c>
      <c r="L15" s="12">
        <f t="shared" si="3"/>
        <v>0.95399821610053825</v>
      </c>
      <c r="M15" s="12">
        <f t="shared" si="4"/>
        <v>0.66505711362233599</v>
      </c>
      <c r="N15" s="21">
        <f t="shared" si="5"/>
        <v>31723.165000034078</v>
      </c>
      <c r="P15" s="12">
        <f t="shared" si="6"/>
        <v>0.99952081275662641</v>
      </c>
      <c r="Q15" s="21">
        <f t="shared" si="7"/>
        <v>33236.921336868669</v>
      </c>
    </row>
    <row r="16" spans="1:17" x14ac:dyDescent="0.35">
      <c r="A16" s="12">
        <v>56</v>
      </c>
      <c r="B16" s="12">
        <v>9893.4339</v>
      </c>
      <c r="C16" s="12">
        <v>9907.2491000000009</v>
      </c>
      <c r="F16" s="12">
        <f t="shared" si="8"/>
        <v>8</v>
      </c>
      <c r="G16" s="12">
        <f t="shared" si="2"/>
        <v>50000</v>
      </c>
      <c r="H16" s="12">
        <f t="shared" si="9"/>
        <v>68</v>
      </c>
      <c r="I16" s="12">
        <f t="shared" si="10"/>
        <v>65</v>
      </c>
      <c r="J16" s="12">
        <f t="shared" si="0"/>
        <v>0.96077658802730848</v>
      </c>
      <c r="K16" s="12">
        <f t="shared" si="1"/>
        <v>0.98063114424328313</v>
      </c>
      <c r="L16" s="12">
        <f t="shared" si="3"/>
        <v>0.94216744487937698</v>
      </c>
      <c r="M16" s="12">
        <f t="shared" si="4"/>
        <v>0.62741237134182648</v>
      </c>
      <c r="N16" s="21">
        <f t="shared" si="5"/>
        <v>29556.375539641977</v>
      </c>
      <c r="P16" s="12">
        <f t="shared" si="6"/>
        <v>0.99924028739121462</v>
      </c>
      <c r="Q16" s="21">
        <f t="shared" si="7"/>
        <v>31346.785912620511</v>
      </c>
    </row>
    <row r="17" spans="1:17" x14ac:dyDescent="0.35">
      <c r="A17" s="12">
        <v>57</v>
      </c>
      <c r="B17" s="12">
        <v>9880.1964000000007</v>
      </c>
      <c r="C17" s="12">
        <v>9895.3703000000005</v>
      </c>
      <c r="F17" s="12">
        <f t="shared" si="8"/>
        <v>9</v>
      </c>
      <c r="G17" s="12">
        <f t="shared" si="2"/>
        <v>50000</v>
      </c>
      <c r="H17" s="12">
        <f t="shared" si="9"/>
        <v>69</v>
      </c>
      <c r="I17" s="12">
        <f t="shared" si="10"/>
        <v>66</v>
      </c>
      <c r="J17" s="12">
        <f t="shared" si="0"/>
        <v>0.95123600728563418</v>
      </c>
      <c r="K17" s="12">
        <f t="shared" si="1"/>
        <v>0.97604081577422108</v>
      </c>
      <c r="L17" s="12">
        <f t="shared" si="3"/>
        <v>0.92844516854488324</v>
      </c>
      <c r="M17" s="12">
        <f t="shared" si="4"/>
        <v>0.59189846353002495</v>
      </c>
      <c r="N17" s="21">
        <f t="shared" si="5"/>
        <v>27477.263436679572</v>
      </c>
      <c r="P17" s="12">
        <f t="shared" si="6"/>
        <v>0.99883165451497213</v>
      </c>
      <c r="Q17" s="21">
        <f t="shared" si="7"/>
        <v>29560.346081628235</v>
      </c>
    </row>
    <row r="18" spans="1:17" x14ac:dyDescent="0.35">
      <c r="A18" s="12">
        <v>58</v>
      </c>
      <c r="B18" s="12">
        <v>9864.8030999999992</v>
      </c>
      <c r="C18" s="12">
        <v>9881.7641999999996</v>
      </c>
      <c r="F18" s="12">
        <f t="shared" si="8"/>
        <v>10</v>
      </c>
      <c r="G18" s="12">
        <f t="shared" si="2"/>
        <v>50000</v>
      </c>
      <c r="H18" s="12">
        <f t="shared" si="9"/>
        <v>70</v>
      </c>
      <c r="I18" s="12">
        <f t="shared" si="10"/>
        <v>67</v>
      </c>
      <c r="J18" s="12">
        <f t="shared" si="0"/>
        <v>0.94015982729479886</v>
      </c>
      <c r="K18" s="12">
        <f t="shared" si="1"/>
        <v>0.97070479515051589</v>
      </c>
      <c r="L18" s="12">
        <f t="shared" si="3"/>
        <v>0.91261765256294214</v>
      </c>
      <c r="M18" s="12">
        <f t="shared" si="4"/>
        <v>0.55839477691511785</v>
      </c>
      <c r="N18" s="21">
        <f t="shared" si="5"/>
        <v>25480.04652558413</v>
      </c>
      <c r="P18" s="12">
        <f t="shared" si="6"/>
        <v>0.9982469698823726</v>
      </c>
      <c r="Q18" s="21">
        <f t="shared" si="7"/>
        <v>27870.79470268299</v>
      </c>
    </row>
    <row r="19" spans="1:17" x14ac:dyDescent="0.35">
      <c r="A19" s="12">
        <v>59</v>
      </c>
      <c r="B19" s="12">
        <v>9846.9082999999991</v>
      </c>
      <c r="C19" s="12">
        <v>9866.2003999999997</v>
      </c>
      <c r="F19" s="12"/>
      <c r="G19" s="12"/>
      <c r="H19" s="12"/>
      <c r="I19" s="12"/>
      <c r="J19" s="12"/>
      <c r="K19" s="12"/>
      <c r="L19" s="12"/>
      <c r="M19" s="12" t="s">
        <v>85</v>
      </c>
      <c r="N19" s="21">
        <f>SUM(N9:N18)</f>
        <v>355913.82121046167</v>
      </c>
      <c r="P19" s="12" t="s">
        <v>85</v>
      </c>
      <c r="Q19" s="21">
        <f>SUM(Q9:Q18)</f>
        <v>367858.38932093559</v>
      </c>
    </row>
    <row r="20" spans="1:17" x14ac:dyDescent="0.35">
      <c r="A20" s="12">
        <v>60</v>
      </c>
      <c r="B20" s="12">
        <v>9826.1314000000002</v>
      </c>
      <c r="C20" s="12">
        <v>9848.4313000000002</v>
      </c>
    </row>
    <row r="21" spans="1:17" x14ac:dyDescent="0.35">
      <c r="A21" s="12">
        <v>61</v>
      </c>
      <c r="B21" s="12">
        <v>9802.0475000000006</v>
      </c>
      <c r="C21" s="12">
        <v>9828.1633000000002</v>
      </c>
    </row>
    <row r="22" spans="1:17" x14ac:dyDescent="0.35">
      <c r="A22" s="12">
        <v>62</v>
      </c>
      <c r="B22" s="12">
        <v>9773.0825000000004</v>
      </c>
      <c r="C22" s="12">
        <v>9804.1726999999992</v>
      </c>
    </row>
    <row r="23" spans="1:17" x14ac:dyDescent="0.35">
      <c r="A23" s="12">
        <v>63</v>
      </c>
      <c r="B23" s="12">
        <v>9738.3880000000008</v>
      </c>
      <c r="C23" s="12">
        <v>9775.8876999999993</v>
      </c>
    </row>
    <row r="24" spans="1:17" x14ac:dyDescent="0.35">
      <c r="A24" s="12">
        <v>64</v>
      </c>
      <c r="B24" s="12">
        <v>9696.9901000000009</v>
      </c>
      <c r="C24" s="12">
        <v>9742.6399000000001</v>
      </c>
    </row>
    <row r="25" spans="1:17" x14ac:dyDescent="0.35">
      <c r="A25" s="12">
        <v>65</v>
      </c>
      <c r="B25" s="12">
        <v>9647.7970000000005</v>
      </c>
      <c r="C25" s="12">
        <v>9703.7083000000002</v>
      </c>
    </row>
    <row r="26" spans="1:17" x14ac:dyDescent="0.35">
      <c r="A26" s="12">
        <v>66</v>
      </c>
      <c r="B26" s="12">
        <v>9589.6020000000008</v>
      </c>
      <c r="C26" s="12">
        <v>9658.2852999999996</v>
      </c>
    </row>
    <row r="27" spans="1:17" x14ac:dyDescent="0.35">
      <c r="A27" s="12">
        <v>67</v>
      </c>
      <c r="B27" s="12">
        <v>9521.0650000000005</v>
      </c>
      <c r="C27" s="12">
        <v>9605.4833999999992</v>
      </c>
    </row>
    <row r="28" spans="1:17" x14ac:dyDescent="0.35">
      <c r="A28" s="12">
        <v>68</v>
      </c>
      <c r="B28" s="12">
        <v>9440.7170000000006</v>
      </c>
      <c r="C28" s="12">
        <v>9544.3253000000004</v>
      </c>
    </row>
    <row r="29" spans="1:17" x14ac:dyDescent="0.35">
      <c r="A29" s="12">
        <v>69</v>
      </c>
      <c r="B29" s="12">
        <v>9346.9699999999993</v>
      </c>
      <c r="C29" s="12">
        <v>9473.7450000000008</v>
      </c>
    </row>
    <row r="30" spans="1:17" x14ac:dyDescent="0.35">
      <c r="A30" s="12">
        <v>70</v>
      </c>
      <c r="B30" s="12">
        <v>9238.134</v>
      </c>
      <c r="C30" s="12">
        <v>9392.6213000000007</v>
      </c>
    </row>
    <row r="31" spans="1:17" x14ac:dyDescent="0.35">
      <c r="A31" s="12">
        <v>71</v>
      </c>
      <c r="B31" s="12">
        <v>9112.4490000000005</v>
      </c>
      <c r="C31" s="12">
        <v>9299.7471000000005</v>
      </c>
    </row>
    <row r="32" spans="1:17" x14ac:dyDescent="0.35">
      <c r="A32" s="12">
        <v>72</v>
      </c>
      <c r="B32" s="12">
        <v>8968.0990000000002</v>
      </c>
      <c r="C32" s="12">
        <v>9193.8601999999992</v>
      </c>
    </row>
    <row r="33" spans="1:3" x14ac:dyDescent="0.35">
      <c r="A33" s="12">
        <v>73</v>
      </c>
      <c r="B33" s="12">
        <v>8803.2649999999994</v>
      </c>
      <c r="C33" s="12">
        <v>9073.6504000000004</v>
      </c>
    </row>
    <row r="34" spans="1:3" x14ac:dyDescent="0.35">
      <c r="A34" s="12">
        <v>74</v>
      </c>
      <c r="B34" s="12">
        <v>8616.17</v>
      </c>
      <c r="C34" s="12">
        <v>8937.7906999999996</v>
      </c>
    </row>
    <row r="35" spans="1:3" x14ac:dyDescent="0.35">
      <c r="A35" s="12">
        <v>75</v>
      </c>
      <c r="B35" s="12">
        <v>8405.16</v>
      </c>
      <c r="C35" s="12">
        <v>8784.9544999999998</v>
      </c>
    </row>
    <row r="36" spans="1:3" x14ac:dyDescent="0.35">
      <c r="A36" s="12">
        <v>76</v>
      </c>
      <c r="B36" s="12">
        <v>8168.7979999999998</v>
      </c>
      <c r="C36" s="12">
        <v>8613.8410999999996</v>
      </c>
    </row>
    <row r="37" spans="1:3" x14ac:dyDescent="0.35">
      <c r="A37" s="12">
        <v>77</v>
      </c>
      <c r="B37" s="12">
        <v>7905.9340000000002</v>
      </c>
      <c r="C37" s="12">
        <v>8423.2427000000007</v>
      </c>
    </row>
    <row r="38" spans="1:3" x14ac:dyDescent="0.35">
      <c r="A38" s="12">
        <v>78</v>
      </c>
      <c r="B38" s="12">
        <v>7615.8180000000002</v>
      </c>
      <c r="C38" s="12">
        <v>8212.0804000000007</v>
      </c>
    </row>
    <row r="39" spans="1:3" x14ac:dyDescent="0.35">
      <c r="A39" s="12">
        <v>79</v>
      </c>
      <c r="B39" s="12">
        <v>7298.223</v>
      </c>
      <c r="C39" s="12">
        <v>7979.4650000000001</v>
      </c>
    </row>
    <row r="40" spans="1:3" x14ac:dyDescent="0.35">
      <c r="A40" s="12">
        <v>80</v>
      </c>
      <c r="B40" s="12">
        <v>6953.5360000000001</v>
      </c>
      <c r="C40" s="12">
        <v>7724.7365</v>
      </c>
    </row>
    <row r="41" spans="1:3" x14ac:dyDescent="0.35">
      <c r="A41" s="12">
        <v>81</v>
      </c>
      <c r="B41" s="12">
        <v>6582.8913000000002</v>
      </c>
      <c r="C41" s="12">
        <v>7447.5574999999999</v>
      </c>
    </row>
    <row r="42" spans="1:3" x14ac:dyDescent="0.35">
      <c r="A42" s="12">
        <v>82</v>
      </c>
      <c r="B42" s="12">
        <v>6188.2338</v>
      </c>
      <c r="C42" s="12">
        <v>7147.9646000000002</v>
      </c>
    </row>
    <row r="43" spans="1:3" x14ac:dyDescent="0.35">
      <c r="A43" s="12">
        <v>83</v>
      </c>
      <c r="B43" s="12">
        <v>5772.3783000000003</v>
      </c>
      <c r="C43" s="12">
        <v>6826.442</v>
      </c>
    </row>
    <row r="44" spans="1:3" x14ac:dyDescent="0.35">
      <c r="A44" s="12">
        <v>84</v>
      </c>
      <c r="B44" s="12">
        <v>5339.0573999999997</v>
      </c>
      <c r="C44" s="12">
        <v>6483.9867999999997</v>
      </c>
    </row>
    <row r="45" spans="1:3" x14ac:dyDescent="0.35">
      <c r="A45" s="12">
        <v>85</v>
      </c>
      <c r="B45" s="12">
        <v>4892.8777</v>
      </c>
      <c r="C45" s="12">
        <v>6122.1544000000004</v>
      </c>
    </row>
    <row r="46" spans="1:3" x14ac:dyDescent="0.35">
      <c r="A46" s="12">
        <v>86</v>
      </c>
      <c r="B46" s="12">
        <v>4439.2295999999997</v>
      </c>
      <c r="C46" s="12">
        <v>5743.1012000000001</v>
      </c>
    </row>
    <row r="47" spans="1:3" x14ac:dyDescent="0.35">
      <c r="A47" s="12">
        <v>87</v>
      </c>
      <c r="B47" s="12">
        <v>3984.1376</v>
      </c>
      <c r="C47" s="12">
        <v>5349.5954000000002</v>
      </c>
    </row>
    <row r="48" spans="1:3" x14ac:dyDescent="0.35">
      <c r="A48" s="12">
        <v>88</v>
      </c>
      <c r="B48" s="12">
        <v>3534.0535</v>
      </c>
      <c r="C48" s="12">
        <v>4945.0001000000002</v>
      </c>
    </row>
    <row r="49" spans="1:3" x14ac:dyDescent="0.35">
      <c r="A49" s="12">
        <v>89</v>
      </c>
      <c r="B49" s="12">
        <v>3095.5906</v>
      </c>
      <c r="C49" s="12">
        <v>4533.2299999999996</v>
      </c>
    </row>
    <row r="50" spans="1:3" x14ac:dyDescent="0.35">
      <c r="A50" s="12">
        <v>90</v>
      </c>
      <c r="B50" s="12">
        <v>2675.2031999999999</v>
      </c>
      <c r="C50" s="12">
        <v>4118.6932999999999</v>
      </c>
    </row>
    <row r="51" spans="1:3" x14ac:dyDescent="0.35">
      <c r="A51" s="12">
        <v>91</v>
      </c>
      <c r="B51" s="12">
        <v>2278.8692000000001</v>
      </c>
      <c r="C51" s="12">
        <v>3706.1484999999998</v>
      </c>
    </row>
    <row r="52" spans="1:3" x14ac:dyDescent="0.35">
      <c r="A52" s="12">
        <v>92</v>
      </c>
      <c r="B52" s="12">
        <v>1911.7707</v>
      </c>
      <c r="C52" s="12">
        <v>3300.5587</v>
      </c>
    </row>
    <row r="53" spans="1:3" x14ac:dyDescent="0.35">
      <c r="A53" s="12">
        <v>93</v>
      </c>
      <c r="B53" s="12">
        <v>1578.0118</v>
      </c>
      <c r="C53" s="12">
        <v>2906.9142999999999</v>
      </c>
    </row>
    <row r="54" spans="1:3" x14ac:dyDescent="0.35">
      <c r="A54" s="12">
        <v>94</v>
      </c>
      <c r="B54" s="12">
        <v>1280.4161999999999</v>
      </c>
      <c r="C54" s="12">
        <v>2530.0328</v>
      </c>
    </row>
    <row r="55" spans="1:3" x14ac:dyDescent="0.35">
      <c r="A55" s="12">
        <v>95</v>
      </c>
      <c r="B55" s="12">
        <v>1020.4085</v>
      </c>
      <c r="C55" s="12">
        <v>2174.3557999999998</v>
      </c>
    </row>
    <row r="56" spans="1:3" x14ac:dyDescent="0.35">
      <c r="A56" s="12">
        <v>96</v>
      </c>
      <c r="B56" s="12">
        <v>798.00329999999997</v>
      </c>
      <c r="C56" s="12">
        <v>1843.7384</v>
      </c>
    </row>
    <row r="57" spans="1:3" x14ac:dyDescent="0.35">
      <c r="A57" s="12">
        <v>97</v>
      </c>
      <c r="B57" s="12">
        <v>611.9049</v>
      </c>
      <c r="C57" s="12">
        <v>1541.2713000000001</v>
      </c>
    </row>
    <row r="58" spans="1:3" x14ac:dyDescent="0.35">
      <c r="A58" s="12">
        <v>98</v>
      </c>
      <c r="B58" s="12">
        <v>459.69600000000003</v>
      </c>
      <c r="C58" s="12">
        <v>1269.1522</v>
      </c>
    </row>
    <row r="59" spans="1:3" x14ac:dyDescent="0.35">
      <c r="A59" s="12">
        <v>99</v>
      </c>
      <c r="B59" s="12">
        <v>338.10140000000001</v>
      </c>
      <c r="C59" s="12">
        <v>1028.5907</v>
      </c>
    </row>
    <row r="60" spans="1:3" x14ac:dyDescent="0.35">
      <c r="A60" s="12">
        <v>100</v>
      </c>
      <c r="B60" s="12">
        <v>243.28790000000001</v>
      </c>
      <c r="C60" s="12">
        <v>819.79610000000002</v>
      </c>
    </row>
    <row r="61" spans="1:3" x14ac:dyDescent="0.35">
      <c r="A61" s="12">
        <v>101</v>
      </c>
      <c r="B61" s="12">
        <v>171.1713</v>
      </c>
      <c r="C61" s="12">
        <v>642.01260000000002</v>
      </c>
    </row>
    <row r="62" spans="1:3" x14ac:dyDescent="0.35">
      <c r="A62" s="12">
        <v>102</v>
      </c>
      <c r="B62" s="12">
        <v>117.6935</v>
      </c>
      <c r="C62" s="12">
        <v>493.6275</v>
      </c>
    </row>
    <row r="63" spans="1:3" x14ac:dyDescent="0.35">
      <c r="A63" s="12">
        <v>103</v>
      </c>
      <c r="B63" s="12">
        <v>79.049499999999995</v>
      </c>
      <c r="C63" s="12">
        <v>372.32490000000001</v>
      </c>
    </row>
    <row r="64" spans="1:3" x14ac:dyDescent="0.35">
      <c r="A64" s="12">
        <v>104</v>
      </c>
      <c r="B64" s="12">
        <v>51.8476</v>
      </c>
      <c r="C64" s="12">
        <v>275.27690000000001</v>
      </c>
    </row>
    <row r="65" spans="1:3" x14ac:dyDescent="0.35">
      <c r="A65" s="12">
        <v>105</v>
      </c>
      <c r="B65" s="12">
        <v>33.200400000000002</v>
      </c>
      <c r="C65" s="12">
        <v>199.34729999999999</v>
      </c>
    </row>
    <row r="66" spans="1:3" x14ac:dyDescent="0.35">
      <c r="A66" s="12">
        <v>106</v>
      </c>
      <c r="B66" s="12">
        <v>20.754000000000001</v>
      </c>
      <c r="C66" s="12">
        <v>141.29400000000001</v>
      </c>
    </row>
    <row r="67" spans="1:3" x14ac:dyDescent="0.35">
      <c r="A67" s="12">
        <v>107</v>
      </c>
      <c r="B67" s="12">
        <v>12.6653</v>
      </c>
      <c r="C67" s="12">
        <v>97.950599999999994</v>
      </c>
    </row>
    <row r="68" spans="1:3" x14ac:dyDescent="0.35">
      <c r="A68" s="12">
        <v>108</v>
      </c>
      <c r="B68" s="12">
        <v>7.5465999999999998</v>
      </c>
      <c r="C68" s="12">
        <v>66.370699999999999</v>
      </c>
    </row>
    <row r="69" spans="1:3" x14ac:dyDescent="0.35">
      <c r="A69" s="12">
        <v>109</v>
      </c>
      <c r="B69" s="12">
        <v>4.3918999999999997</v>
      </c>
      <c r="C69" s="12">
        <v>43.930700000000002</v>
      </c>
    </row>
    <row r="70" spans="1:3" x14ac:dyDescent="0.35">
      <c r="A70" s="12">
        <v>110</v>
      </c>
      <c r="B70" s="12">
        <v>2.4975000000000001</v>
      </c>
      <c r="C70" s="12">
        <v>28.3887</v>
      </c>
    </row>
    <row r="71" spans="1:3" x14ac:dyDescent="0.35">
      <c r="A71" s="12">
        <v>111</v>
      </c>
      <c r="B71" s="12">
        <v>1.3885000000000001</v>
      </c>
      <c r="C71" s="12">
        <v>17.901800000000001</v>
      </c>
    </row>
    <row r="72" spans="1:3" x14ac:dyDescent="0.35">
      <c r="A72" s="12">
        <v>112</v>
      </c>
      <c r="B72" s="12">
        <v>0.75949999999999995</v>
      </c>
      <c r="C72" s="12">
        <v>11.056100000000001</v>
      </c>
    </row>
    <row r="73" spans="1:3" x14ac:dyDescent="0.35">
      <c r="A73" s="12">
        <v>113</v>
      </c>
      <c r="B73" s="12">
        <v>0.40910000000000002</v>
      </c>
      <c r="C73" s="12">
        <v>6.6872999999999996</v>
      </c>
    </row>
    <row r="74" spans="1:3" x14ac:dyDescent="0.35">
      <c r="A74" s="12">
        <v>114</v>
      </c>
      <c r="B74" s="12">
        <v>0.21729999999999999</v>
      </c>
      <c r="C74" s="12">
        <v>3.9615999999999998</v>
      </c>
    </row>
    <row r="75" spans="1:3" x14ac:dyDescent="0.35">
      <c r="A75" s="12">
        <v>115</v>
      </c>
      <c r="B75" s="12">
        <v>0.114</v>
      </c>
      <c r="C75" s="12">
        <v>2.2989000000000002</v>
      </c>
    </row>
    <row r="76" spans="1:3" x14ac:dyDescent="0.35">
      <c r="A76" s="12">
        <v>116</v>
      </c>
      <c r="B76" s="12">
        <v>5.91E-2</v>
      </c>
      <c r="C76" s="12">
        <v>1.3070999999999999</v>
      </c>
    </row>
    <row r="77" spans="1:3" x14ac:dyDescent="0.35">
      <c r="A77" s="12">
        <v>117</v>
      </c>
      <c r="B77" s="12">
        <v>3.04E-2</v>
      </c>
      <c r="C77" s="12">
        <v>0.72840000000000005</v>
      </c>
    </row>
    <row r="78" spans="1:3" x14ac:dyDescent="0.35">
      <c r="A78" s="12">
        <v>118</v>
      </c>
      <c r="B78" s="12">
        <v>1.55E-2</v>
      </c>
      <c r="C78" s="12">
        <v>0.39800000000000002</v>
      </c>
    </row>
    <row r="79" spans="1:3" x14ac:dyDescent="0.35">
      <c r="A79" s="12">
        <v>119</v>
      </c>
      <c r="B79" s="12">
        <v>7.7999999999999996E-3</v>
      </c>
      <c r="C79" s="12">
        <v>0.21329999999999999</v>
      </c>
    </row>
    <row r="80" spans="1:3" x14ac:dyDescent="0.35">
      <c r="A80" s="12">
        <v>120</v>
      </c>
      <c r="B80" s="12">
        <v>3.8999999999999998E-3</v>
      </c>
      <c r="C80" s="12">
        <v>0.11219999999999999</v>
      </c>
    </row>
  </sheetData>
  <mergeCells count="1">
    <mergeCell ref="A8:C8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B727-C738-4A22-B51D-AC3ADDA2E64B}">
  <dimension ref="B2:J136"/>
  <sheetViews>
    <sheetView showGridLines="0" zoomScaleNormal="100" workbookViewId="0"/>
  </sheetViews>
  <sheetFormatPr defaultRowHeight="14.5" x14ac:dyDescent="0.35"/>
  <cols>
    <col min="2" max="2" width="14.54296875" customWidth="1"/>
    <col min="3" max="3" width="22.1796875" bestFit="1" customWidth="1"/>
    <col min="4" max="4" width="11.81640625" bestFit="1" customWidth="1"/>
    <col min="5" max="5" width="17.1796875" bestFit="1" customWidth="1"/>
    <col min="6" max="6" width="24.54296875" bestFit="1" customWidth="1"/>
    <col min="8" max="8" width="27.1796875" bestFit="1" customWidth="1"/>
  </cols>
  <sheetData>
    <row r="2" spans="2:10" x14ac:dyDescent="0.35">
      <c r="B2" t="s">
        <v>16</v>
      </c>
      <c r="C2" s="11">
        <v>0.1</v>
      </c>
    </row>
    <row r="3" spans="2:10" x14ac:dyDescent="0.35">
      <c r="B3" t="s">
        <v>86</v>
      </c>
      <c r="C3" s="33">
        <f>(1+C2)^(1/12)-1</f>
        <v>7.9741404289037643E-3</v>
      </c>
    </row>
    <row r="4" spans="2:10" x14ac:dyDescent="0.35">
      <c r="B4" t="s">
        <v>87</v>
      </c>
      <c r="C4" s="16">
        <v>73201.449248494115</v>
      </c>
      <c r="D4" t="s">
        <v>88</v>
      </c>
    </row>
    <row r="6" spans="2:10" x14ac:dyDescent="0.35">
      <c r="H6" s="27"/>
      <c r="I6" s="27"/>
      <c r="J6" s="27"/>
    </row>
    <row r="7" spans="2:10" x14ac:dyDescent="0.35">
      <c r="B7" t="s">
        <v>89</v>
      </c>
      <c r="H7" s="27"/>
      <c r="I7" s="27"/>
      <c r="J7" s="27"/>
    </row>
    <row r="8" spans="2:10" x14ac:dyDescent="0.35">
      <c r="B8" s="12" t="s">
        <v>90</v>
      </c>
      <c r="C8" s="21" t="s">
        <v>91</v>
      </c>
      <c r="D8" s="21" t="s">
        <v>92</v>
      </c>
      <c r="E8" s="21" t="s">
        <v>93</v>
      </c>
      <c r="H8" s="42"/>
      <c r="I8" s="27"/>
      <c r="J8" s="27"/>
    </row>
    <row r="9" spans="2:10" x14ac:dyDescent="0.35">
      <c r="B9" s="12">
        <v>0</v>
      </c>
      <c r="C9" s="21">
        <f>5000000/4</f>
        <v>1250000</v>
      </c>
      <c r="D9" s="21">
        <f>C9*(1+$C$2)^(2-B9)-C9</f>
        <v>262500.00000000023</v>
      </c>
      <c r="E9" s="21">
        <f>C9+D9</f>
        <v>1512500.0000000002</v>
      </c>
      <c r="H9" s="27"/>
      <c r="I9" s="27"/>
      <c r="J9" s="27"/>
    </row>
    <row r="10" spans="2:10" x14ac:dyDescent="0.35">
      <c r="B10" s="12">
        <v>0.5</v>
      </c>
      <c r="C10" s="21">
        <f t="shared" ref="C10:C12" si="0">5000000/4</f>
        <v>1250000</v>
      </c>
      <c r="D10" s="21">
        <f t="shared" ref="D10:D12" si="1">C10*(1+$C$2)^(2-B10)-C10</f>
        <v>192112.16623395868</v>
      </c>
      <c r="E10" s="21">
        <f t="shared" ref="E10:E12" si="2">C10+D10</f>
        <v>1442112.1662339587</v>
      </c>
    </row>
    <row r="11" spans="2:10" x14ac:dyDescent="0.35">
      <c r="B11" s="12">
        <v>1</v>
      </c>
      <c r="C11" s="21">
        <f t="shared" si="0"/>
        <v>1250000</v>
      </c>
      <c r="D11" s="21">
        <f t="shared" si="1"/>
        <v>125000</v>
      </c>
      <c r="E11" s="21">
        <f t="shared" si="2"/>
        <v>1375000</v>
      </c>
      <c r="H11" s="27"/>
    </row>
    <row r="12" spans="2:10" x14ac:dyDescent="0.35">
      <c r="B12" s="12">
        <v>1.5</v>
      </c>
      <c r="C12" s="21">
        <f t="shared" si="0"/>
        <v>1250000</v>
      </c>
      <c r="D12" s="21">
        <f t="shared" si="1"/>
        <v>61011.060212689452</v>
      </c>
      <c r="E12" s="21">
        <f t="shared" si="2"/>
        <v>1311011.0602126895</v>
      </c>
    </row>
    <row r="13" spans="2:10" x14ac:dyDescent="0.35">
      <c r="B13" s="12" t="s">
        <v>94</v>
      </c>
      <c r="C13" s="12"/>
      <c r="D13" s="12"/>
      <c r="E13" s="23">
        <f>SUM(E9:E12)</f>
        <v>5640623.2264466481</v>
      </c>
      <c r="F13" s="27"/>
    </row>
    <row r="16" spans="2:10" x14ac:dyDescent="0.35">
      <c r="B16" s="12" t="s">
        <v>95</v>
      </c>
      <c r="C16" s="12" t="s">
        <v>96</v>
      </c>
      <c r="D16" s="12" t="s">
        <v>92</v>
      </c>
      <c r="E16" s="12" t="s">
        <v>97</v>
      </c>
      <c r="F16" s="12" t="s">
        <v>98</v>
      </c>
    </row>
    <row r="17" spans="2:6" x14ac:dyDescent="0.35">
      <c r="B17" s="12">
        <v>25</v>
      </c>
      <c r="C17" s="21">
        <f>E13</f>
        <v>5640623.2264466481</v>
      </c>
      <c r="D17" s="21">
        <f>C17*$C$3</f>
        <v>44979.121714221808</v>
      </c>
      <c r="E17" s="21">
        <f>$C$4</f>
        <v>73201.449248494115</v>
      </c>
      <c r="F17" s="21">
        <f>C17+D17-E17</f>
        <v>5612400.8989123758</v>
      </c>
    </row>
    <row r="18" spans="2:6" x14ac:dyDescent="0.35">
      <c r="B18" s="12">
        <f>B17+1</f>
        <v>26</v>
      </c>
      <c r="C18" s="21">
        <f>F17</f>
        <v>5612400.8989123758</v>
      </c>
      <c r="D18" s="21">
        <f>C18*$C$3</f>
        <v>44754.072911233001</v>
      </c>
      <c r="E18" s="21">
        <f>$C$4</f>
        <v>73201.449248494115</v>
      </c>
      <c r="F18" s="21">
        <f>C18+D18-E18</f>
        <v>5583953.5225751139</v>
      </c>
    </row>
    <row r="19" spans="2:6" x14ac:dyDescent="0.35">
      <c r="B19" s="12">
        <f t="shared" ref="B19:B82" si="3">B18+1</f>
        <v>27</v>
      </c>
      <c r="C19" s="21">
        <f t="shared" ref="C19:C82" si="4">F18</f>
        <v>5583953.5225751139</v>
      </c>
      <c r="D19" s="21">
        <f t="shared" ref="D19:D82" si="5">C19*$C$3</f>
        <v>44527.229537485808</v>
      </c>
      <c r="E19" s="21">
        <f t="shared" ref="E19:E82" si="6">$C$4</f>
        <v>73201.449248494115</v>
      </c>
      <c r="F19" s="21">
        <f t="shared" ref="F19:F82" si="7">C19+D19-E19</f>
        <v>5555279.3028641064</v>
      </c>
    </row>
    <row r="20" spans="2:6" x14ac:dyDescent="0.35">
      <c r="B20" s="12">
        <f t="shared" si="3"/>
        <v>28</v>
      </c>
      <c r="C20" s="21">
        <f t="shared" si="4"/>
        <v>5555279.3028641064</v>
      </c>
      <c r="D20" s="21">
        <f t="shared" si="5"/>
        <v>44298.577282820988</v>
      </c>
      <c r="E20" s="21">
        <f t="shared" si="6"/>
        <v>73201.449248494115</v>
      </c>
      <c r="F20" s="21">
        <f t="shared" si="7"/>
        <v>5526376.4308984336</v>
      </c>
    </row>
    <row r="21" spans="2:6" x14ac:dyDescent="0.35">
      <c r="B21" s="12">
        <f t="shared" si="3"/>
        <v>29</v>
      </c>
      <c r="C21" s="21">
        <f t="shared" si="4"/>
        <v>5526376.4308984336</v>
      </c>
      <c r="D21" s="21">
        <f t="shared" si="5"/>
        <v>44068.101722968087</v>
      </c>
      <c r="E21" s="21">
        <f t="shared" si="6"/>
        <v>73201.449248494115</v>
      </c>
      <c r="F21" s="21">
        <f t="shared" si="7"/>
        <v>5497243.0833729077</v>
      </c>
    </row>
    <row r="22" spans="2:6" x14ac:dyDescent="0.35">
      <c r="B22" s="12">
        <f t="shared" si="3"/>
        <v>30</v>
      </c>
      <c r="C22" s="21">
        <f t="shared" si="4"/>
        <v>5497243.0833729077</v>
      </c>
      <c r="D22" s="21">
        <f t="shared" si="5"/>
        <v>43835.788318635488</v>
      </c>
      <c r="E22" s="21">
        <f t="shared" si="6"/>
        <v>73201.449248494115</v>
      </c>
      <c r="F22" s="21">
        <f t="shared" si="7"/>
        <v>5467877.422443049</v>
      </c>
    </row>
    <row r="23" spans="2:6" x14ac:dyDescent="0.35">
      <c r="B23" s="12">
        <f t="shared" si="3"/>
        <v>31</v>
      </c>
      <c r="C23" s="21">
        <f t="shared" si="4"/>
        <v>5467877.422443049</v>
      </c>
      <c r="D23" s="21">
        <f t="shared" si="5"/>
        <v>43601.622414593221</v>
      </c>
      <c r="E23" s="21">
        <f t="shared" si="6"/>
        <v>73201.449248494115</v>
      </c>
      <c r="F23" s="21">
        <f t="shared" si="7"/>
        <v>5438277.595609149</v>
      </c>
    </row>
    <row r="24" spans="2:6" x14ac:dyDescent="0.35">
      <c r="B24" s="12">
        <f t="shared" si="3"/>
        <v>32</v>
      </c>
      <c r="C24" s="21">
        <f t="shared" si="4"/>
        <v>5438277.595609149</v>
      </c>
      <c r="D24" s="21">
        <f t="shared" si="5"/>
        <v>43365.589238748471</v>
      </c>
      <c r="E24" s="21">
        <f t="shared" si="6"/>
        <v>73201.449248494115</v>
      </c>
      <c r="F24" s="21">
        <f t="shared" si="7"/>
        <v>5408441.7355994042</v>
      </c>
    </row>
    <row r="25" spans="2:6" x14ac:dyDescent="0.35">
      <c r="B25" s="12">
        <f t="shared" si="3"/>
        <v>33</v>
      </c>
      <c r="C25" s="21">
        <f t="shared" si="4"/>
        <v>5408441.7355994042</v>
      </c>
      <c r="D25" s="21">
        <f t="shared" si="5"/>
        <v>43127.673901213653</v>
      </c>
      <c r="E25" s="21">
        <f t="shared" si="6"/>
        <v>73201.449248494115</v>
      </c>
      <c r="F25" s="21">
        <f t="shared" si="7"/>
        <v>5378367.960252123</v>
      </c>
    </row>
    <row r="26" spans="2:6" x14ac:dyDescent="0.35">
      <c r="B26" s="12">
        <f t="shared" si="3"/>
        <v>34</v>
      </c>
      <c r="C26" s="21">
        <f t="shared" si="4"/>
        <v>5378367.960252123</v>
      </c>
      <c r="D26" s="21">
        <f t="shared" si="5"/>
        <v>42887.861393367129</v>
      </c>
      <c r="E26" s="21">
        <f t="shared" si="6"/>
        <v>73201.449248494115</v>
      </c>
      <c r="F26" s="21">
        <f t="shared" si="7"/>
        <v>5348054.3723969962</v>
      </c>
    </row>
    <row r="27" spans="2:6" x14ac:dyDescent="0.35">
      <c r="B27" s="12">
        <f t="shared" si="3"/>
        <v>35</v>
      </c>
      <c r="C27" s="21">
        <f t="shared" si="4"/>
        <v>5348054.3723969962</v>
      </c>
      <c r="D27" s="21">
        <f t="shared" si="5"/>
        <v>42646.136586906432</v>
      </c>
      <c r="E27" s="21">
        <f t="shared" si="6"/>
        <v>73201.449248494115</v>
      </c>
      <c r="F27" s="21">
        <f t="shared" si="7"/>
        <v>5317499.0597354081</v>
      </c>
    </row>
    <row r="28" spans="2:6" x14ac:dyDescent="0.35">
      <c r="B28" s="12">
        <f t="shared" si="3"/>
        <v>36</v>
      </c>
      <c r="C28" s="21">
        <f t="shared" si="4"/>
        <v>5317499.0597354081</v>
      </c>
      <c r="D28" s="21">
        <f t="shared" si="5"/>
        <v>42402.484232893868</v>
      </c>
      <c r="E28" s="21">
        <f t="shared" si="6"/>
        <v>73201.449248494115</v>
      </c>
      <c r="F28" s="21">
        <f t="shared" si="7"/>
        <v>5286700.0947198085</v>
      </c>
    </row>
    <row r="29" spans="2:6" x14ac:dyDescent="0.35">
      <c r="B29" s="12">
        <f t="shared" si="3"/>
        <v>37</v>
      </c>
      <c r="C29" s="21">
        <f t="shared" si="4"/>
        <v>5286700.0947198085</v>
      </c>
      <c r="D29" s="21">
        <f t="shared" si="5"/>
        <v>42156.888960794582</v>
      </c>
      <c r="E29" s="21">
        <f t="shared" si="6"/>
        <v>73201.449248494115</v>
      </c>
      <c r="F29" s="21">
        <f t="shared" si="7"/>
        <v>5255655.5344321094</v>
      </c>
    </row>
    <row r="30" spans="2:6" x14ac:dyDescent="0.35">
      <c r="B30" s="12">
        <f t="shared" si="3"/>
        <v>38</v>
      </c>
      <c r="C30" s="21">
        <f t="shared" si="4"/>
        <v>5255655.5344321094</v>
      </c>
      <c r="D30" s="21">
        <f t="shared" si="5"/>
        <v>41909.335277506907</v>
      </c>
      <c r="E30" s="21">
        <f t="shared" si="6"/>
        <v>73201.449248494115</v>
      </c>
      <c r="F30" s="21">
        <f t="shared" si="7"/>
        <v>5224363.4204611219</v>
      </c>
    </row>
    <row r="31" spans="2:6" x14ac:dyDescent="0.35">
      <c r="B31" s="12">
        <f t="shared" si="3"/>
        <v>39</v>
      </c>
      <c r="C31" s="21">
        <f t="shared" si="4"/>
        <v>5224363.4204611219</v>
      </c>
      <c r="D31" s="21">
        <f t="shared" si="5"/>
        <v>41659.807566384989</v>
      </c>
      <c r="E31" s="21">
        <f t="shared" si="6"/>
        <v>73201.449248494115</v>
      </c>
      <c r="F31" s="21">
        <f t="shared" si="7"/>
        <v>5192821.7787790131</v>
      </c>
    </row>
    <row r="32" spans="2:6" x14ac:dyDescent="0.35">
      <c r="B32" s="12">
        <f t="shared" si="3"/>
        <v>40</v>
      </c>
      <c r="C32" s="21">
        <f t="shared" si="4"/>
        <v>5192821.7787790131</v>
      </c>
      <c r="D32" s="21">
        <f t="shared" si="5"/>
        <v>41408.290086253684</v>
      </c>
      <c r="E32" s="21">
        <f t="shared" si="6"/>
        <v>73201.449248494115</v>
      </c>
      <c r="F32" s="21">
        <f t="shared" si="7"/>
        <v>5161028.619616773</v>
      </c>
    </row>
    <row r="33" spans="2:6" x14ac:dyDescent="0.35">
      <c r="B33" s="12">
        <f t="shared" si="3"/>
        <v>41</v>
      </c>
      <c r="C33" s="21">
        <f t="shared" si="4"/>
        <v>5161028.619616773</v>
      </c>
      <c r="D33" s="21">
        <f t="shared" si="5"/>
        <v>41154.766970415498</v>
      </c>
      <c r="E33" s="21">
        <f t="shared" si="6"/>
        <v>73201.449248494115</v>
      </c>
      <c r="F33" s="21">
        <f t="shared" si="7"/>
        <v>5128981.9373386949</v>
      </c>
    </row>
    <row r="34" spans="2:6" x14ac:dyDescent="0.35">
      <c r="B34" s="12">
        <f t="shared" si="3"/>
        <v>42</v>
      </c>
      <c r="C34" s="21">
        <f t="shared" si="4"/>
        <v>5128981.9373386949</v>
      </c>
      <c r="D34" s="21">
        <f t="shared" si="5"/>
        <v>40899.222225649639</v>
      </c>
      <c r="E34" s="21">
        <f t="shared" si="6"/>
        <v>73201.449248494115</v>
      </c>
      <c r="F34" s="21">
        <f t="shared" si="7"/>
        <v>5096679.7103158496</v>
      </c>
    </row>
    <row r="35" spans="2:6" x14ac:dyDescent="0.35">
      <c r="B35" s="12">
        <f t="shared" si="3"/>
        <v>43</v>
      </c>
      <c r="C35" s="21">
        <f t="shared" si="4"/>
        <v>5096679.7103158496</v>
      </c>
      <c r="D35" s="21">
        <f t="shared" si="5"/>
        <v>40641.63973120314</v>
      </c>
      <c r="E35" s="21">
        <f t="shared" si="6"/>
        <v>73201.449248494115</v>
      </c>
      <c r="F35" s="21">
        <f t="shared" si="7"/>
        <v>5064119.9007985592</v>
      </c>
    </row>
    <row r="36" spans="2:6" x14ac:dyDescent="0.35">
      <c r="B36" s="12">
        <f t="shared" si="3"/>
        <v>44</v>
      </c>
      <c r="C36" s="21">
        <f t="shared" si="4"/>
        <v>5064119.9007985592</v>
      </c>
      <c r="D36" s="21">
        <f t="shared" si="5"/>
        <v>40382.003237773912</v>
      </c>
      <c r="E36" s="21">
        <f t="shared" si="6"/>
        <v>73201.449248494115</v>
      </c>
      <c r="F36" s="21">
        <f t="shared" si="7"/>
        <v>5031300.4547878392</v>
      </c>
    </row>
    <row r="37" spans="2:6" x14ac:dyDescent="0.35">
      <c r="B37" s="12">
        <f t="shared" si="3"/>
        <v>45</v>
      </c>
      <c r="C37" s="21">
        <f t="shared" si="4"/>
        <v>5031300.4547878392</v>
      </c>
      <c r="D37" s="21">
        <f t="shared" si="5"/>
        <v>40120.296366485607</v>
      </c>
      <c r="E37" s="21">
        <f t="shared" si="6"/>
        <v>73201.449248494115</v>
      </c>
      <c r="F37" s="21">
        <f t="shared" si="7"/>
        <v>4998219.3019058313</v>
      </c>
    </row>
    <row r="38" spans="2:6" x14ac:dyDescent="0.35">
      <c r="B38" s="12">
        <f t="shared" si="3"/>
        <v>46</v>
      </c>
      <c r="C38" s="21">
        <f t="shared" si="4"/>
        <v>4998219.3019058313</v>
      </c>
      <c r="D38" s="21">
        <f t="shared" si="5"/>
        <v>39856.50260785444</v>
      </c>
      <c r="E38" s="21">
        <f t="shared" si="6"/>
        <v>73201.449248494115</v>
      </c>
      <c r="F38" s="21">
        <f t="shared" si="7"/>
        <v>4964874.3552651908</v>
      </c>
    </row>
    <row r="39" spans="2:6" x14ac:dyDescent="0.35">
      <c r="B39" s="12">
        <f t="shared" si="3"/>
        <v>47</v>
      </c>
      <c r="C39" s="21">
        <f t="shared" si="4"/>
        <v>4964874.3552651908</v>
      </c>
      <c r="D39" s="21">
        <f t="shared" si="5"/>
        <v>39590.605320747673</v>
      </c>
      <c r="E39" s="21">
        <f t="shared" si="6"/>
        <v>73201.449248494115</v>
      </c>
      <c r="F39" s="21">
        <f t="shared" si="7"/>
        <v>4931263.5113374442</v>
      </c>
    </row>
    <row r="40" spans="2:6" x14ac:dyDescent="0.35">
      <c r="B40" s="12">
        <f t="shared" si="3"/>
        <v>48</v>
      </c>
      <c r="C40" s="21">
        <f t="shared" si="4"/>
        <v>4931263.5113374442</v>
      </c>
      <c r="D40" s="21">
        <f t="shared" si="5"/>
        <v>39322.58773133385</v>
      </c>
      <c r="E40" s="21">
        <f t="shared" si="6"/>
        <v>73201.449248494115</v>
      </c>
      <c r="F40" s="21">
        <f t="shared" si="7"/>
        <v>4897384.6498202831</v>
      </c>
    </row>
    <row r="41" spans="2:6" x14ac:dyDescent="0.35">
      <c r="B41" s="12">
        <f t="shared" si="3"/>
        <v>49</v>
      </c>
      <c r="C41" s="21">
        <f t="shared" si="4"/>
        <v>4897384.6498202831</v>
      </c>
      <c r="D41" s="21">
        <f t="shared" si="5"/>
        <v>39052.432932024625</v>
      </c>
      <c r="E41" s="21">
        <f t="shared" si="6"/>
        <v>73201.449248494115</v>
      </c>
      <c r="F41" s="21">
        <f t="shared" si="7"/>
        <v>4863235.6335038133</v>
      </c>
    </row>
    <row r="42" spans="2:6" x14ac:dyDescent="0.35">
      <c r="B42" s="12">
        <f t="shared" si="3"/>
        <v>50</v>
      </c>
      <c r="C42" s="21">
        <f t="shared" si="4"/>
        <v>4863235.6335038133</v>
      </c>
      <c r="D42" s="21">
        <f t="shared" si="5"/>
        <v>38780.123880408166</v>
      </c>
      <c r="E42" s="21">
        <f t="shared" si="6"/>
        <v>73201.449248494115</v>
      </c>
      <c r="F42" s="21">
        <f t="shared" si="7"/>
        <v>4828814.3081357274</v>
      </c>
    </row>
    <row r="43" spans="2:6" x14ac:dyDescent="0.35">
      <c r="B43" s="12">
        <f t="shared" si="3"/>
        <v>51</v>
      </c>
      <c r="C43" s="21">
        <f t="shared" si="4"/>
        <v>4828814.3081357274</v>
      </c>
      <c r="D43" s="21">
        <f t="shared" si="5"/>
        <v>38505.643398174063</v>
      </c>
      <c r="E43" s="21">
        <f t="shared" si="6"/>
        <v>73201.449248494115</v>
      </c>
      <c r="F43" s="21">
        <f t="shared" si="7"/>
        <v>4794118.5022854079</v>
      </c>
    </row>
    <row r="44" spans="2:6" x14ac:dyDescent="0.35">
      <c r="B44" s="12">
        <f t="shared" si="3"/>
        <v>52</v>
      </c>
      <c r="C44" s="21">
        <f t="shared" si="4"/>
        <v>4794118.5022854079</v>
      </c>
      <c r="D44" s="21">
        <f t="shared" si="5"/>
        <v>38228.974170029636</v>
      </c>
      <c r="E44" s="21">
        <f t="shared" si="6"/>
        <v>73201.449248494115</v>
      </c>
      <c r="F44" s="21">
        <f t="shared" si="7"/>
        <v>4759146.0272069443</v>
      </c>
    </row>
    <row r="45" spans="2:6" x14ac:dyDescent="0.35">
      <c r="B45" s="12">
        <f t="shared" si="3"/>
        <v>53</v>
      </c>
      <c r="C45" s="21">
        <f t="shared" si="4"/>
        <v>4759146.0272069443</v>
      </c>
      <c r="D45" s="21">
        <f t="shared" si="5"/>
        <v>37950.098742607632</v>
      </c>
      <c r="E45" s="21">
        <f t="shared" si="6"/>
        <v>73201.449248494115</v>
      </c>
      <c r="F45" s="21">
        <f t="shared" si="7"/>
        <v>4723894.6767010577</v>
      </c>
    </row>
    <row r="46" spans="2:6" x14ac:dyDescent="0.35">
      <c r="B46" s="12">
        <f t="shared" si="3"/>
        <v>54</v>
      </c>
      <c r="C46" s="21">
        <f t="shared" si="4"/>
        <v>4723894.6767010577</v>
      </c>
      <c r="D46" s="21">
        <f t="shared" si="5"/>
        <v>37668.999523365179</v>
      </c>
      <c r="E46" s="21">
        <f t="shared" si="6"/>
        <v>73201.449248494115</v>
      </c>
      <c r="F46" s="21">
        <f t="shared" si="7"/>
        <v>4688362.226975929</v>
      </c>
    </row>
    <row r="47" spans="2:6" x14ac:dyDescent="0.35">
      <c r="B47" s="12">
        <f t="shared" si="3"/>
        <v>55</v>
      </c>
      <c r="C47" s="21">
        <f t="shared" si="4"/>
        <v>4688362.226975929</v>
      </c>
      <c r="D47" s="21">
        <f t="shared" si="5"/>
        <v>37385.658779474041</v>
      </c>
      <c r="E47" s="21">
        <f t="shared" si="6"/>
        <v>73201.449248494115</v>
      </c>
      <c r="F47" s="21">
        <f t="shared" si="7"/>
        <v>4652546.4365069084</v>
      </c>
    </row>
    <row r="48" spans="2:6" x14ac:dyDescent="0.35">
      <c r="B48" s="12">
        <f t="shared" si="3"/>
        <v>56</v>
      </c>
      <c r="C48" s="21">
        <f t="shared" si="4"/>
        <v>4652546.4365069084</v>
      </c>
      <c r="D48" s="21">
        <f t="shared" si="5"/>
        <v>37100.058636701877</v>
      </c>
      <c r="E48" s="21">
        <f t="shared" si="6"/>
        <v>73201.449248494115</v>
      </c>
      <c r="F48" s="21">
        <f t="shared" si="7"/>
        <v>4616445.0458951164</v>
      </c>
    </row>
    <row r="49" spans="2:6" x14ac:dyDescent="0.35">
      <c r="B49" s="12">
        <f t="shared" si="3"/>
        <v>57</v>
      </c>
      <c r="C49" s="21">
        <f t="shared" si="4"/>
        <v>4616445.0458951164</v>
      </c>
      <c r="D49" s="21">
        <f t="shared" si="5"/>
        <v>36812.181078284739</v>
      </c>
      <c r="E49" s="21">
        <f t="shared" si="6"/>
        <v>73201.449248494115</v>
      </c>
      <c r="F49" s="21">
        <f t="shared" si="7"/>
        <v>4580055.7777249068</v>
      </c>
    </row>
    <row r="50" spans="2:6" x14ac:dyDescent="0.35">
      <c r="B50" s="12">
        <f t="shared" si="3"/>
        <v>58</v>
      </c>
      <c r="C50" s="21">
        <f t="shared" si="4"/>
        <v>4580055.7777249068</v>
      </c>
      <c r="D50" s="21">
        <f t="shared" si="5"/>
        <v>36522.00794379045</v>
      </c>
      <c r="E50" s="21">
        <f t="shared" si="6"/>
        <v>73201.449248494115</v>
      </c>
      <c r="F50" s="21">
        <f t="shared" si="7"/>
        <v>4543376.3364202026</v>
      </c>
    </row>
    <row r="51" spans="2:6" x14ac:dyDescent="0.35">
      <c r="B51" s="12">
        <f t="shared" si="3"/>
        <v>59</v>
      </c>
      <c r="C51" s="21">
        <f t="shared" si="4"/>
        <v>4543376.3364202026</v>
      </c>
      <c r="D51" s="21">
        <f t="shared" si="5"/>
        <v>36229.520927973004</v>
      </c>
      <c r="E51" s="21">
        <f t="shared" si="6"/>
        <v>73201.449248494115</v>
      </c>
      <c r="F51" s="21">
        <f t="shared" si="7"/>
        <v>4506404.4080996811</v>
      </c>
    </row>
    <row r="52" spans="2:6" x14ac:dyDescent="0.35">
      <c r="B52" s="12">
        <f t="shared" si="3"/>
        <v>60</v>
      </c>
      <c r="C52" s="21">
        <f t="shared" si="4"/>
        <v>4506404.4080996811</v>
      </c>
      <c r="D52" s="21">
        <f t="shared" si="5"/>
        <v>35934.701579617802</v>
      </c>
      <c r="E52" s="21">
        <f t="shared" si="6"/>
        <v>73201.449248494115</v>
      </c>
      <c r="F52" s="21">
        <f t="shared" si="7"/>
        <v>4469137.6604308039</v>
      </c>
    </row>
    <row r="53" spans="2:6" x14ac:dyDescent="0.35">
      <c r="B53" s="12">
        <f t="shared" si="3"/>
        <v>61</v>
      </c>
      <c r="C53" s="21">
        <f t="shared" si="4"/>
        <v>4469137.6604308039</v>
      </c>
      <c r="D53" s="21">
        <f t="shared" si="5"/>
        <v>35637.531300377654</v>
      </c>
      <c r="E53" s="21">
        <f t="shared" si="6"/>
        <v>73201.449248494115</v>
      </c>
      <c r="F53" s="21">
        <f t="shared" si="7"/>
        <v>4431573.7424826883</v>
      </c>
    </row>
    <row r="54" spans="2:6" x14ac:dyDescent="0.35">
      <c r="B54" s="12">
        <f t="shared" si="3"/>
        <v>62</v>
      </c>
      <c r="C54" s="21">
        <f t="shared" si="4"/>
        <v>4431573.7424826883</v>
      </c>
      <c r="D54" s="21">
        <f t="shared" si="5"/>
        <v>35337.991343599562</v>
      </c>
      <c r="E54" s="21">
        <f t="shared" si="6"/>
        <v>73201.449248494115</v>
      </c>
      <c r="F54" s="21">
        <f t="shared" si="7"/>
        <v>4393710.2845777944</v>
      </c>
    </row>
    <row r="55" spans="2:6" x14ac:dyDescent="0.35">
      <c r="B55" s="12">
        <f t="shared" si="3"/>
        <v>63</v>
      </c>
      <c r="C55" s="21">
        <f t="shared" si="4"/>
        <v>4393710.2845777944</v>
      </c>
      <c r="D55" s="21">
        <f t="shared" si="5"/>
        <v>35036.062813142053</v>
      </c>
      <c r="E55" s="21">
        <f t="shared" si="6"/>
        <v>73201.449248494115</v>
      </c>
      <c r="F55" s="21">
        <f t="shared" si="7"/>
        <v>4355544.8981424421</v>
      </c>
    </row>
    <row r="56" spans="2:6" x14ac:dyDescent="0.35">
      <c r="B56" s="12">
        <f t="shared" si="3"/>
        <v>64</v>
      </c>
      <c r="C56" s="21">
        <f t="shared" si="4"/>
        <v>4355544.8981424421</v>
      </c>
      <c r="D56" s="21">
        <f t="shared" si="5"/>
        <v>34731.726662183173</v>
      </c>
      <c r="E56" s="21">
        <f t="shared" si="6"/>
        <v>73201.449248494115</v>
      </c>
      <c r="F56" s="21">
        <f t="shared" si="7"/>
        <v>4317075.1755561307</v>
      </c>
    </row>
    <row r="57" spans="2:6" x14ac:dyDescent="0.35">
      <c r="B57" s="12">
        <f t="shared" si="3"/>
        <v>65</v>
      </c>
      <c r="C57" s="21">
        <f t="shared" si="4"/>
        <v>4317075.1755561307</v>
      </c>
      <c r="D57" s="21">
        <f t="shared" si="5"/>
        <v>34424.963692018959</v>
      </c>
      <c r="E57" s="21">
        <f t="shared" si="6"/>
        <v>73201.449248494115</v>
      </c>
      <c r="F57" s="21">
        <f t="shared" si="7"/>
        <v>4278298.6899996549</v>
      </c>
    </row>
    <row r="58" spans="2:6" x14ac:dyDescent="0.35">
      <c r="B58" s="12">
        <f t="shared" si="3"/>
        <v>66</v>
      </c>
      <c r="C58" s="21">
        <f t="shared" si="4"/>
        <v>4278298.6899996549</v>
      </c>
      <c r="D58" s="21">
        <f t="shared" si="5"/>
        <v>34115.75455085226</v>
      </c>
      <c r="E58" s="21">
        <f t="shared" si="6"/>
        <v>73201.449248494115</v>
      </c>
      <c r="F58" s="21">
        <f t="shared" si="7"/>
        <v>4239212.9953020122</v>
      </c>
    </row>
    <row r="59" spans="2:6" x14ac:dyDescent="0.35">
      <c r="B59" s="12">
        <f t="shared" si="3"/>
        <v>67</v>
      </c>
      <c r="C59" s="21">
        <f t="shared" si="4"/>
        <v>4239212.9953020122</v>
      </c>
      <c r="D59" s="21">
        <f t="shared" si="5"/>
        <v>33804.079732571998</v>
      </c>
      <c r="E59" s="21">
        <f t="shared" si="6"/>
        <v>73201.449248494115</v>
      </c>
      <c r="F59" s="21">
        <f t="shared" si="7"/>
        <v>4199815.6257860903</v>
      </c>
    </row>
    <row r="60" spans="2:6" x14ac:dyDescent="0.35">
      <c r="B60" s="12">
        <f t="shared" si="3"/>
        <v>68</v>
      </c>
      <c r="C60" s="21">
        <f t="shared" si="4"/>
        <v>4199815.6257860903</v>
      </c>
      <c r="D60" s="21">
        <f t="shared" si="5"/>
        <v>33489.919575522625</v>
      </c>
      <c r="E60" s="21">
        <f t="shared" si="6"/>
        <v>73201.449248494115</v>
      </c>
      <c r="F60" s="21">
        <f t="shared" si="7"/>
        <v>4160104.0961131188</v>
      </c>
    </row>
    <row r="61" spans="2:6" x14ac:dyDescent="0.35">
      <c r="B61" s="12">
        <f t="shared" si="3"/>
        <v>69</v>
      </c>
      <c r="C61" s="21">
        <f t="shared" si="4"/>
        <v>4160104.0961131188</v>
      </c>
      <c r="D61" s="21">
        <f t="shared" si="5"/>
        <v>33173.25426126377</v>
      </c>
      <c r="E61" s="21">
        <f t="shared" si="6"/>
        <v>73201.449248494115</v>
      </c>
      <c r="F61" s="21">
        <f t="shared" si="7"/>
        <v>4120075.9011258883</v>
      </c>
    </row>
    <row r="62" spans="2:6" x14ac:dyDescent="0.35">
      <c r="B62" s="12">
        <f t="shared" si="3"/>
        <v>70</v>
      </c>
      <c r="C62" s="21">
        <f t="shared" si="4"/>
        <v>4120075.9011258883</v>
      </c>
      <c r="D62" s="21">
        <f t="shared" si="5"/>
        <v>32854.063813320055</v>
      </c>
      <c r="E62" s="21">
        <f t="shared" si="6"/>
        <v>73201.449248494115</v>
      </c>
      <c r="F62" s="21">
        <f t="shared" si="7"/>
        <v>4079728.5156907141</v>
      </c>
    </row>
    <row r="63" spans="2:6" x14ac:dyDescent="0.35">
      <c r="B63" s="12">
        <f t="shared" si="3"/>
        <v>71</v>
      </c>
      <c r="C63" s="21">
        <f t="shared" si="4"/>
        <v>4079728.5156907141</v>
      </c>
      <c r="D63" s="21">
        <f t="shared" si="5"/>
        <v>32532.328095920868</v>
      </c>
      <c r="E63" s="21">
        <f t="shared" si="6"/>
        <v>73201.449248494115</v>
      </c>
      <c r="F63" s="21">
        <f t="shared" si="7"/>
        <v>4039059.3945381409</v>
      </c>
    </row>
    <row r="64" spans="2:6" x14ac:dyDescent="0.35">
      <c r="B64" s="12">
        <f t="shared" si="3"/>
        <v>72</v>
      </c>
      <c r="C64" s="21">
        <f t="shared" si="4"/>
        <v>4039059.3945381409</v>
      </c>
      <c r="D64" s="21">
        <f t="shared" si="5"/>
        <v>32208.02681273015</v>
      </c>
      <c r="E64" s="21">
        <f t="shared" si="6"/>
        <v>73201.449248494115</v>
      </c>
      <c r="F64" s="21">
        <f t="shared" si="7"/>
        <v>3998065.9721023771</v>
      </c>
    </row>
    <row r="65" spans="2:6" x14ac:dyDescent="0.35">
      <c r="B65" s="12">
        <f t="shared" si="3"/>
        <v>73</v>
      </c>
      <c r="C65" s="21">
        <f t="shared" si="4"/>
        <v>3998065.9721023771</v>
      </c>
      <c r="D65" s="21">
        <f t="shared" si="5"/>
        <v>31881.139505565996</v>
      </c>
      <c r="E65" s="21">
        <f t="shared" si="6"/>
        <v>73201.449248494115</v>
      </c>
      <c r="F65" s="21">
        <f t="shared" si="7"/>
        <v>3956745.6623594491</v>
      </c>
    </row>
    <row r="66" spans="2:6" x14ac:dyDescent="0.35">
      <c r="B66" s="12">
        <f t="shared" si="3"/>
        <v>74</v>
      </c>
      <c r="C66" s="21">
        <f t="shared" si="4"/>
        <v>3956745.6623594491</v>
      </c>
      <c r="D66" s="21">
        <f t="shared" si="5"/>
        <v>31551.645553110087</v>
      </c>
      <c r="E66" s="21">
        <f t="shared" si="6"/>
        <v>73201.449248494115</v>
      </c>
      <c r="F66" s="21">
        <f t="shared" si="7"/>
        <v>3915095.8586640651</v>
      </c>
    </row>
    <row r="67" spans="2:6" x14ac:dyDescent="0.35">
      <c r="B67" s="12">
        <f t="shared" si="3"/>
        <v>75</v>
      </c>
      <c r="C67" s="21">
        <f t="shared" si="4"/>
        <v>3915095.8586640651</v>
      </c>
      <c r="D67" s="21">
        <f t="shared" si="5"/>
        <v>31219.524169606819</v>
      </c>
      <c r="E67" s="21">
        <f t="shared" si="6"/>
        <v>73201.449248494115</v>
      </c>
      <c r="F67" s="21">
        <f t="shared" si="7"/>
        <v>3873113.9335851776</v>
      </c>
    </row>
    <row r="68" spans="2:6" x14ac:dyDescent="0.35">
      <c r="B68" s="12">
        <f t="shared" si="3"/>
        <v>76</v>
      </c>
      <c r="C68" s="21">
        <f t="shared" si="4"/>
        <v>3873113.9335851776</v>
      </c>
      <c r="D68" s="21">
        <f t="shared" si="5"/>
        <v>30884.754403552055</v>
      </c>
      <c r="E68" s="21">
        <f t="shared" si="6"/>
        <v>73201.449248494115</v>
      </c>
      <c r="F68" s="21">
        <f t="shared" si="7"/>
        <v>3830797.2387402356</v>
      </c>
    </row>
    <row r="69" spans="2:6" x14ac:dyDescent="0.35">
      <c r="B69" s="12">
        <f t="shared" si="3"/>
        <v>77</v>
      </c>
      <c r="C69" s="21">
        <f t="shared" si="4"/>
        <v>3830797.2387402356</v>
      </c>
      <c r="D69" s="21">
        <f t="shared" si="5"/>
        <v>30547.315136371417</v>
      </c>
      <c r="E69" s="21">
        <f t="shared" si="6"/>
        <v>73201.449248494115</v>
      </c>
      <c r="F69" s="21">
        <f t="shared" si="7"/>
        <v>3788143.1046281131</v>
      </c>
    </row>
    <row r="70" spans="2:6" x14ac:dyDescent="0.35">
      <c r="B70" s="12">
        <f t="shared" si="3"/>
        <v>78</v>
      </c>
      <c r="C70" s="21">
        <f t="shared" si="4"/>
        <v>3788143.1046281131</v>
      </c>
      <c r="D70" s="21">
        <f t="shared" si="5"/>
        <v>30207.185081088061</v>
      </c>
      <c r="E70" s="21">
        <f t="shared" si="6"/>
        <v>73201.449248494115</v>
      </c>
      <c r="F70" s="21">
        <f t="shared" si="7"/>
        <v>3745148.840460707</v>
      </c>
    </row>
    <row r="71" spans="2:6" x14ac:dyDescent="0.35">
      <c r="B71" s="12">
        <f t="shared" si="3"/>
        <v>79</v>
      </c>
      <c r="C71" s="21">
        <f t="shared" si="4"/>
        <v>3745148.840460707</v>
      </c>
      <c r="D71" s="21">
        <f t="shared" si="5"/>
        <v>29864.342780979776</v>
      </c>
      <c r="E71" s="21">
        <f t="shared" si="6"/>
        <v>73201.449248494115</v>
      </c>
      <c r="F71" s="21">
        <f t="shared" si="7"/>
        <v>3701811.7339931927</v>
      </c>
    </row>
    <row r="72" spans="2:6" x14ac:dyDescent="0.35">
      <c r="B72" s="12">
        <f t="shared" si="3"/>
        <v>80</v>
      </c>
      <c r="C72" s="21">
        <f t="shared" si="4"/>
        <v>3701811.7339931927</v>
      </c>
      <c r="D72" s="21">
        <f t="shared" si="5"/>
        <v>29518.766608225465</v>
      </c>
      <c r="E72" s="21">
        <f t="shared" si="6"/>
        <v>73201.449248494115</v>
      </c>
      <c r="F72" s="21">
        <f t="shared" si="7"/>
        <v>3658129.0513529242</v>
      </c>
    </row>
    <row r="73" spans="2:6" x14ac:dyDescent="0.35">
      <c r="B73" s="12">
        <f t="shared" si="3"/>
        <v>81</v>
      </c>
      <c r="C73" s="21">
        <f t="shared" si="4"/>
        <v>3658129.0513529242</v>
      </c>
      <c r="D73" s="21">
        <f t="shared" si="5"/>
        <v>29170.434762540728</v>
      </c>
      <c r="E73" s="21">
        <f t="shared" si="6"/>
        <v>73201.449248494115</v>
      </c>
      <c r="F73" s="21">
        <f t="shared" si="7"/>
        <v>3614098.0368669708</v>
      </c>
    </row>
    <row r="74" spans="2:6" x14ac:dyDescent="0.35">
      <c r="B74" s="12">
        <f t="shared" si="3"/>
        <v>82</v>
      </c>
      <c r="C74" s="21">
        <f t="shared" si="4"/>
        <v>3614098.0368669708</v>
      </c>
      <c r="D74" s="21">
        <f t="shared" si="5"/>
        <v>28819.325269802641</v>
      </c>
      <c r="E74" s="21">
        <f t="shared" si="6"/>
        <v>73201.449248494115</v>
      </c>
      <c r="F74" s="21">
        <f t="shared" si="7"/>
        <v>3569715.9128882792</v>
      </c>
    </row>
    <row r="75" spans="2:6" x14ac:dyDescent="0.35">
      <c r="B75" s="12">
        <f t="shared" si="3"/>
        <v>83</v>
      </c>
      <c r="C75" s="21">
        <f t="shared" si="4"/>
        <v>3569715.9128882792</v>
      </c>
      <c r="D75" s="21">
        <f t="shared" si="5"/>
        <v>28465.415980663536</v>
      </c>
      <c r="E75" s="21">
        <f t="shared" si="6"/>
        <v>73201.449248494115</v>
      </c>
      <c r="F75" s="21">
        <f t="shared" si="7"/>
        <v>3524979.8796204487</v>
      </c>
    </row>
    <row r="76" spans="2:6" x14ac:dyDescent="0.35">
      <c r="B76" s="12">
        <f t="shared" si="3"/>
        <v>84</v>
      </c>
      <c r="C76" s="21">
        <f t="shared" si="4"/>
        <v>3524979.8796204487</v>
      </c>
      <c r="D76" s="21">
        <f t="shared" si="5"/>
        <v>28108.684569153746</v>
      </c>
      <c r="E76" s="21">
        <f t="shared" si="6"/>
        <v>73201.449248494115</v>
      </c>
      <c r="F76" s="21">
        <f t="shared" si="7"/>
        <v>3479887.1149411085</v>
      </c>
    </row>
    <row r="77" spans="2:6" x14ac:dyDescent="0.35">
      <c r="B77" s="12">
        <f t="shared" si="3"/>
        <v>85</v>
      </c>
      <c r="C77" s="21">
        <f t="shared" si="4"/>
        <v>3479887.1149411085</v>
      </c>
      <c r="D77" s="21">
        <f t="shared" si="5"/>
        <v>27749.108531273174</v>
      </c>
      <c r="E77" s="21">
        <f t="shared" si="6"/>
        <v>73201.449248494115</v>
      </c>
      <c r="F77" s="21">
        <f t="shared" si="7"/>
        <v>3434434.7742238874</v>
      </c>
    </row>
    <row r="78" spans="2:6" x14ac:dyDescent="0.35">
      <c r="B78" s="12">
        <f t="shared" si="3"/>
        <v>86</v>
      </c>
      <c r="C78" s="21">
        <f t="shared" si="4"/>
        <v>3434434.7742238874</v>
      </c>
      <c r="D78" s="21">
        <f t="shared" si="5"/>
        <v>27386.665183571673</v>
      </c>
      <c r="E78" s="21">
        <f t="shared" si="6"/>
        <v>73201.449248494115</v>
      </c>
      <c r="F78" s="21">
        <f t="shared" si="7"/>
        <v>3388619.9901589649</v>
      </c>
    </row>
    <row r="79" spans="2:6" x14ac:dyDescent="0.35">
      <c r="B79" s="12">
        <f t="shared" si="3"/>
        <v>87</v>
      </c>
      <c r="C79" s="21">
        <f t="shared" si="4"/>
        <v>3388619.9901589649</v>
      </c>
      <c r="D79" s="21">
        <f t="shared" si="5"/>
        <v>27021.331661718079</v>
      </c>
      <c r="E79" s="21">
        <f t="shared" si="6"/>
        <v>73201.449248494115</v>
      </c>
      <c r="F79" s="21">
        <f t="shared" si="7"/>
        <v>3342439.8725721887</v>
      </c>
    </row>
    <row r="80" spans="2:6" x14ac:dyDescent="0.35">
      <c r="B80" s="12">
        <f t="shared" si="3"/>
        <v>88</v>
      </c>
      <c r="C80" s="21">
        <f t="shared" si="4"/>
        <v>3342439.8725721887</v>
      </c>
      <c r="D80" s="21">
        <f t="shared" si="5"/>
        <v>26653.084919057837</v>
      </c>
      <c r="E80" s="21">
        <f t="shared" si="6"/>
        <v>73201.449248494115</v>
      </c>
      <c r="F80" s="21">
        <f t="shared" si="7"/>
        <v>3295891.5082427524</v>
      </c>
    </row>
    <row r="81" spans="2:6" x14ac:dyDescent="0.35">
      <c r="B81" s="12">
        <f t="shared" si="3"/>
        <v>89</v>
      </c>
      <c r="C81" s="21">
        <f t="shared" si="4"/>
        <v>3295891.5082427524</v>
      </c>
      <c r="D81" s="21">
        <f t="shared" si="5"/>
        <v>26281.901725159136</v>
      </c>
      <c r="E81" s="21">
        <f t="shared" si="6"/>
        <v>73201.449248494115</v>
      </c>
      <c r="F81" s="21">
        <f t="shared" si="7"/>
        <v>3248971.9607194173</v>
      </c>
    </row>
    <row r="82" spans="2:6" x14ac:dyDescent="0.35">
      <c r="B82" s="12">
        <f t="shared" si="3"/>
        <v>90</v>
      </c>
      <c r="C82" s="21">
        <f t="shared" si="4"/>
        <v>3248971.9607194173</v>
      </c>
      <c r="D82" s="21">
        <f t="shared" si="5"/>
        <v>25907.758664347439</v>
      </c>
      <c r="E82" s="21">
        <f t="shared" si="6"/>
        <v>73201.449248494115</v>
      </c>
      <c r="F82" s="21">
        <f t="shared" si="7"/>
        <v>3201678.2701352704</v>
      </c>
    </row>
    <row r="83" spans="2:6" x14ac:dyDescent="0.35">
      <c r="B83" s="12">
        <f t="shared" ref="B83:B136" si="8">B82+1</f>
        <v>91</v>
      </c>
      <c r="C83" s="21">
        <f t="shared" ref="C83:C136" si="9">F82</f>
        <v>3201678.2701352704</v>
      </c>
      <c r="D83" s="21">
        <f t="shared" ref="D83:D136" si="10">C83*$C$3</f>
        <v>25530.632134228326</v>
      </c>
      <c r="E83" s="21">
        <f t="shared" ref="E83:E136" si="11">$C$4</f>
        <v>73201.449248494115</v>
      </c>
      <c r="F83" s="21">
        <f t="shared" ref="F83:F136" si="12">C83+D83-E83</f>
        <v>3154007.4530210048</v>
      </c>
    </row>
    <row r="84" spans="2:6" x14ac:dyDescent="0.35">
      <c r="B84" s="12">
        <f t="shared" si="8"/>
        <v>92</v>
      </c>
      <c r="C84" s="21">
        <f t="shared" si="9"/>
        <v>3154007.4530210048</v>
      </c>
      <c r="D84" s="21">
        <f t="shared" si="10"/>
        <v>25150.498344198586</v>
      </c>
      <c r="E84" s="21">
        <f t="shared" si="11"/>
        <v>73201.449248494115</v>
      </c>
      <c r="F84" s="21">
        <f t="shared" si="12"/>
        <v>3105956.5021167095</v>
      </c>
    </row>
    <row r="85" spans="2:6" x14ac:dyDescent="0.35">
      <c r="B85" s="12">
        <f t="shared" si="8"/>
        <v>93</v>
      </c>
      <c r="C85" s="21">
        <f t="shared" si="9"/>
        <v>3105956.5021167095</v>
      </c>
      <c r="D85" s="21">
        <f t="shared" si="10"/>
        <v>24767.333313945372</v>
      </c>
      <c r="E85" s="21">
        <f t="shared" si="11"/>
        <v>73201.449248494115</v>
      </c>
      <c r="F85" s="21">
        <f t="shared" si="12"/>
        <v>3057522.3861821606</v>
      </c>
    </row>
    <row r="86" spans="2:6" x14ac:dyDescent="0.35">
      <c r="B86" s="12">
        <f t="shared" si="8"/>
        <v>94</v>
      </c>
      <c r="C86" s="21">
        <f t="shared" si="9"/>
        <v>3057522.3861821606</v>
      </c>
      <c r="D86" s="21">
        <f t="shared" si="10"/>
        <v>24381.112871933474</v>
      </c>
      <c r="E86" s="21">
        <f t="shared" si="11"/>
        <v>73201.449248494115</v>
      </c>
      <c r="F86" s="21">
        <f t="shared" si="12"/>
        <v>3008702.0498055997</v>
      </c>
    </row>
    <row r="87" spans="2:6" x14ac:dyDescent="0.35">
      <c r="B87" s="12">
        <f t="shared" si="8"/>
        <v>95</v>
      </c>
      <c r="C87" s="21">
        <f t="shared" si="9"/>
        <v>3008702.0498055997</v>
      </c>
      <c r="D87" s="21">
        <f t="shared" si="10"/>
        <v>23991.812653880461</v>
      </c>
      <c r="E87" s="21">
        <f t="shared" si="11"/>
        <v>73201.449248494115</v>
      </c>
      <c r="F87" s="21">
        <f t="shared" si="12"/>
        <v>2959492.4132109862</v>
      </c>
    </row>
    <row r="88" spans="2:6" x14ac:dyDescent="0.35">
      <c r="B88" s="12">
        <f t="shared" si="8"/>
        <v>96</v>
      </c>
      <c r="C88" s="21">
        <f t="shared" si="9"/>
        <v>2959492.4132109862</v>
      </c>
      <c r="D88" s="21">
        <f t="shared" si="10"/>
        <v>23599.408101219691</v>
      </c>
      <c r="E88" s="21">
        <f t="shared" si="11"/>
        <v>73201.449248494115</v>
      </c>
      <c r="F88" s="21">
        <f t="shared" si="12"/>
        <v>2909890.3720637118</v>
      </c>
    </row>
    <row r="89" spans="2:6" x14ac:dyDescent="0.35">
      <c r="B89" s="12">
        <f t="shared" si="8"/>
        <v>97</v>
      </c>
      <c r="C89" s="21">
        <f t="shared" si="9"/>
        <v>2909890.3720637118</v>
      </c>
      <c r="D89" s="21">
        <f t="shared" si="10"/>
        <v>23203.874459551062</v>
      </c>
      <c r="E89" s="21">
        <f t="shared" si="11"/>
        <v>73201.449248494115</v>
      </c>
      <c r="F89" s="21">
        <f t="shared" si="12"/>
        <v>2859892.7972747688</v>
      </c>
    </row>
    <row r="90" spans="2:6" x14ac:dyDescent="0.35">
      <c r="B90" s="12">
        <f t="shared" si="8"/>
        <v>98</v>
      </c>
      <c r="C90" s="21">
        <f t="shared" si="9"/>
        <v>2859892.7972747688</v>
      </c>
      <c r="D90" s="21">
        <f t="shared" si="10"/>
        <v>22805.186777079412</v>
      </c>
      <c r="E90" s="21">
        <f t="shared" si="11"/>
        <v>73201.449248494115</v>
      </c>
      <c r="F90" s="21">
        <f t="shared" si="12"/>
        <v>2809496.5348033542</v>
      </c>
    </row>
    <row r="91" spans="2:6" x14ac:dyDescent="0.35">
      <c r="B91" s="12">
        <f t="shared" si="8"/>
        <v>99</v>
      </c>
      <c r="C91" s="21">
        <f t="shared" si="9"/>
        <v>2809496.5348033542</v>
      </c>
      <c r="D91" s="21">
        <f t="shared" si="10"/>
        <v>22403.319903040458</v>
      </c>
      <c r="E91" s="21">
        <f t="shared" si="11"/>
        <v>73201.449248494115</v>
      </c>
      <c r="F91" s="21">
        <f t="shared" si="12"/>
        <v>2758698.4054579004</v>
      </c>
    </row>
    <row r="92" spans="2:6" x14ac:dyDescent="0.35">
      <c r="B92" s="12">
        <f t="shared" si="8"/>
        <v>100</v>
      </c>
      <c r="C92" s="21">
        <f t="shared" si="9"/>
        <v>2758698.4054579004</v>
      </c>
      <c r="D92" s="21">
        <f t="shared" si="10"/>
        <v>21998.248486114193</v>
      </c>
      <c r="E92" s="21">
        <f t="shared" si="11"/>
        <v>73201.449248494115</v>
      </c>
      <c r="F92" s="21">
        <f t="shared" si="12"/>
        <v>2707495.2046955205</v>
      </c>
    </row>
    <row r="93" spans="2:6" x14ac:dyDescent="0.35">
      <c r="B93" s="12">
        <f t="shared" si="8"/>
        <v>101</v>
      </c>
      <c r="C93" s="21">
        <f t="shared" si="9"/>
        <v>2707495.2046955205</v>
      </c>
      <c r="D93" s="21">
        <f t="shared" si="10"/>
        <v>21589.946972825623</v>
      </c>
      <c r="E93" s="21">
        <f t="shared" si="11"/>
        <v>73201.449248494115</v>
      </c>
      <c r="F93" s="21">
        <f t="shared" si="12"/>
        <v>2655883.7024198519</v>
      </c>
    </row>
    <row r="94" spans="2:6" x14ac:dyDescent="0.35">
      <c r="B94" s="12">
        <f t="shared" si="8"/>
        <v>102</v>
      </c>
      <c r="C94" s="21">
        <f t="shared" si="9"/>
        <v>2655883.7024198519</v>
      </c>
      <c r="D94" s="21">
        <f t="shared" si="10"/>
        <v>21178.389605932756</v>
      </c>
      <c r="E94" s="21">
        <f t="shared" si="11"/>
        <v>73201.449248494115</v>
      </c>
      <c r="F94" s="21">
        <f t="shared" si="12"/>
        <v>2603860.6427772907</v>
      </c>
    </row>
    <row r="95" spans="2:6" x14ac:dyDescent="0.35">
      <c r="B95" s="12">
        <f t="shared" si="8"/>
        <v>103</v>
      </c>
      <c r="C95" s="21">
        <f t="shared" si="9"/>
        <v>2603860.6427772907</v>
      </c>
      <c r="D95" s="21">
        <f t="shared" si="10"/>
        <v>20763.550422801734</v>
      </c>
      <c r="E95" s="21">
        <f t="shared" si="11"/>
        <v>73201.449248494115</v>
      </c>
      <c r="F95" s="21">
        <f t="shared" si="12"/>
        <v>2551422.7439515982</v>
      </c>
    </row>
    <row r="96" spans="2:6" x14ac:dyDescent="0.35">
      <c r="B96" s="12">
        <f t="shared" si="8"/>
        <v>104</v>
      </c>
      <c r="C96" s="21">
        <f t="shared" si="9"/>
        <v>2551422.7439515982</v>
      </c>
      <c r="D96" s="21">
        <f t="shared" si="10"/>
        <v>20345.403253769015</v>
      </c>
      <c r="E96" s="21">
        <f t="shared" si="11"/>
        <v>73201.449248494115</v>
      </c>
      <c r="F96" s="21">
        <f t="shared" si="12"/>
        <v>2498566.6979568731</v>
      </c>
    </row>
    <row r="97" spans="2:6" x14ac:dyDescent="0.35">
      <c r="B97" s="12">
        <f t="shared" si="8"/>
        <v>105</v>
      </c>
      <c r="C97" s="21">
        <f t="shared" si="9"/>
        <v>2498566.6979568731</v>
      </c>
      <c r="D97" s="21">
        <f t="shared" si="10"/>
        <v>19923.921720490482</v>
      </c>
      <c r="E97" s="21">
        <f t="shared" si="11"/>
        <v>73201.449248494115</v>
      </c>
      <c r="F97" s="21">
        <f t="shared" si="12"/>
        <v>2445289.1704288693</v>
      </c>
    </row>
    <row r="98" spans="2:6" x14ac:dyDescent="0.35">
      <c r="B98" s="12">
        <f t="shared" si="8"/>
        <v>106</v>
      </c>
      <c r="C98" s="21">
        <f t="shared" si="9"/>
        <v>2445289.1704288693</v>
      </c>
      <c r="D98" s="21">
        <f t="shared" si="10"/>
        <v>19499.079234277393</v>
      </c>
      <c r="E98" s="21">
        <f t="shared" si="11"/>
        <v>73201.449248494115</v>
      </c>
      <c r="F98" s="21">
        <f t="shared" si="12"/>
        <v>2391586.8004146526</v>
      </c>
    </row>
    <row r="99" spans="2:6" x14ac:dyDescent="0.35">
      <c r="B99" s="12">
        <f t="shared" si="8"/>
        <v>107</v>
      </c>
      <c r="C99" s="21">
        <f t="shared" si="9"/>
        <v>2391586.8004146526</v>
      </c>
      <c r="D99" s="21">
        <f t="shared" si="10"/>
        <v>19070.848994419081</v>
      </c>
      <c r="E99" s="21">
        <f t="shared" si="11"/>
        <v>73201.449248494115</v>
      </c>
      <c r="F99" s="21">
        <f t="shared" si="12"/>
        <v>2337456.2001605774</v>
      </c>
    </row>
    <row r="100" spans="2:6" x14ac:dyDescent="0.35">
      <c r="B100" s="12">
        <f t="shared" si="8"/>
        <v>108</v>
      </c>
      <c r="C100" s="21">
        <f t="shared" si="9"/>
        <v>2337456.2001605774</v>
      </c>
      <c r="D100" s="21">
        <f t="shared" si="10"/>
        <v>18639.20398649223</v>
      </c>
      <c r="E100" s="21">
        <f t="shared" si="11"/>
        <v>73201.449248494115</v>
      </c>
      <c r="F100" s="21">
        <f t="shared" si="12"/>
        <v>2282893.9548985753</v>
      </c>
    </row>
    <row r="101" spans="2:6" x14ac:dyDescent="0.35">
      <c r="B101" s="12">
        <f t="shared" si="8"/>
        <v>109</v>
      </c>
      <c r="C101" s="21">
        <f t="shared" si="9"/>
        <v>2282893.9548985753</v>
      </c>
      <c r="D101" s="21">
        <f t="shared" si="10"/>
        <v>18204.116980656738</v>
      </c>
      <c r="E101" s="21">
        <f t="shared" si="11"/>
        <v>73201.449248494115</v>
      </c>
      <c r="F101" s="21">
        <f t="shared" si="12"/>
        <v>2227896.6226307377</v>
      </c>
    </row>
    <row r="102" spans="2:6" x14ac:dyDescent="0.35">
      <c r="B102" s="12">
        <f t="shared" si="8"/>
        <v>110</v>
      </c>
      <c r="C102" s="21">
        <f t="shared" si="9"/>
        <v>2227896.6226307377</v>
      </c>
      <c r="D102" s="21">
        <f t="shared" si="10"/>
        <v>17765.56052993792</v>
      </c>
      <c r="E102" s="21">
        <f t="shared" si="11"/>
        <v>73201.449248494115</v>
      </c>
      <c r="F102" s="21">
        <f t="shared" si="12"/>
        <v>2172460.7339121816</v>
      </c>
    </row>
    <row r="103" spans="2:6" x14ac:dyDescent="0.35">
      <c r="B103" s="12">
        <f t="shared" si="8"/>
        <v>111</v>
      </c>
      <c r="C103" s="21">
        <f t="shared" si="9"/>
        <v>2172460.7339121816</v>
      </c>
      <c r="D103" s="21">
        <f t="shared" si="10"/>
        <v>17323.506968495069</v>
      </c>
      <c r="E103" s="21">
        <f t="shared" si="11"/>
        <v>73201.449248494115</v>
      </c>
      <c r="F103" s="21">
        <f t="shared" si="12"/>
        <v>2116582.7916321824</v>
      </c>
    </row>
    <row r="104" spans="2:6" x14ac:dyDescent="0.35">
      <c r="B104" s="12">
        <f t="shared" si="8"/>
        <v>112</v>
      </c>
      <c r="C104" s="21">
        <f t="shared" si="9"/>
        <v>2116582.7916321824</v>
      </c>
      <c r="D104" s="21">
        <f t="shared" si="10"/>
        <v>16877.928409876178</v>
      </c>
      <c r="E104" s="21">
        <f t="shared" si="11"/>
        <v>73201.449248494115</v>
      </c>
      <c r="F104" s="21">
        <f t="shared" si="12"/>
        <v>2060259.2707935646</v>
      </c>
    </row>
    <row r="105" spans="2:6" x14ac:dyDescent="0.35">
      <c r="B105" s="12">
        <f t="shared" si="8"/>
        <v>113</v>
      </c>
      <c r="C105" s="21">
        <f t="shared" si="9"/>
        <v>2060259.2707935646</v>
      </c>
      <c r="D105" s="21">
        <f t="shared" si="10"/>
        <v>16428.796745258751</v>
      </c>
      <c r="E105" s="21">
        <f t="shared" si="11"/>
        <v>73201.449248494115</v>
      </c>
      <c r="F105" s="21">
        <f t="shared" si="12"/>
        <v>2003486.6182903294</v>
      </c>
    </row>
    <row r="106" spans="2:6" x14ac:dyDescent="0.35">
      <c r="B106" s="12">
        <f t="shared" si="8"/>
        <v>114</v>
      </c>
      <c r="C106" s="21">
        <f t="shared" si="9"/>
        <v>2003486.6182903294</v>
      </c>
      <c r="D106" s="21">
        <f t="shared" si="10"/>
        <v>15976.0836416766</v>
      </c>
      <c r="E106" s="21">
        <f t="shared" si="11"/>
        <v>73201.449248494115</v>
      </c>
      <c r="F106" s="21">
        <f t="shared" si="12"/>
        <v>1946261.2526835119</v>
      </c>
    </row>
    <row r="107" spans="2:6" x14ac:dyDescent="0.35">
      <c r="B107" s="12">
        <f t="shared" si="8"/>
        <v>115</v>
      </c>
      <c r="C107" s="21">
        <f t="shared" si="9"/>
        <v>1946261.2526835119</v>
      </c>
      <c r="D107" s="21">
        <f t="shared" si="10"/>
        <v>15519.760540232477</v>
      </c>
      <c r="E107" s="21">
        <f t="shared" si="11"/>
        <v>73201.449248494115</v>
      </c>
      <c r="F107" s="21">
        <f t="shared" si="12"/>
        <v>1888579.5639752503</v>
      </c>
    </row>
    <row r="108" spans="2:6" x14ac:dyDescent="0.35">
      <c r="B108" s="12">
        <f t="shared" si="8"/>
        <v>116</v>
      </c>
      <c r="C108" s="21">
        <f t="shared" si="9"/>
        <v>1888579.5639752503</v>
      </c>
      <c r="D108" s="21">
        <f t="shared" si="10"/>
        <v>15059.798654296486</v>
      </c>
      <c r="E108" s="21">
        <f t="shared" si="11"/>
        <v>73201.449248494115</v>
      </c>
      <c r="F108" s="21">
        <f t="shared" si="12"/>
        <v>1830437.9133810527</v>
      </c>
    </row>
    <row r="109" spans="2:6" x14ac:dyDescent="0.35">
      <c r="B109" s="12">
        <f t="shared" si="8"/>
        <v>117</v>
      </c>
      <c r="C109" s="21">
        <f t="shared" si="9"/>
        <v>1830437.9133810527</v>
      </c>
      <c r="D109" s="21">
        <f t="shared" si="10"/>
        <v>14596.168967690099</v>
      </c>
      <c r="E109" s="21">
        <f t="shared" si="11"/>
        <v>73201.449248494115</v>
      </c>
      <c r="F109" s="21">
        <f t="shared" si="12"/>
        <v>1771832.6331002486</v>
      </c>
    </row>
    <row r="110" spans="2:6" x14ac:dyDescent="0.35">
      <c r="B110" s="12">
        <f t="shared" si="8"/>
        <v>118</v>
      </c>
      <c r="C110" s="21">
        <f t="shared" si="9"/>
        <v>1771832.6331002486</v>
      </c>
      <c r="D110" s="21">
        <f t="shared" si="10"/>
        <v>14128.842232855703</v>
      </c>
      <c r="E110" s="21">
        <f t="shared" si="11"/>
        <v>73201.449248494115</v>
      </c>
      <c r="F110" s="21">
        <f t="shared" si="12"/>
        <v>1712760.0260846103</v>
      </c>
    </row>
    <row r="111" spans="2:6" x14ac:dyDescent="0.35">
      <c r="B111" s="12">
        <f t="shared" si="8"/>
        <v>119</v>
      </c>
      <c r="C111" s="21">
        <f t="shared" si="9"/>
        <v>1712760.0260846103</v>
      </c>
      <c r="D111" s="21">
        <f t="shared" si="10"/>
        <v>13657.788969011557</v>
      </c>
      <c r="E111" s="21">
        <f t="shared" si="11"/>
        <v>73201.449248494115</v>
      </c>
      <c r="F111" s="21">
        <f t="shared" si="12"/>
        <v>1653216.3658051277</v>
      </c>
    </row>
    <row r="112" spans="2:6" x14ac:dyDescent="0.35">
      <c r="B112" s="12">
        <f t="shared" si="8"/>
        <v>120</v>
      </c>
      <c r="C112" s="21">
        <f t="shared" si="9"/>
        <v>1653216.3658051277</v>
      </c>
      <c r="D112" s="21">
        <f t="shared" si="10"/>
        <v>13182.979460292023</v>
      </c>
      <c r="E112" s="21">
        <f t="shared" si="11"/>
        <v>73201.449248494115</v>
      </c>
      <c r="F112" s="21">
        <f t="shared" si="12"/>
        <v>1593197.8960169256</v>
      </c>
    </row>
    <row r="113" spans="2:6" x14ac:dyDescent="0.35">
      <c r="B113" s="12">
        <f t="shared" si="8"/>
        <v>121</v>
      </c>
      <c r="C113" s="21">
        <f t="shared" si="9"/>
        <v>1593197.8960169256</v>
      </c>
      <c r="D113" s="21">
        <f t="shared" si="10"/>
        <v>12704.383753872982</v>
      </c>
      <c r="E113" s="21">
        <f t="shared" si="11"/>
        <v>73201.449248494115</v>
      </c>
      <c r="F113" s="21">
        <f t="shared" si="12"/>
        <v>1532700.8305223044</v>
      </c>
    </row>
    <row r="114" spans="2:6" x14ac:dyDescent="0.35">
      <c r="B114" s="12">
        <f t="shared" si="8"/>
        <v>122</v>
      </c>
      <c r="C114" s="21">
        <f t="shared" si="9"/>
        <v>1532700.8305223044</v>
      </c>
      <c r="D114" s="21">
        <f t="shared" si="10"/>
        <v>12221.971658082284</v>
      </c>
      <c r="E114" s="21">
        <f t="shared" si="11"/>
        <v>73201.449248494115</v>
      </c>
      <c r="F114" s="21">
        <f t="shared" si="12"/>
        <v>1471721.3529318925</v>
      </c>
    </row>
    <row r="115" spans="2:6" x14ac:dyDescent="0.35">
      <c r="B115" s="12">
        <f t="shared" si="8"/>
        <v>123</v>
      </c>
      <c r="C115" s="21">
        <f t="shared" si="9"/>
        <v>1471721.3529318925</v>
      </c>
      <c r="D115" s="21">
        <f t="shared" si="10"/>
        <v>11735.71274049515</v>
      </c>
      <c r="E115" s="21">
        <f t="shared" si="11"/>
        <v>73201.449248494115</v>
      </c>
      <c r="F115" s="21">
        <f t="shared" si="12"/>
        <v>1410255.6164238935</v>
      </c>
    </row>
    <row r="116" spans="2:6" x14ac:dyDescent="0.35">
      <c r="B116" s="12">
        <f t="shared" si="8"/>
        <v>124</v>
      </c>
      <c r="C116" s="21">
        <f t="shared" si="9"/>
        <v>1410255.6164238935</v>
      </c>
      <c r="D116" s="21">
        <f t="shared" si="10"/>
        <v>11245.576326014369</v>
      </c>
      <c r="E116" s="21">
        <f t="shared" si="11"/>
        <v>73201.449248494115</v>
      </c>
      <c r="F116" s="21">
        <f t="shared" si="12"/>
        <v>1348299.7435014138</v>
      </c>
    </row>
    <row r="117" spans="2:6" x14ac:dyDescent="0.35">
      <c r="B117" s="12">
        <f t="shared" si="8"/>
        <v>125</v>
      </c>
      <c r="C117" s="21">
        <f t="shared" si="9"/>
        <v>1348299.7435014138</v>
      </c>
      <c r="D117" s="21">
        <f t="shared" si="10"/>
        <v>10751.5314949352</v>
      </c>
      <c r="E117" s="21">
        <f t="shared" si="11"/>
        <v>73201.449248494115</v>
      </c>
      <c r="F117" s="21">
        <f t="shared" si="12"/>
        <v>1285849.825747855</v>
      </c>
    </row>
    <row r="118" spans="2:6" x14ac:dyDescent="0.35">
      <c r="B118" s="12">
        <f t="shared" si="8"/>
        <v>126</v>
      </c>
      <c r="C118" s="21">
        <f t="shared" si="9"/>
        <v>1285849.825747855</v>
      </c>
      <c r="D118" s="21">
        <f t="shared" si="10"/>
        <v>10253.547080994831</v>
      </c>
      <c r="E118" s="21">
        <f t="shared" si="11"/>
        <v>73201.449248494115</v>
      </c>
      <c r="F118" s="21">
        <f t="shared" si="12"/>
        <v>1222901.9235803557</v>
      </c>
    </row>
    <row r="119" spans="2:6" x14ac:dyDescent="0.35">
      <c r="B119" s="12">
        <f t="shared" si="8"/>
        <v>127</v>
      </c>
      <c r="C119" s="21">
        <f t="shared" si="9"/>
        <v>1222901.9235803557</v>
      </c>
      <c r="D119" s="21">
        <f t="shared" si="10"/>
        <v>9751.5916694062962</v>
      </c>
      <c r="E119" s="21">
        <f t="shared" si="11"/>
        <v>73201.449248494115</v>
      </c>
      <c r="F119" s="21">
        <f t="shared" si="12"/>
        <v>1159452.0660012679</v>
      </c>
    </row>
    <row r="120" spans="2:6" x14ac:dyDescent="0.35">
      <c r="B120" s="12">
        <f t="shared" si="8"/>
        <v>128</v>
      </c>
      <c r="C120" s="21">
        <f t="shared" si="9"/>
        <v>1159452.0660012679</v>
      </c>
      <c r="D120" s="21">
        <f t="shared" si="10"/>
        <v>9245.6335948767064</v>
      </c>
      <c r="E120" s="21">
        <f t="shared" si="11"/>
        <v>73201.449248494115</v>
      </c>
      <c r="F120" s="21">
        <f t="shared" si="12"/>
        <v>1095496.2503476504</v>
      </c>
    </row>
    <row r="121" spans="2:6" x14ac:dyDescent="0.35">
      <c r="B121" s="12">
        <f t="shared" si="8"/>
        <v>129</v>
      </c>
      <c r="C121" s="21">
        <f t="shared" si="9"/>
        <v>1095496.2503476504</v>
      </c>
      <c r="D121" s="21">
        <f t="shared" si="10"/>
        <v>8735.6409396096788</v>
      </c>
      <c r="E121" s="21">
        <f t="shared" si="11"/>
        <v>73201.449248494115</v>
      </c>
      <c r="F121" s="21">
        <f t="shared" si="12"/>
        <v>1031030.4420387659</v>
      </c>
    </row>
    <row r="122" spans="2:6" x14ac:dyDescent="0.35">
      <c r="B122" s="12">
        <f t="shared" si="8"/>
        <v>130</v>
      </c>
      <c r="C122" s="21">
        <f t="shared" si="9"/>
        <v>1031030.4420387659</v>
      </c>
      <c r="D122" s="21">
        <f t="shared" si="10"/>
        <v>8221.5815312918421</v>
      </c>
      <c r="E122" s="21">
        <f t="shared" si="11"/>
        <v>73201.449248494115</v>
      </c>
      <c r="F122" s="21">
        <f t="shared" si="12"/>
        <v>966050.57432156359</v>
      </c>
    </row>
    <row r="123" spans="2:6" x14ac:dyDescent="0.35">
      <c r="B123" s="12">
        <f t="shared" si="8"/>
        <v>131</v>
      </c>
      <c r="C123" s="21">
        <f t="shared" si="9"/>
        <v>966050.57432156359</v>
      </c>
      <c r="D123" s="21">
        <f t="shared" si="10"/>
        <v>7703.4229410632806</v>
      </c>
      <c r="E123" s="21">
        <f t="shared" si="11"/>
        <v>73201.449248494115</v>
      </c>
      <c r="F123" s="21">
        <f t="shared" si="12"/>
        <v>900552.54801413277</v>
      </c>
    </row>
    <row r="124" spans="2:6" x14ac:dyDescent="0.35">
      <c r="B124" s="12">
        <f t="shared" si="8"/>
        <v>132</v>
      </c>
      <c r="C124" s="21">
        <f t="shared" si="9"/>
        <v>900552.54801413277</v>
      </c>
      <c r="D124" s="21">
        <f t="shared" si="10"/>
        <v>7181.1324814717946</v>
      </c>
      <c r="E124" s="21">
        <f t="shared" si="11"/>
        <v>73201.449248494115</v>
      </c>
      <c r="F124" s="21">
        <f t="shared" si="12"/>
        <v>834532.23124711041</v>
      </c>
    </row>
    <row r="125" spans="2:6" x14ac:dyDescent="0.35">
      <c r="B125" s="12">
        <f t="shared" si="8"/>
        <v>133</v>
      </c>
      <c r="C125" s="21">
        <f t="shared" si="9"/>
        <v>834532.23124711041</v>
      </c>
      <c r="D125" s="21">
        <f t="shared" si="10"/>
        <v>6654.6772044108484</v>
      </c>
      <c r="E125" s="21">
        <f t="shared" si="11"/>
        <v>73201.449248494115</v>
      </c>
      <c r="F125" s="21">
        <f t="shared" si="12"/>
        <v>767985.45920302719</v>
      </c>
    </row>
    <row r="126" spans="2:6" x14ac:dyDescent="0.35">
      <c r="B126" s="12">
        <f t="shared" si="8"/>
        <v>134</v>
      </c>
      <c r="C126" s="21">
        <f t="shared" si="9"/>
        <v>767985.45920302719</v>
      </c>
      <c r="D126" s="21">
        <f t="shared" si="10"/>
        <v>6124.0238990410817</v>
      </c>
      <c r="E126" s="21">
        <f t="shared" si="11"/>
        <v>73201.449248494115</v>
      </c>
      <c r="F126" s="21">
        <f t="shared" si="12"/>
        <v>700908.03385357419</v>
      </c>
    </row>
    <row r="127" spans="2:6" x14ac:dyDescent="0.35">
      <c r="B127" s="12">
        <f t="shared" si="8"/>
        <v>135</v>
      </c>
      <c r="C127" s="21">
        <f t="shared" si="9"/>
        <v>700908.03385357419</v>
      </c>
      <c r="D127" s="21">
        <f t="shared" si="10"/>
        <v>5589.1390896952344</v>
      </c>
      <c r="E127" s="21">
        <f t="shared" si="11"/>
        <v>73201.449248494115</v>
      </c>
      <c r="F127" s="21">
        <f t="shared" si="12"/>
        <v>633295.72369477525</v>
      </c>
    </row>
    <row r="128" spans="2:6" x14ac:dyDescent="0.35">
      <c r="B128" s="12">
        <f t="shared" si="8"/>
        <v>136</v>
      </c>
      <c r="C128" s="21">
        <f t="shared" si="9"/>
        <v>633295.72369477525</v>
      </c>
      <c r="D128" s="21">
        <f t="shared" si="10"/>
        <v>5049.9890337663746</v>
      </c>
      <c r="E128" s="21">
        <f t="shared" si="11"/>
        <v>73201.449248494115</v>
      </c>
      <c r="F128" s="21">
        <f t="shared" si="12"/>
        <v>565144.26348004746</v>
      </c>
    </row>
    <row r="129" spans="2:6" x14ac:dyDescent="0.35">
      <c r="B129" s="12">
        <f t="shared" si="8"/>
        <v>137</v>
      </c>
      <c r="C129" s="21">
        <f t="shared" si="9"/>
        <v>565144.26348004746</v>
      </c>
      <c r="D129" s="21">
        <f t="shared" si="10"/>
        <v>4506.5397195792875</v>
      </c>
      <c r="E129" s="21">
        <f t="shared" si="11"/>
        <v>73201.449248494115</v>
      </c>
      <c r="F129" s="21">
        <f t="shared" si="12"/>
        <v>496449.35395113262</v>
      </c>
    </row>
    <row r="130" spans="2:6" x14ac:dyDescent="0.35">
      <c r="B130" s="12">
        <f t="shared" si="8"/>
        <v>138</v>
      </c>
      <c r="C130" s="21">
        <f t="shared" si="9"/>
        <v>496449.35395113262</v>
      </c>
      <c r="D130" s="21">
        <f t="shared" si="10"/>
        <v>3958.7568642448814</v>
      </c>
      <c r="E130" s="21">
        <f t="shared" si="11"/>
        <v>73201.449248494115</v>
      </c>
      <c r="F130" s="21">
        <f t="shared" si="12"/>
        <v>427206.66156688338</v>
      </c>
    </row>
    <row r="131" spans="2:6" x14ac:dyDescent="0.35">
      <c r="B131" s="12">
        <f t="shared" si="8"/>
        <v>139</v>
      </c>
      <c r="C131" s="21">
        <f t="shared" si="9"/>
        <v>427206.66156688338</v>
      </c>
      <c r="D131" s="21">
        <f t="shared" si="10"/>
        <v>3406.6059114974928</v>
      </c>
      <c r="E131" s="21">
        <f t="shared" si="11"/>
        <v>73201.449248494115</v>
      </c>
      <c r="F131" s="21">
        <f t="shared" si="12"/>
        <v>357411.81822988676</v>
      </c>
    </row>
    <row r="132" spans="2:6" x14ac:dyDescent="0.35">
      <c r="B132" s="12">
        <f t="shared" si="8"/>
        <v>140</v>
      </c>
      <c r="C132" s="21">
        <f t="shared" si="9"/>
        <v>357411.81822988676</v>
      </c>
      <c r="D132" s="21">
        <f t="shared" si="10"/>
        <v>2850.0520295149436</v>
      </c>
      <c r="E132" s="21">
        <f t="shared" si="11"/>
        <v>73201.449248494115</v>
      </c>
      <c r="F132" s="21">
        <f t="shared" si="12"/>
        <v>287060.42101090756</v>
      </c>
    </row>
    <row r="133" spans="2:6" x14ac:dyDescent="0.35">
      <c r="B133" s="12">
        <f t="shared" si="8"/>
        <v>141</v>
      </c>
      <c r="C133" s="21">
        <f t="shared" si="9"/>
        <v>287060.42101090756</v>
      </c>
      <c r="D133" s="21">
        <f t="shared" si="10"/>
        <v>2289.0601087212135</v>
      </c>
      <c r="E133" s="21">
        <f t="shared" si="11"/>
        <v>73201.449248494115</v>
      </c>
      <c r="F133" s="21">
        <f t="shared" si="12"/>
        <v>216148.03187113465</v>
      </c>
    </row>
    <row r="134" spans="2:6" x14ac:dyDescent="0.35">
      <c r="B134" s="12">
        <f t="shared" si="8"/>
        <v>142</v>
      </c>
      <c r="C134" s="21">
        <f t="shared" si="9"/>
        <v>216148.03187113465</v>
      </c>
      <c r="D134" s="21">
        <f t="shared" si="10"/>
        <v>1723.5947595715941</v>
      </c>
      <c r="E134" s="21">
        <f t="shared" si="11"/>
        <v>73201.449248494115</v>
      </c>
      <c r="F134" s="21">
        <f t="shared" si="12"/>
        <v>144670.17738221213</v>
      </c>
    </row>
    <row r="135" spans="2:6" x14ac:dyDescent="0.35">
      <c r="B135" s="12">
        <f t="shared" si="8"/>
        <v>143</v>
      </c>
      <c r="C135" s="21">
        <f t="shared" si="9"/>
        <v>144670.17738221213</v>
      </c>
      <c r="D135" s="21">
        <f t="shared" si="10"/>
        <v>1153.6203103201767</v>
      </c>
      <c r="E135" s="21">
        <f t="shared" si="11"/>
        <v>73201.449248494115</v>
      </c>
      <c r="F135" s="21">
        <f t="shared" si="12"/>
        <v>72622.348444038187</v>
      </c>
    </row>
    <row r="136" spans="2:6" x14ac:dyDescent="0.35">
      <c r="B136" s="12">
        <f t="shared" si="8"/>
        <v>144</v>
      </c>
      <c r="C136" s="21">
        <f t="shared" si="9"/>
        <v>72622.348444038187</v>
      </c>
      <c r="D136" s="21">
        <f t="shared" si="10"/>
        <v>579.10080476954124</v>
      </c>
      <c r="E136" s="21">
        <f t="shared" si="11"/>
        <v>73201.449248494115</v>
      </c>
      <c r="F136" s="21">
        <f t="shared" si="12"/>
        <v>3.1360832508653402E-7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7CE98-1525-467B-BDE4-5EEA19665229}">
  <dimension ref="B2:N33"/>
  <sheetViews>
    <sheetView showGridLines="0" zoomScaleNormal="100" workbookViewId="0"/>
  </sheetViews>
  <sheetFormatPr defaultRowHeight="14.5" x14ac:dyDescent="0.35"/>
  <cols>
    <col min="3" max="3" width="22.1796875" bestFit="1" customWidth="1"/>
    <col min="4" max="4" width="15.1796875" customWidth="1"/>
    <col min="5" max="5" width="12.54296875" bestFit="1" customWidth="1"/>
    <col min="6" max="6" width="24.54296875" bestFit="1" customWidth="1"/>
  </cols>
  <sheetData>
    <row r="2" spans="2:14" x14ac:dyDescent="0.35">
      <c r="B2" t="s">
        <v>16</v>
      </c>
      <c r="C2" s="11">
        <v>0.1</v>
      </c>
    </row>
    <row r="3" spans="2:14" x14ac:dyDescent="0.35">
      <c r="B3" t="s">
        <v>86</v>
      </c>
      <c r="C3" s="33">
        <f>(1+C2)^(1/12)-1</f>
        <v>7.9741404289037643E-3</v>
      </c>
    </row>
    <row r="4" spans="2:14" x14ac:dyDescent="0.35">
      <c r="B4" t="s">
        <v>87</v>
      </c>
      <c r="C4" s="16">
        <v>159887.72058495419</v>
      </c>
      <c r="D4" t="s">
        <v>88</v>
      </c>
      <c r="E4" s="27"/>
    </row>
    <row r="5" spans="2:14" x14ac:dyDescent="0.35">
      <c r="C5" s="16"/>
      <c r="J5" s="27"/>
      <c r="K5" s="27"/>
      <c r="L5" s="27"/>
      <c r="M5" s="27"/>
      <c r="N5" s="27"/>
    </row>
    <row r="6" spans="2:14" x14ac:dyDescent="0.35">
      <c r="B6" t="s">
        <v>99</v>
      </c>
      <c r="E6" s="16">
        <f>'Q2(i)'!F76</f>
        <v>3479887.1149411085</v>
      </c>
      <c r="F6" s="27"/>
      <c r="J6" s="27"/>
      <c r="K6" s="27"/>
      <c r="L6" s="27"/>
      <c r="M6" s="27"/>
      <c r="N6" s="27"/>
    </row>
    <row r="7" spans="2:14" x14ac:dyDescent="0.35">
      <c r="J7" s="27"/>
      <c r="K7" s="27"/>
      <c r="L7" s="27"/>
      <c r="M7" s="27"/>
      <c r="N7" s="27"/>
    </row>
    <row r="8" spans="2:14" x14ac:dyDescent="0.35">
      <c r="N8" s="27"/>
    </row>
    <row r="9" spans="2:14" x14ac:dyDescent="0.35">
      <c r="B9" s="12" t="s">
        <v>95</v>
      </c>
      <c r="C9" s="12" t="s">
        <v>96</v>
      </c>
      <c r="D9" s="12" t="s">
        <v>92</v>
      </c>
      <c r="E9" s="12" t="s">
        <v>97</v>
      </c>
      <c r="F9" s="12" t="s">
        <v>98</v>
      </c>
      <c r="G9" s="27"/>
    </row>
    <row r="10" spans="2:14" x14ac:dyDescent="0.35">
      <c r="B10" s="12">
        <v>85</v>
      </c>
      <c r="C10" s="21">
        <f>E6</f>
        <v>3479887.1149411085</v>
      </c>
      <c r="D10" s="21">
        <f>C10*$C$3</f>
        <v>27749.108531273174</v>
      </c>
      <c r="E10" s="21">
        <f>$C$4</f>
        <v>159887.72058495419</v>
      </c>
      <c r="F10" s="21">
        <f>C10+D10-E10</f>
        <v>3347748.5028874273</v>
      </c>
    </row>
    <row r="11" spans="2:14" x14ac:dyDescent="0.35">
      <c r="B11" s="12">
        <f>B10+1</f>
        <v>86</v>
      </c>
      <c r="C11" s="21">
        <f>F10</f>
        <v>3347748.5028874273</v>
      </c>
      <c r="D11" s="21">
        <f>C11*$C$3</f>
        <v>26695.416682676685</v>
      </c>
      <c r="E11" s="21">
        <f>$C$4</f>
        <v>159887.72058495419</v>
      </c>
      <c r="F11" s="21">
        <f>C11+D11-E11</f>
        <v>3214556.1989851501</v>
      </c>
    </row>
    <row r="12" spans="2:14" x14ac:dyDescent="0.35">
      <c r="B12" s="12">
        <f t="shared" ref="B12:B33" si="0">B11+1</f>
        <v>87</v>
      </c>
      <c r="C12" s="21">
        <f t="shared" ref="C12:C13" si="1">F11</f>
        <v>3214556.1989851501</v>
      </c>
      <c r="D12" s="21">
        <f t="shared" ref="D12:D33" si="2">C12*$C$3</f>
        <v>25633.322547310698</v>
      </c>
      <c r="E12" s="21">
        <f t="shared" ref="E12:E33" si="3">$C$4</f>
        <v>159887.72058495419</v>
      </c>
      <c r="F12" s="21">
        <f t="shared" ref="F12:F13" si="4">C12+D12-E12</f>
        <v>3080301.8009475064</v>
      </c>
    </row>
    <row r="13" spans="2:14" x14ac:dyDescent="0.35">
      <c r="B13" s="12">
        <f t="shared" si="0"/>
        <v>88</v>
      </c>
      <c r="C13" s="21">
        <f t="shared" si="1"/>
        <v>3080301.8009475064</v>
      </c>
      <c r="D13" s="21">
        <f t="shared" si="2"/>
        <v>24562.759124160588</v>
      </c>
      <c r="E13" s="21">
        <f t="shared" si="3"/>
        <v>159887.72058495419</v>
      </c>
      <c r="F13" s="21">
        <f t="shared" si="4"/>
        <v>2944976.8394867131</v>
      </c>
    </row>
    <row r="14" spans="2:14" x14ac:dyDescent="0.35">
      <c r="B14" s="12">
        <f t="shared" si="0"/>
        <v>89</v>
      </c>
      <c r="C14" s="21">
        <f t="shared" ref="C14:C33" si="5">F13</f>
        <v>2944976.8394867131</v>
      </c>
      <c r="D14" s="21">
        <f t="shared" si="2"/>
        <v>23483.658877936232</v>
      </c>
      <c r="E14" s="21">
        <f t="shared" si="3"/>
        <v>159887.72058495419</v>
      </c>
      <c r="F14" s="21">
        <f t="shared" ref="F14:F33" si="6">C14+D14-E14</f>
        <v>2808572.7777796951</v>
      </c>
    </row>
    <row r="15" spans="2:14" x14ac:dyDescent="0.35">
      <c r="B15" s="12">
        <f t="shared" si="0"/>
        <v>90</v>
      </c>
      <c r="C15" s="21">
        <f t="shared" si="5"/>
        <v>2808572.7777796951</v>
      </c>
      <c r="D15" s="21">
        <f t="shared" si="2"/>
        <v>22395.953734811614</v>
      </c>
      <c r="E15" s="21">
        <f t="shared" si="3"/>
        <v>159887.72058495419</v>
      </c>
      <c r="F15" s="21">
        <f t="shared" si="6"/>
        <v>2671081.0109295524</v>
      </c>
    </row>
    <row r="16" spans="2:14" x14ac:dyDescent="0.35">
      <c r="B16" s="12">
        <f t="shared" si="0"/>
        <v>91</v>
      </c>
      <c r="C16" s="21">
        <f t="shared" si="5"/>
        <v>2671081.0109295524</v>
      </c>
      <c r="D16" s="21">
        <f t="shared" si="2"/>
        <v>21299.575078130481</v>
      </c>
      <c r="E16" s="21">
        <f t="shared" si="3"/>
        <v>159887.72058495419</v>
      </c>
      <c r="F16" s="21">
        <f t="shared" si="6"/>
        <v>2532492.8654227289</v>
      </c>
    </row>
    <row r="17" spans="2:6" x14ac:dyDescent="0.35">
      <c r="B17" s="12">
        <f t="shared" si="0"/>
        <v>92</v>
      </c>
      <c r="C17" s="21">
        <f t="shared" si="5"/>
        <v>2532492.8654227289</v>
      </c>
      <c r="D17" s="21">
        <f t="shared" si="2"/>
        <v>20194.453744077724</v>
      </c>
      <c r="E17" s="21">
        <f t="shared" si="3"/>
        <v>159887.72058495419</v>
      </c>
      <c r="F17" s="21">
        <f t="shared" si="6"/>
        <v>2392799.5985818524</v>
      </c>
    </row>
    <row r="18" spans="2:6" x14ac:dyDescent="0.35">
      <c r="B18" s="12">
        <f t="shared" si="0"/>
        <v>93</v>
      </c>
      <c r="C18" s="21">
        <f t="shared" si="5"/>
        <v>2392799.5985818524</v>
      </c>
      <c r="D18" s="21">
        <f t="shared" si="2"/>
        <v>19080.520017316248</v>
      </c>
      <c r="E18" s="21">
        <f t="shared" si="3"/>
        <v>159887.72058495419</v>
      </c>
      <c r="F18" s="21">
        <f t="shared" si="6"/>
        <v>2251992.3980142144</v>
      </c>
    </row>
    <row r="19" spans="2:6" x14ac:dyDescent="0.35">
      <c r="B19" s="12">
        <f t="shared" si="0"/>
        <v>94</v>
      </c>
      <c r="C19" s="21">
        <f t="shared" si="5"/>
        <v>2251992.3980142144</v>
      </c>
      <c r="D19" s="21">
        <f t="shared" si="2"/>
        <v>17957.703626589086</v>
      </c>
      <c r="E19" s="21">
        <f t="shared" si="3"/>
        <v>159887.72058495419</v>
      </c>
      <c r="F19" s="21">
        <f t="shared" si="6"/>
        <v>2110062.3810558491</v>
      </c>
    </row>
    <row r="20" spans="2:6" x14ac:dyDescent="0.35">
      <c r="B20" s="12">
        <f t="shared" si="0"/>
        <v>95</v>
      </c>
      <c r="C20" s="21">
        <f t="shared" si="5"/>
        <v>2110062.3810558491</v>
      </c>
      <c r="D20" s="21">
        <f t="shared" si="2"/>
        <v>16825.933740286386</v>
      </c>
      <c r="E20" s="21">
        <f t="shared" si="3"/>
        <v>159887.72058495419</v>
      </c>
      <c r="F20" s="21">
        <f t="shared" si="6"/>
        <v>1967000.5942111812</v>
      </c>
    </row>
    <row r="21" spans="2:6" x14ac:dyDescent="0.35">
      <c r="B21" s="12">
        <f t="shared" si="0"/>
        <v>96</v>
      </c>
      <c r="C21" s="21">
        <f t="shared" si="5"/>
        <v>1967000.5942111812</v>
      </c>
      <c r="D21" s="21">
        <f t="shared" si="2"/>
        <v>15685.138961977107</v>
      </c>
      <c r="E21" s="21">
        <f t="shared" si="3"/>
        <v>159887.72058495419</v>
      </c>
      <c r="F21" s="21">
        <f t="shared" si="6"/>
        <v>1822798.0125882041</v>
      </c>
    </row>
    <row r="22" spans="2:6" x14ac:dyDescent="0.35">
      <c r="B22" s="12">
        <f t="shared" si="0"/>
        <v>97</v>
      </c>
      <c r="C22" s="21">
        <f t="shared" si="5"/>
        <v>1822798.0125882041</v>
      </c>
      <c r="D22" s="21">
        <f t="shared" si="2"/>
        <v>14535.247325905031</v>
      </c>
      <c r="E22" s="21">
        <f t="shared" si="3"/>
        <v>159887.72058495419</v>
      </c>
      <c r="F22" s="21">
        <f t="shared" si="6"/>
        <v>1677445.5393291551</v>
      </c>
    </row>
    <row r="23" spans="2:6" x14ac:dyDescent="0.35">
      <c r="B23" s="12">
        <f t="shared" si="0"/>
        <v>98</v>
      </c>
      <c r="C23" s="21">
        <f t="shared" si="5"/>
        <v>1677445.5393291551</v>
      </c>
      <c r="D23" s="21">
        <f t="shared" si="2"/>
        <v>13376.186292448896</v>
      </c>
      <c r="E23" s="21">
        <f t="shared" si="3"/>
        <v>159887.72058495419</v>
      </c>
      <c r="F23" s="21">
        <f t="shared" si="6"/>
        <v>1530934.0050366498</v>
      </c>
    </row>
    <row r="24" spans="2:6" x14ac:dyDescent="0.35">
      <c r="B24" s="12">
        <f t="shared" si="0"/>
        <v>99</v>
      </c>
      <c r="C24" s="21">
        <f t="shared" si="5"/>
        <v>1530934.0050366498</v>
      </c>
      <c r="D24" s="21">
        <f t="shared" si="2"/>
        <v>12207.882743546308</v>
      </c>
      <c r="E24" s="21">
        <f t="shared" si="3"/>
        <v>159887.72058495419</v>
      </c>
      <c r="F24" s="21">
        <f t="shared" si="6"/>
        <v>1383254.1671952419</v>
      </c>
    </row>
    <row r="25" spans="2:6" x14ac:dyDescent="0.35">
      <c r="B25" s="12">
        <f t="shared" si="0"/>
        <v>100</v>
      </c>
      <c r="C25" s="21">
        <f t="shared" si="5"/>
        <v>1383254.1671952419</v>
      </c>
      <c r="D25" s="21">
        <f t="shared" si="2"/>
        <v>11030.262978081186</v>
      </c>
      <c r="E25" s="21">
        <f t="shared" si="3"/>
        <v>159887.72058495419</v>
      </c>
      <c r="F25" s="21">
        <f t="shared" si="6"/>
        <v>1234396.7095883689</v>
      </c>
    </row>
    <row r="26" spans="2:6" x14ac:dyDescent="0.35">
      <c r="B26" s="12">
        <f t="shared" si="0"/>
        <v>101</v>
      </c>
      <c r="C26" s="21">
        <f t="shared" si="5"/>
        <v>1234396.7095883689</v>
      </c>
      <c r="D26" s="21">
        <f t="shared" si="2"/>
        <v>9843.252707234391</v>
      </c>
      <c r="E26" s="21">
        <f t="shared" si="3"/>
        <v>159887.72058495419</v>
      </c>
      <c r="F26" s="21">
        <f t="shared" si="6"/>
        <v>1084352.2417106491</v>
      </c>
    </row>
    <row r="27" spans="2:6" x14ac:dyDescent="0.35">
      <c r="B27" s="12">
        <f t="shared" si="0"/>
        <v>102</v>
      </c>
      <c r="C27" s="21">
        <f t="shared" si="5"/>
        <v>1084352.2417106491</v>
      </c>
      <c r="D27" s="21">
        <f t="shared" si="2"/>
        <v>8646.7770497973142</v>
      </c>
      <c r="E27" s="21">
        <f t="shared" si="3"/>
        <v>159887.72058495419</v>
      </c>
      <c r="F27" s="21">
        <f t="shared" si="6"/>
        <v>933111.29817549232</v>
      </c>
    </row>
    <row r="28" spans="2:6" x14ac:dyDescent="0.35">
      <c r="B28" s="12">
        <f t="shared" si="0"/>
        <v>103</v>
      </c>
      <c r="C28" s="21">
        <f t="shared" si="5"/>
        <v>933111.29817549232</v>
      </c>
      <c r="D28" s="21">
        <f t="shared" si="2"/>
        <v>7440.7605274480684</v>
      </c>
      <c r="E28" s="21">
        <f t="shared" si="3"/>
        <v>159887.72058495419</v>
      </c>
      <c r="F28" s="21">
        <f t="shared" si="6"/>
        <v>780664.33811798622</v>
      </c>
    </row>
    <row r="29" spans="2:6" x14ac:dyDescent="0.35">
      <c r="B29" s="12">
        <f t="shared" si="0"/>
        <v>104</v>
      </c>
      <c r="C29" s="21">
        <f t="shared" si="5"/>
        <v>780664.33811798622</v>
      </c>
      <c r="D29" s="21">
        <f t="shared" si="2"/>
        <v>6225.1270599900317</v>
      </c>
      <c r="E29" s="21">
        <f t="shared" si="3"/>
        <v>159887.72058495419</v>
      </c>
      <c r="F29" s="21">
        <f t="shared" si="6"/>
        <v>627001.74459302216</v>
      </c>
    </row>
    <row r="30" spans="2:6" x14ac:dyDescent="0.35">
      <c r="B30" s="12">
        <f t="shared" si="0"/>
        <v>105</v>
      </c>
      <c r="C30" s="21">
        <f t="shared" si="5"/>
        <v>627001.74459302216</v>
      </c>
      <c r="D30" s="21">
        <f t="shared" si="2"/>
        <v>4999.7999605524101</v>
      </c>
      <c r="E30" s="21">
        <f t="shared" si="3"/>
        <v>159887.72058495419</v>
      </c>
      <c r="F30" s="21">
        <f t="shared" si="6"/>
        <v>472113.82396862033</v>
      </c>
    </row>
    <row r="31" spans="2:6" x14ac:dyDescent="0.35">
      <c r="B31" s="12">
        <f t="shared" si="0"/>
        <v>106</v>
      </c>
      <c r="C31" s="21">
        <f t="shared" si="5"/>
        <v>472113.82396862033</v>
      </c>
      <c r="D31" s="21">
        <f t="shared" si="2"/>
        <v>3764.7019307525302</v>
      </c>
      <c r="E31" s="21">
        <f t="shared" si="3"/>
        <v>159887.72058495419</v>
      </c>
      <c r="F31" s="21">
        <f t="shared" si="6"/>
        <v>315990.80531441869</v>
      </c>
    </row>
    <row r="32" spans="2:6" x14ac:dyDescent="0.35">
      <c r="B32" s="12">
        <f t="shared" si="0"/>
        <v>107</v>
      </c>
      <c r="C32" s="21">
        <f t="shared" si="5"/>
        <v>315990.80531441869</v>
      </c>
      <c r="D32" s="21">
        <f t="shared" si="2"/>
        <v>2519.7550558195644</v>
      </c>
      <c r="E32" s="21">
        <f t="shared" si="3"/>
        <v>159887.72058495419</v>
      </c>
      <c r="F32" s="21">
        <f t="shared" si="6"/>
        <v>158622.83978528407</v>
      </c>
    </row>
    <row r="33" spans="2:6" x14ac:dyDescent="0.35">
      <c r="B33" s="12">
        <f t="shared" si="0"/>
        <v>108</v>
      </c>
      <c r="C33" s="21">
        <f t="shared" si="5"/>
        <v>158622.83978528407</v>
      </c>
      <c r="D33" s="21">
        <f t="shared" si="2"/>
        <v>1264.8807996793582</v>
      </c>
      <c r="E33" s="21">
        <f t="shared" si="3"/>
        <v>159887.72058495419</v>
      </c>
      <c r="F33" s="21">
        <f t="shared" si="6"/>
        <v>9.225914254784584E-9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9FE4-637A-47A6-B9E8-41F5B57C8F31}">
  <dimension ref="A3:Q32"/>
  <sheetViews>
    <sheetView showGridLines="0" zoomScale="85" zoomScaleNormal="85" workbookViewId="0"/>
  </sheetViews>
  <sheetFormatPr defaultRowHeight="14.5" x14ac:dyDescent="0.35"/>
  <cols>
    <col min="6" max="6" width="10.81640625" bestFit="1" customWidth="1"/>
    <col min="7" max="7" width="10.81640625" customWidth="1"/>
    <col min="8" max="8" width="9.1796875" bestFit="1" customWidth="1"/>
    <col min="9" max="9" width="20" bestFit="1" customWidth="1"/>
    <col min="10" max="10" width="10.81640625" bestFit="1" customWidth="1"/>
    <col min="11" max="11" width="25.36328125" customWidth="1"/>
  </cols>
  <sheetData>
    <row r="3" spans="1:17" x14ac:dyDescent="0.35">
      <c r="B3" t="s">
        <v>100</v>
      </c>
      <c r="F3" s="30">
        <v>6.5000000000000002E-2</v>
      </c>
      <c r="G3" s="30"/>
      <c r="I3" t="s">
        <v>101</v>
      </c>
      <c r="M3" s="17">
        <v>89299.822886201524</v>
      </c>
      <c r="N3" t="s">
        <v>88</v>
      </c>
    </row>
    <row r="4" spans="1:17" x14ac:dyDescent="0.35">
      <c r="B4" t="s">
        <v>102</v>
      </c>
      <c r="F4" s="32">
        <f>(1+F3)^(1/4)-1</f>
        <v>1.586828478278357E-2</v>
      </c>
      <c r="G4" s="26"/>
      <c r="I4" t="s">
        <v>103</v>
      </c>
      <c r="M4">
        <f>F5</f>
        <v>100000</v>
      </c>
    </row>
    <row r="5" spans="1:17" x14ac:dyDescent="0.35">
      <c r="B5" t="s">
        <v>104</v>
      </c>
      <c r="F5">
        <v>100000</v>
      </c>
      <c r="I5" t="s">
        <v>105</v>
      </c>
      <c r="M5" s="19">
        <f>M4-M3</f>
        <v>10700.177113798476</v>
      </c>
      <c r="N5" s="27"/>
    </row>
    <row r="6" spans="1:17" x14ac:dyDescent="0.35">
      <c r="B6" t="s">
        <v>106</v>
      </c>
      <c r="F6" s="11">
        <v>0.06</v>
      </c>
      <c r="G6" s="11"/>
      <c r="I6" t="s">
        <v>107</v>
      </c>
      <c r="M6" s="11">
        <v>0.2</v>
      </c>
    </row>
    <row r="7" spans="1:17" x14ac:dyDescent="0.35">
      <c r="B7" t="s">
        <v>108</v>
      </c>
      <c r="F7" s="30">
        <f>F6/4</f>
        <v>1.4999999999999999E-2</v>
      </c>
      <c r="G7" s="26"/>
      <c r="I7" t="s">
        <v>109</v>
      </c>
      <c r="M7" s="19">
        <f>M5*M6</f>
        <v>2140.0354227596954</v>
      </c>
      <c r="N7" s="27"/>
    </row>
    <row r="8" spans="1:17" x14ac:dyDescent="0.35">
      <c r="B8" t="s">
        <v>110</v>
      </c>
      <c r="F8" s="30">
        <v>0.3</v>
      </c>
      <c r="G8" s="30"/>
    </row>
    <row r="9" spans="1:17" x14ac:dyDescent="0.35">
      <c r="C9" s="27"/>
      <c r="D9" s="27"/>
      <c r="E9" s="27"/>
      <c r="F9" s="43"/>
      <c r="G9" s="43"/>
      <c r="H9" s="26"/>
      <c r="I9" s="27"/>
      <c r="J9" s="33"/>
      <c r="K9" s="40"/>
    </row>
    <row r="10" spans="1:17" x14ac:dyDescent="0.35">
      <c r="H10" t="s">
        <v>111</v>
      </c>
      <c r="I10" s="41">
        <f>SUM(I12:I32)</f>
        <v>0</v>
      </c>
      <c r="J10" t="s">
        <v>112</v>
      </c>
      <c r="O10" s="27"/>
      <c r="P10" s="27"/>
      <c r="Q10" s="27"/>
    </row>
    <row r="11" spans="1:17" x14ac:dyDescent="0.35">
      <c r="A11" s="12" t="s">
        <v>64</v>
      </c>
      <c r="B11" s="12" t="s">
        <v>113</v>
      </c>
      <c r="C11" s="12" t="s">
        <v>114</v>
      </c>
      <c r="D11" s="12" t="s">
        <v>115</v>
      </c>
      <c r="E11" s="12" t="s">
        <v>116</v>
      </c>
      <c r="F11" s="12" t="s">
        <v>117</v>
      </c>
      <c r="G11" s="12" t="s">
        <v>118</v>
      </c>
      <c r="H11" s="12" t="s">
        <v>48</v>
      </c>
      <c r="I11" s="12" t="s">
        <v>119</v>
      </c>
      <c r="O11" s="27"/>
      <c r="P11" s="27"/>
      <c r="Q11" s="27"/>
    </row>
    <row r="12" spans="1:17" x14ac:dyDescent="0.35">
      <c r="A12" s="12">
        <v>0</v>
      </c>
      <c r="B12" s="12">
        <v>0</v>
      </c>
      <c r="C12" s="12"/>
      <c r="D12" s="12"/>
      <c r="E12" s="12"/>
      <c r="F12" s="12"/>
      <c r="G12" s="23">
        <f>-M3</f>
        <v>-89299.822886201524</v>
      </c>
      <c r="H12" s="12">
        <f>SUM(C12:G12)</f>
        <v>-89299.822886201524</v>
      </c>
      <c r="I12" s="22">
        <f>H12/(1+$F$4)^B12</f>
        <v>-89299.822886201524</v>
      </c>
      <c r="O12" s="27"/>
      <c r="P12" s="27"/>
      <c r="Q12" s="27"/>
    </row>
    <row r="13" spans="1:17" x14ac:dyDescent="0.35">
      <c r="A13" s="12">
        <f>INT((B13-1)/4)+1</f>
        <v>1</v>
      </c>
      <c r="B13" s="12">
        <v>1</v>
      </c>
      <c r="C13" s="12">
        <f>$F$5*$F$7</f>
        <v>1500</v>
      </c>
      <c r="D13" s="12">
        <f>-C13*$F$8</f>
        <v>-450</v>
      </c>
      <c r="E13" s="12"/>
      <c r="F13" s="12"/>
      <c r="G13" s="12"/>
      <c r="H13" s="12">
        <f>SUM(C13:F13)</f>
        <v>1050</v>
      </c>
      <c r="I13" s="22">
        <f t="shared" ref="I13:I32" si="0">H13/(1+$F$4)^B13</f>
        <v>1033.5985636410676</v>
      </c>
      <c r="O13" s="27"/>
      <c r="P13" s="27"/>
      <c r="Q13" s="27"/>
    </row>
    <row r="14" spans="1:17" x14ac:dyDescent="0.35">
      <c r="A14" s="12">
        <f t="shared" ref="A14:A32" si="1">INT((B14-1)/4)+1</f>
        <v>1</v>
      </c>
      <c r="B14" s="12">
        <f>B13+1</f>
        <v>2</v>
      </c>
      <c r="C14" s="12">
        <f t="shared" ref="C14:C32" si="2">$F$5*$F$7</f>
        <v>1500</v>
      </c>
      <c r="D14" s="12">
        <f t="shared" ref="D14:D32" si="3">-C14*$F$8</f>
        <v>-450</v>
      </c>
      <c r="E14" s="12"/>
      <c r="F14" s="12"/>
      <c r="G14" s="12"/>
      <c r="H14" s="12">
        <f t="shared" ref="H14:H32" si="4">SUM(C14:F14)</f>
        <v>1050</v>
      </c>
      <c r="I14" s="22">
        <f t="shared" si="0"/>
        <v>1017.4533245341694</v>
      </c>
      <c r="O14" s="27"/>
      <c r="P14" s="27"/>
      <c r="Q14" s="27"/>
    </row>
    <row r="15" spans="1:17" x14ac:dyDescent="0.35">
      <c r="A15" s="12">
        <f t="shared" si="1"/>
        <v>1</v>
      </c>
      <c r="B15" s="12">
        <f t="shared" ref="B15:B32" si="5">B14+1</f>
        <v>3</v>
      </c>
      <c r="C15" s="12">
        <f t="shared" si="2"/>
        <v>1500</v>
      </c>
      <c r="D15" s="12">
        <f t="shared" si="3"/>
        <v>-450</v>
      </c>
      <c r="E15" s="12"/>
      <c r="F15" s="12"/>
      <c r="G15" s="12"/>
      <c r="H15" s="12">
        <f t="shared" si="4"/>
        <v>1050</v>
      </c>
      <c r="I15" s="22">
        <f t="shared" si="0"/>
        <v>1001.5602807717584</v>
      </c>
      <c r="O15" s="27"/>
      <c r="P15" s="27"/>
      <c r="Q15" s="27"/>
    </row>
    <row r="16" spans="1:17" x14ac:dyDescent="0.35">
      <c r="A16" s="12">
        <f t="shared" si="1"/>
        <v>1</v>
      </c>
      <c r="B16" s="12">
        <f t="shared" si="5"/>
        <v>4</v>
      </c>
      <c r="C16" s="12">
        <f t="shared" si="2"/>
        <v>1500</v>
      </c>
      <c r="D16" s="12">
        <f t="shared" si="3"/>
        <v>-450</v>
      </c>
      <c r="E16" s="12"/>
      <c r="F16" s="12"/>
      <c r="G16" s="12"/>
      <c r="H16" s="12">
        <f t="shared" si="4"/>
        <v>1050</v>
      </c>
      <c r="I16" s="22">
        <f t="shared" si="0"/>
        <v>985.91549295774632</v>
      </c>
    </row>
    <row r="17" spans="1:15" x14ac:dyDescent="0.35">
      <c r="A17" s="12">
        <f t="shared" si="1"/>
        <v>2</v>
      </c>
      <c r="B17" s="12">
        <f t="shared" si="5"/>
        <v>5</v>
      </c>
      <c r="C17" s="12">
        <f t="shared" si="2"/>
        <v>1500</v>
      </c>
      <c r="D17" s="12">
        <f t="shared" si="3"/>
        <v>-450</v>
      </c>
      <c r="E17" s="12"/>
      <c r="F17" s="12"/>
      <c r="G17" s="12"/>
      <c r="H17" s="12">
        <f t="shared" si="4"/>
        <v>1050</v>
      </c>
      <c r="I17" s="22">
        <f t="shared" si="0"/>
        <v>970.51508323104918</v>
      </c>
      <c r="O17" s="27"/>
    </row>
    <row r="18" spans="1:15" x14ac:dyDescent="0.35">
      <c r="A18" s="12">
        <f t="shared" si="1"/>
        <v>2</v>
      </c>
      <c r="B18" s="12">
        <f t="shared" si="5"/>
        <v>6</v>
      </c>
      <c r="C18" s="12">
        <f t="shared" si="2"/>
        <v>1500</v>
      </c>
      <c r="D18" s="12">
        <f t="shared" si="3"/>
        <v>-450</v>
      </c>
      <c r="E18" s="12"/>
      <c r="F18" s="12"/>
      <c r="G18" s="12"/>
      <c r="H18" s="12">
        <f t="shared" si="4"/>
        <v>1050</v>
      </c>
      <c r="I18" s="22">
        <f t="shared" si="0"/>
        <v>955.35523430438411</v>
      </c>
    </row>
    <row r="19" spans="1:15" x14ac:dyDescent="0.35">
      <c r="A19" s="12">
        <f t="shared" si="1"/>
        <v>2</v>
      </c>
      <c r="B19" s="12">
        <f t="shared" si="5"/>
        <v>7</v>
      </c>
      <c r="C19" s="12">
        <f t="shared" si="2"/>
        <v>1500</v>
      </c>
      <c r="D19" s="12">
        <f t="shared" si="3"/>
        <v>-450</v>
      </c>
      <c r="E19" s="12"/>
      <c r="F19" s="12"/>
      <c r="G19" s="12"/>
      <c r="H19" s="12">
        <f t="shared" si="4"/>
        <v>1050</v>
      </c>
      <c r="I19" s="22">
        <f t="shared" si="0"/>
        <v>940.43218851808274</v>
      </c>
    </row>
    <row r="20" spans="1:15" x14ac:dyDescent="0.35">
      <c r="A20" s="12">
        <f t="shared" si="1"/>
        <v>2</v>
      </c>
      <c r="B20" s="12">
        <f t="shared" si="5"/>
        <v>8</v>
      </c>
      <c r="C20" s="12">
        <f t="shared" si="2"/>
        <v>1500</v>
      </c>
      <c r="D20" s="12">
        <f t="shared" si="3"/>
        <v>-450</v>
      </c>
      <c r="E20" s="12"/>
      <c r="F20" s="12"/>
      <c r="G20" s="12"/>
      <c r="H20" s="12">
        <f t="shared" si="4"/>
        <v>1050</v>
      </c>
      <c r="I20" s="22">
        <f t="shared" si="0"/>
        <v>925.74224690868198</v>
      </c>
    </row>
    <row r="21" spans="1:15" x14ac:dyDescent="0.35">
      <c r="A21" s="12">
        <f t="shared" si="1"/>
        <v>3</v>
      </c>
      <c r="B21" s="12">
        <f t="shared" si="5"/>
        <v>9</v>
      </c>
      <c r="C21" s="12">
        <f t="shared" si="2"/>
        <v>1500</v>
      </c>
      <c r="D21" s="12">
        <f t="shared" si="3"/>
        <v>-450</v>
      </c>
      <c r="E21" s="12"/>
      <c r="F21" s="12"/>
      <c r="G21" s="12"/>
      <c r="H21" s="12">
        <f t="shared" si="4"/>
        <v>1050</v>
      </c>
      <c r="I21" s="22">
        <f t="shared" si="0"/>
        <v>911.28176829206484</v>
      </c>
    </row>
    <row r="22" spans="1:15" x14ac:dyDescent="0.35">
      <c r="A22" s="12">
        <f t="shared" si="1"/>
        <v>3</v>
      </c>
      <c r="B22" s="12">
        <f t="shared" si="5"/>
        <v>10</v>
      </c>
      <c r="C22" s="12">
        <f t="shared" si="2"/>
        <v>1500</v>
      </c>
      <c r="D22" s="12">
        <f t="shared" si="3"/>
        <v>-450</v>
      </c>
      <c r="E22" s="12"/>
      <c r="F22" s="12"/>
      <c r="G22" s="12"/>
      <c r="H22" s="12">
        <f t="shared" si="4"/>
        <v>1050</v>
      </c>
      <c r="I22" s="22">
        <f t="shared" si="0"/>
        <v>897.04716836092405</v>
      </c>
    </row>
    <row r="23" spans="1:15" x14ac:dyDescent="0.35">
      <c r="A23" s="12">
        <f t="shared" si="1"/>
        <v>3</v>
      </c>
      <c r="B23" s="12">
        <f t="shared" si="5"/>
        <v>11</v>
      </c>
      <c r="C23" s="12">
        <f t="shared" si="2"/>
        <v>1500</v>
      </c>
      <c r="D23" s="12">
        <f t="shared" si="3"/>
        <v>-450</v>
      </c>
      <c r="E23" s="12"/>
      <c r="F23" s="12"/>
      <c r="G23" s="12"/>
      <c r="H23" s="12">
        <f t="shared" si="4"/>
        <v>1050</v>
      </c>
      <c r="I23" s="22">
        <f t="shared" si="0"/>
        <v>883.03491879632179</v>
      </c>
    </row>
    <row r="24" spans="1:15" x14ac:dyDescent="0.35">
      <c r="A24" s="12">
        <f t="shared" si="1"/>
        <v>3</v>
      </c>
      <c r="B24" s="12">
        <f t="shared" si="5"/>
        <v>12</v>
      </c>
      <c r="C24" s="12">
        <f t="shared" si="2"/>
        <v>1500</v>
      </c>
      <c r="D24" s="12">
        <f t="shared" si="3"/>
        <v>-450</v>
      </c>
      <c r="E24" s="12"/>
      <c r="F24" s="12"/>
      <c r="G24" s="12"/>
      <c r="H24" s="12">
        <f t="shared" si="4"/>
        <v>1050</v>
      </c>
      <c r="I24" s="22">
        <f t="shared" si="0"/>
        <v>869.24154639312849</v>
      </c>
    </row>
    <row r="25" spans="1:15" x14ac:dyDescent="0.35">
      <c r="A25" s="12">
        <f t="shared" si="1"/>
        <v>4</v>
      </c>
      <c r="B25" s="12">
        <f t="shared" si="5"/>
        <v>13</v>
      </c>
      <c r="C25" s="12">
        <f t="shared" si="2"/>
        <v>1500</v>
      </c>
      <c r="D25" s="12">
        <f t="shared" si="3"/>
        <v>-450</v>
      </c>
      <c r="E25" s="12"/>
      <c r="F25" s="12"/>
      <c r="G25" s="12"/>
      <c r="H25" s="12">
        <f t="shared" si="4"/>
        <v>1050</v>
      </c>
      <c r="I25" s="22">
        <f t="shared" si="0"/>
        <v>855.66363219912182</v>
      </c>
    </row>
    <row r="26" spans="1:15" x14ac:dyDescent="0.35">
      <c r="A26" s="12">
        <f t="shared" si="1"/>
        <v>4</v>
      </c>
      <c r="B26" s="12">
        <f t="shared" si="5"/>
        <v>14</v>
      </c>
      <c r="C26" s="12">
        <f t="shared" si="2"/>
        <v>1500</v>
      </c>
      <c r="D26" s="12">
        <f t="shared" si="3"/>
        <v>-450</v>
      </c>
      <c r="E26" s="12"/>
      <c r="F26" s="12"/>
      <c r="G26" s="12"/>
      <c r="H26" s="12">
        <f t="shared" si="4"/>
        <v>1050</v>
      </c>
      <c r="I26" s="22">
        <f t="shared" si="0"/>
        <v>842.29781066753424</v>
      </c>
    </row>
    <row r="27" spans="1:15" x14ac:dyDescent="0.35">
      <c r="A27" s="12">
        <f t="shared" si="1"/>
        <v>4</v>
      </c>
      <c r="B27" s="12">
        <f t="shared" si="5"/>
        <v>15</v>
      </c>
      <c r="C27" s="12">
        <f t="shared" si="2"/>
        <v>1500</v>
      </c>
      <c r="D27" s="12">
        <f t="shared" si="3"/>
        <v>-450</v>
      </c>
      <c r="E27" s="12"/>
      <c r="F27" s="12"/>
      <c r="G27" s="12"/>
      <c r="H27" s="12">
        <f t="shared" si="4"/>
        <v>1050</v>
      </c>
      <c r="I27" s="22">
        <f t="shared" si="0"/>
        <v>829.14076882283712</v>
      </c>
    </row>
    <row r="28" spans="1:15" x14ac:dyDescent="0.35">
      <c r="A28" s="12">
        <f t="shared" si="1"/>
        <v>4</v>
      </c>
      <c r="B28" s="12">
        <f t="shared" si="5"/>
        <v>16</v>
      </c>
      <c r="C28" s="12">
        <f t="shared" si="2"/>
        <v>1500</v>
      </c>
      <c r="D28" s="12">
        <f t="shared" si="3"/>
        <v>-450</v>
      </c>
      <c r="E28" s="12"/>
      <c r="F28" s="12"/>
      <c r="G28" s="12"/>
      <c r="H28" s="12">
        <f t="shared" si="4"/>
        <v>1050</v>
      </c>
      <c r="I28" s="22">
        <f t="shared" si="0"/>
        <v>816.18924543955711</v>
      </c>
    </row>
    <row r="29" spans="1:15" x14ac:dyDescent="0.35">
      <c r="A29" s="12">
        <f t="shared" si="1"/>
        <v>5</v>
      </c>
      <c r="B29" s="12">
        <f t="shared" si="5"/>
        <v>17</v>
      </c>
      <c r="C29" s="12">
        <f t="shared" si="2"/>
        <v>1500</v>
      </c>
      <c r="D29" s="12">
        <f t="shared" si="3"/>
        <v>-450</v>
      </c>
      <c r="E29" s="12"/>
      <c r="F29" s="12"/>
      <c r="G29" s="12"/>
      <c r="H29" s="12">
        <f t="shared" si="4"/>
        <v>1050</v>
      </c>
      <c r="I29" s="22">
        <f t="shared" si="0"/>
        <v>803.44003023391701</v>
      </c>
    </row>
    <row r="30" spans="1:15" x14ac:dyDescent="0.35">
      <c r="A30" s="12">
        <f t="shared" si="1"/>
        <v>5</v>
      </c>
      <c r="B30" s="12">
        <f t="shared" si="5"/>
        <v>18</v>
      </c>
      <c r="C30" s="12">
        <f t="shared" si="2"/>
        <v>1500</v>
      </c>
      <c r="D30" s="12">
        <f t="shared" si="3"/>
        <v>-450</v>
      </c>
      <c r="E30" s="12"/>
      <c r="F30" s="12"/>
      <c r="G30" s="12"/>
      <c r="H30" s="12">
        <f t="shared" si="4"/>
        <v>1050</v>
      </c>
      <c r="I30" s="22">
        <f t="shared" si="0"/>
        <v>790.88996306810714</v>
      </c>
    </row>
    <row r="31" spans="1:15" x14ac:dyDescent="0.35">
      <c r="A31" s="12">
        <f t="shared" si="1"/>
        <v>5</v>
      </c>
      <c r="B31" s="12">
        <f t="shared" si="5"/>
        <v>19</v>
      </c>
      <c r="C31" s="12">
        <f t="shared" si="2"/>
        <v>1500</v>
      </c>
      <c r="D31" s="12">
        <f t="shared" si="3"/>
        <v>-450</v>
      </c>
      <c r="E31" s="12"/>
      <c r="F31" s="12"/>
      <c r="G31" s="12"/>
      <c r="H31" s="12">
        <f t="shared" si="4"/>
        <v>1050</v>
      </c>
      <c r="I31" s="22">
        <f t="shared" si="0"/>
        <v>778.53593316698323</v>
      </c>
    </row>
    <row r="32" spans="1:15" x14ac:dyDescent="0.35">
      <c r="A32" s="12">
        <f t="shared" si="1"/>
        <v>5</v>
      </c>
      <c r="B32" s="12">
        <f t="shared" si="5"/>
        <v>20</v>
      </c>
      <c r="C32" s="12">
        <f t="shared" si="2"/>
        <v>1500</v>
      </c>
      <c r="D32" s="12">
        <f t="shared" si="3"/>
        <v>-450</v>
      </c>
      <c r="E32" s="12">
        <f>F5</f>
        <v>100000</v>
      </c>
      <c r="F32" s="23">
        <f>-M7</f>
        <v>-2140.0354227596954</v>
      </c>
      <c r="G32" s="23"/>
      <c r="H32" s="12">
        <f t="shared" si="4"/>
        <v>98909.964577240302</v>
      </c>
      <c r="I32" s="22">
        <f t="shared" si="0"/>
        <v>72192.487685894099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3CCD-0B98-430A-AEAE-EC7D2F08687A}">
  <dimension ref="B4:C24"/>
  <sheetViews>
    <sheetView workbookViewId="0"/>
  </sheetViews>
  <sheetFormatPr defaultColWidth="8.7265625" defaultRowHeight="14.5" x14ac:dyDescent="0.35"/>
  <cols>
    <col min="1" max="1" width="8.7265625" style="34"/>
    <col min="2" max="2" width="19.26953125" style="34" customWidth="1"/>
    <col min="3" max="3" width="18.81640625" style="34" customWidth="1"/>
    <col min="4" max="16384" width="8.7265625" style="34"/>
  </cols>
  <sheetData>
    <row r="4" spans="2:3" ht="29" x14ac:dyDescent="0.35">
      <c r="B4" s="35" t="s">
        <v>120</v>
      </c>
      <c r="C4" s="35" t="s">
        <v>121</v>
      </c>
    </row>
    <row r="5" spans="2:3" ht="16.5" x14ac:dyDescent="0.35">
      <c r="B5" s="36">
        <v>1</v>
      </c>
      <c r="C5" s="36">
        <v>94.64</v>
      </c>
    </row>
    <row r="6" spans="2:3" ht="16.5" x14ac:dyDescent="0.35">
      <c r="B6" s="36">
        <v>2</v>
      </c>
      <c r="C6" s="36">
        <v>89.09</v>
      </c>
    </row>
    <row r="7" spans="2:3" ht="16.5" x14ac:dyDescent="0.35">
      <c r="B7" s="36">
        <v>3</v>
      </c>
      <c r="C7" s="36">
        <v>83.86</v>
      </c>
    </row>
    <row r="8" spans="2:3" ht="16.5" x14ac:dyDescent="0.35">
      <c r="B8" s="36">
        <v>4</v>
      </c>
      <c r="C8" s="36">
        <v>78.25</v>
      </c>
    </row>
    <row r="9" spans="2:3" ht="16.5" x14ac:dyDescent="0.35">
      <c r="B9" s="36">
        <v>5</v>
      </c>
      <c r="C9" s="36">
        <v>73.489999999999995</v>
      </c>
    </row>
    <row r="10" spans="2:3" ht="16.5" x14ac:dyDescent="0.35">
      <c r="B10" s="36">
        <v>6</v>
      </c>
      <c r="C10" s="36">
        <v>68.3</v>
      </c>
    </row>
    <row r="11" spans="2:3" ht="16.5" x14ac:dyDescent="0.35">
      <c r="B11" s="36">
        <v>7</v>
      </c>
      <c r="C11" s="36">
        <v>63.74</v>
      </c>
    </row>
    <row r="12" spans="2:3" ht="16.5" x14ac:dyDescent="0.35">
      <c r="B12" s="36">
        <v>8</v>
      </c>
      <c r="C12" s="36">
        <v>59.62</v>
      </c>
    </row>
    <row r="13" spans="2:3" ht="16.5" x14ac:dyDescent="0.35">
      <c r="B13" s="36">
        <v>9</v>
      </c>
      <c r="C13" s="36">
        <v>56.45</v>
      </c>
    </row>
    <row r="14" spans="2:3" ht="16.5" x14ac:dyDescent="0.35">
      <c r="B14" s="36">
        <v>10</v>
      </c>
      <c r="C14" s="36">
        <v>52.39</v>
      </c>
    </row>
    <row r="15" spans="2:3" ht="16.5" x14ac:dyDescent="0.35">
      <c r="B15" s="36">
        <v>11</v>
      </c>
      <c r="C15" s="36">
        <v>48.62</v>
      </c>
    </row>
    <row r="16" spans="2:3" ht="16.5" x14ac:dyDescent="0.35">
      <c r="B16" s="36">
        <v>12</v>
      </c>
      <c r="C16" s="36">
        <v>45.26</v>
      </c>
    </row>
    <row r="17" spans="2:3" ht="16.5" x14ac:dyDescent="0.35">
      <c r="B17" s="36">
        <v>13</v>
      </c>
      <c r="C17" s="36">
        <v>41.9</v>
      </c>
    </row>
    <row r="18" spans="2:3" ht="16.5" x14ac:dyDescent="0.35">
      <c r="B18" s="36">
        <v>14</v>
      </c>
      <c r="C18" s="36">
        <v>39.130000000000003</v>
      </c>
    </row>
    <row r="19" spans="2:3" ht="16.5" x14ac:dyDescent="0.35">
      <c r="B19" s="36">
        <v>15</v>
      </c>
      <c r="C19" s="36">
        <v>35.770000000000003</v>
      </c>
    </row>
    <row r="20" spans="2:3" ht="16.5" x14ac:dyDescent="0.35">
      <c r="B20" s="36">
        <v>16</v>
      </c>
      <c r="C20" s="36">
        <v>33.270000000000003</v>
      </c>
    </row>
    <row r="21" spans="2:3" ht="16.5" x14ac:dyDescent="0.35">
      <c r="B21" s="36">
        <v>17</v>
      </c>
      <c r="C21" s="36">
        <v>30.67</v>
      </c>
    </row>
    <row r="22" spans="2:3" ht="16.5" x14ac:dyDescent="0.35">
      <c r="B22" s="36">
        <v>18</v>
      </c>
      <c r="C22" s="36">
        <v>28.46</v>
      </c>
    </row>
    <row r="23" spans="2:3" ht="16.5" x14ac:dyDescent="0.35">
      <c r="B23" s="36">
        <v>19</v>
      </c>
      <c r="C23" s="36">
        <v>26.46</v>
      </c>
    </row>
    <row r="24" spans="2:3" ht="16.5" x14ac:dyDescent="0.35">
      <c r="B24" s="36">
        <v>20</v>
      </c>
      <c r="C24" s="36">
        <v>24.43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266F-35B3-4C4F-A93A-C75749B3D52B}">
  <dimension ref="B3:H23"/>
  <sheetViews>
    <sheetView showGridLines="0" workbookViewId="0"/>
  </sheetViews>
  <sheetFormatPr defaultRowHeight="14.5" x14ac:dyDescent="0.35"/>
  <cols>
    <col min="3" max="3" width="23.81640625" bestFit="1" customWidth="1"/>
  </cols>
  <sheetData>
    <row r="3" spans="2:8" x14ac:dyDescent="0.35">
      <c r="B3" s="12" t="s">
        <v>120</v>
      </c>
      <c r="C3" s="12" t="s">
        <v>121</v>
      </c>
      <c r="D3" s="12" t="s">
        <v>122</v>
      </c>
      <c r="G3" s="27"/>
      <c r="H3" s="27"/>
    </row>
    <row r="4" spans="2:8" ht="16.5" x14ac:dyDescent="0.35">
      <c r="B4" s="37">
        <v>1</v>
      </c>
      <c r="C4" s="37">
        <v>94.64</v>
      </c>
      <c r="D4" s="38">
        <f>(100/C4)^(1/B4)-1</f>
        <v>5.6635672020287409E-2</v>
      </c>
    </row>
    <row r="5" spans="2:8" ht="16.5" x14ac:dyDescent="0.35">
      <c r="B5" s="37">
        <v>2</v>
      </c>
      <c r="C5" s="37">
        <v>89.09</v>
      </c>
      <c r="D5" s="38">
        <f t="shared" ref="D5:D23" si="0">(100/C5)^(1/B5)-1</f>
        <v>5.94623321618033E-2</v>
      </c>
    </row>
    <row r="6" spans="2:8" ht="16.5" x14ac:dyDescent="0.35">
      <c r="B6" s="37">
        <v>3</v>
      </c>
      <c r="C6" s="37">
        <v>83.86</v>
      </c>
      <c r="D6" s="38">
        <f t="shared" si="0"/>
        <v>6.0429287926884401E-2</v>
      </c>
    </row>
    <row r="7" spans="2:8" ht="16.5" x14ac:dyDescent="0.35">
      <c r="B7" s="37">
        <v>4</v>
      </c>
      <c r="C7" s="37">
        <v>78.25</v>
      </c>
      <c r="D7" s="38">
        <f t="shared" si="0"/>
        <v>6.3234140671020178E-2</v>
      </c>
    </row>
    <row r="8" spans="2:8" ht="16.5" x14ac:dyDescent="0.35">
      <c r="B8" s="37">
        <v>5</v>
      </c>
      <c r="C8" s="37">
        <v>73.489999999999995</v>
      </c>
      <c r="D8" s="38">
        <f t="shared" si="0"/>
        <v>6.3541278459861461E-2</v>
      </c>
    </row>
    <row r="9" spans="2:8" ht="16.5" x14ac:dyDescent="0.35">
      <c r="B9" s="37">
        <v>6</v>
      </c>
      <c r="C9" s="37">
        <v>68.3</v>
      </c>
      <c r="D9" s="38">
        <f t="shared" si="0"/>
        <v>6.5605735534161491E-2</v>
      </c>
    </row>
    <row r="10" spans="2:8" ht="16.5" x14ac:dyDescent="0.35">
      <c r="B10" s="37">
        <v>7</v>
      </c>
      <c r="C10" s="37">
        <v>63.74</v>
      </c>
      <c r="D10" s="38">
        <f t="shared" si="0"/>
        <v>6.6451561354730959E-2</v>
      </c>
    </row>
    <row r="11" spans="2:8" ht="16.5" x14ac:dyDescent="0.35">
      <c r="B11" s="37">
        <v>8</v>
      </c>
      <c r="C11" s="37">
        <v>59.62</v>
      </c>
      <c r="D11" s="38">
        <f t="shared" si="0"/>
        <v>6.6782796806214684E-2</v>
      </c>
    </row>
    <row r="12" spans="2:8" ht="16.5" x14ac:dyDescent="0.35">
      <c r="B12" s="37">
        <v>9</v>
      </c>
      <c r="C12" s="37">
        <v>56.45</v>
      </c>
      <c r="D12" s="38">
        <f t="shared" si="0"/>
        <v>6.5596768650632686E-2</v>
      </c>
    </row>
    <row r="13" spans="2:8" ht="16.5" x14ac:dyDescent="0.35">
      <c r="B13" s="37">
        <v>10</v>
      </c>
      <c r="C13" s="37">
        <v>52.39</v>
      </c>
      <c r="D13" s="38">
        <f t="shared" si="0"/>
        <v>6.6780725158199994E-2</v>
      </c>
    </row>
    <row r="14" spans="2:8" ht="16.5" x14ac:dyDescent="0.35">
      <c r="B14" s="37">
        <v>11</v>
      </c>
      <c r="C14" s="37">
        <v>48.62</v>
      </c>
      <c r="D14" s="38">
        <f t="shared" si="0"/>
        <v>6.7754395155977809E-2</v>
      </c>
    </row>
    <row r="15" spans="2:8" ht="16.5" x14ac:dyDescent="0.35">
      <c r="B15" s="37">
        <v>12</v>
      </c>
      <c r="C15" s="37">
        <v>45.26</v>
      </c>
      <c r="D15" s="38">
        <f t="shared" si="0"/>
        <v>6.8293175912464976E-2</v>
      </c>
    </row>
    <row r="16" spans="2:8" ht="16.5" x14ac:dyDescent="0.35">
      <c r="B16" s="37">
        <v>13</v>
      </c>
      <c r="C16" s="37">
        <v>41.9</v>
      </c>
      <c r="D16" s="38">
        <f t="shared" si="0"/>
        <v>6.9203716741887078E-2</v>
      </c>
    </row>
    <row r="17" spans="2:4" ht="16.5" x14ac:dyDescent="0.35">
      <c r="B17" s="37">
        <v>14</v>
      </c>
      <c r="C17" s="37">
        <v>39.130000000000003</v>
      </c>
      <c r="D17" s="38">
        <f t="shared" si="0"/>
        <v>6.9316921564967382E-2</v>
      </c>
    </row>
    <row r="18" spans="2:4" ht="16.5" x14ac:dyDescent="0.35">
      <c r="B18" s="37">
        <v>15</v>
      </c>
      <c r="C18" s="37">
        <v>35.770000000000003</v>
      </c>
      <c r="D18" s="38">
        <f t="shared" si="0"/>
        <v>7.094065116078685E-2</v>
      </c>
    </row>
    <row r="19" spans="2:4" ht="16.5" x14ac:dyDescent="0.35">
      <c r="B19" s="37">
        <v>16</v>
      </c>
      <c r="C19" s="37">
        <v>33.270000000000003</v>
      </c>
      <c r="D19" s="38">
        <f t="shared" si="0"/>
        <v>7.1202801837095375E-2</v>
      </c>
    </row>
    <row r="20" spans="2:4" ht="16.5" x14ac:dyDescent="0.35">
      <c r="B20" s="37">
        <v>17</v>
      </c>
      <c r="C20" s="37">
        <v>30.67</v>
      </c>
      <c r="D20" s="38">
        <f t="shared" si="0"/>
        <v>7.1996351601485875E-2</v>
      </c>
    </row>
    <row r="21" spans="2:4" ht="16.5" x14ac:dyDescent="0.35">
      <c r="B21" s="37">
        <v>18</v>
      </c>
      <c r="C21" s="37">
        <v>28.46</v>
      </c>
      <c r="D21" s="38">
        <f t="shared" si="0"/>
        <v>7.2309820938943448E-2</v>
      </c>
    </row>
    <row r="22" spans="2:4" ht="16.5" x14ac:dyDescent="0.35">
      <c r="B22" s="37">
        <v>19</v>
      </c>
      <c r="C22" s="37">
        <v>26.46</v>
      </c>
      <c r="D22" s="38">
        <f t="shared" si="0"/>
        <v>7.2481991336346585E-2</v>
      </c>
    </row>
    <row r="23" spans="2:4" ht="16.5" x14ac:dyDescent="0.35">
      <c r="B23" s="37">
        <v>20</v>
      </c>
      <c r="C23" s="37">
        <v>24.43</v>
      </c>
      <c r="D23" s="38">
        <f t="shared" si="0"/>
        <v>7.3010141386563143E-2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D9F72-7928-45CC-9741-D57ABAAD0C9B}">
  <dimension ref="B3:I23"/>
  <sheetViews>
    <sheetView workbookViewId="0"/>
  </sheetViews>
  <sheetFormatPr defaultRowHeight="14.5" x14ac:dyDescent="0.35"/>
  <cols>
    <col min="3" max="3" width="23.81640625" bestFit="1" customWidth="1"/>
    <col min="5" max="5" width="8.7265625" style="33"/>
  </cols>
  <sheetData>
    <row r="3" spans="2:9" x14ac:dyDescent="0.35">
      <c r="B3" s="12" t="s">
        <v>120</v>
      </c>
      <c r="C3" s="12" t="s">
        <v>121</v>
      </c>
      <c r="D3" s="12" t="s">
        <v>122</v>
      </c>
      <c r="E3" s="38" t="s">
        <v>123</v>
      </c>
      <c r="H3" s="27"/>
      <c r="I3" s="27"/>
    </row>
    <row r="4" spans="2:9" ht="16.5" x14ac:dyDescent="0.35">
      <c r="B4" s="37">
        <v>1</v>
      </c>
      <c r="C4" s="37">
        <v>94.64</v>
      </c>
      <c r="D4" s="38">
        <f>(100/C4)^(1/B4)-1</f>
        <v>5.6635672020287409E-2</v>
      </c>
      <c r="E4" s="38">
        <f>D4</f>
        <v>5.6635672020287409E-2</v>
      </c>
    </row>
    <row r="5" spans="2:9" ht="16.5" x14ac:dyDescent="0.35">
      <c r="B5" s="37">
        <v>2</v>
      </c>
      <c r="C5" s="37">
        <v>89.09</v>
      </c>
      <c r="D5" s="38">
        <f t="shared" ref="D5:D23" si="0">(100/C5)^(1/B5)-1</f>
        <v>5.94623321618033E-2</v>
      </c>
      <c r="E5" s="38">
        <f t="shared" ref="E5:E23" si="1">(1+D5)^B5/(1+D4)^B4-1</f>
        <v>6.2296554046469943E-2</v>
      </c>
    </row>
    <row r="6" spans="2:9" ht="16.5" x14ac:dyDescent="0.35">
      <c r="B6" s="37">
        <v>3</v>
      </c>
      <c r="C6" s="37">
        <v>83.86</v>
      </c>
      <c r="D6" s="38">
        <f t="shared" si="0"/>
        <v>6.0429287926884401E-2</v>
      </c>
      <c r="E6" s="38">
        <f t="shared" si="1"/>
        <v>6.2365847841640898E-2</v>
      </c>
    </row>
    <row r="7" spans="2:9" ht="16.5" x14ac:dyDescent="0.35">
      <c r="B7" s="37">
        <v>4</v>
      </c>
      <c r="C7" s="37">
        <v>78.25</v>
      </c>
      <c r="D7" s="38">
        <f t="shared" si="0"/>
        <v>6.3234140671020178E-2</v>
      </c>
      <c r="E7" s="38">
        <f t="shared" si="1"/>
        <v>7.1693290734824E-2</v>
      </c>
    </row>
    <row r="8" spans="2:9" ht="16.5" x14ac:dyDescent="0.35">
      <c r="B8" s="37">
        <v>5</v>
      </c>
      <c r="C8" s="37">
        <v>73.489999999999995</v>
      </c>
      <c r="D8" s="38">
        <f t="shared" si="0"/>
        <v>6.3541278459861461E-2</v>
      </c>
      <c r="E8" s="38">
        <f t="shared" si="1"/>
        <v>6.4770717104368547E-2</v>
      </c>
    </row>
    <row r="9" spans="2:9" ht="16.5" x14ac:dyDescent="0.35">
      <c r="B9" s="37">
        <v>6</v>
      </c>
      <c r="C9" s="37">
        <v>68.3</v>
      </c>
      <c r="D9" s="38">
        <f t="shared" si="0"/>
        <v>6.5605735534161491E-2</v>
      </c>
      <c r="E9" s="38">
        <f t="shared" si="1"/>
        <v>7.5988286969252528E-2</v>
      </c>
    </row>
    <row r="10" spans="2:9" ht="16.5" x14ac:dyDescent="0.35">
      <c r="B10" s="37">
        <v>7</v>
      </c>
      <c r="C10" s="37">
        <v>63.74</v>
      </c>
      <c r="D10" s="38">
        <f t="shared" si="0"/>
        <v>6.6451561354730959E-2</v>
      </c>
      <c r="E10" s="38">
        <f t="shared" si="1"/>
        <v>7.1540633824913824E-2</v>
      </c>
    </row>
    <row r="11" spans="2:9" ht="16.5" x14ac:dyDescent="0.35">
      <c r="B11" s="37">
        <v>8</v>
      </c>
      <c r="C11" s="37">
        <v>59.62</v>
      </c>
      <c r="D11" s="38">
        <f t="shared" si="0"/>
        <v>6.6782796806214684E-2</v>
      </c>
      <c r="E11" s="38">
        <f t="shared" si="1"/>
        <v>6.9104327406910748E-2</v>
      </c>
    </row>
    <row r="12" spans="2:9" ht="16.5" x14ac:dyDescent="0.35">
      <c r="B12" s="37">
        <v>9</v>
      </c>
      <c r="C12" s="37">
        <v>56.45</v>
      </c>
      <c r="D12" s="38">
        <f t="shared" si="0"/>
        <v>6.5596768650632686E-2</v>
      </c>
      <c r="E12" s="38">
        <f t="shared" si="1"/>
        <v>5.6155890168290368E-2</v>
      </c>
    </row>
    <row r="13" spans="2:9" ht="16.5" x14ac:dyDescent="0.35">
      <c r="B13" s="37">
        <v>10</v>
      </c>
      <c r="C13" s="37">
        <v>52.39</v>
      </c>
      <c r="D13" s="38">
        <f t="shared" si="0"/>
        <v>6.6780725158199994E-2</v>
      </c>
      <c r="E13" s="38">
        <f t="shared" si="1"/>
        <v>7.7495705287268235E-2</v>
      </c>
    </row>
    <row r="14" spans="2:9" ht="16.5" x14ac:dyDescent="0.35">
      <c r="B14" s="37">
        <v>11</v>
      </c>
      <c r="C14" s="37">
        <v>48.62</v>
      </c>
      <c r="D14" s="38">
        <f t="shared" si="0"/>
        <v>6.7754395155977809E-2</v>
      </c>
      <c r="E14" s="38">
        <f t="shared" si="1"/>
        <v>7.7540106951871524E-2</v>
      </c>
    </row>
    <row r="15" spans="2:9" ht="16.5" x14ac:dyDescent="0.35">
      <c r="B15" s="37">
        <v>12</v>
      </c>
      <c r="C15" s="37">
        <v>45.26</v>
      </c>
      <c r="D15" s="38">
        <f t="shared" si="0"/>
        <v>6.8293175912464976E-2</v>
      </c>
      <c r="E15" s="38">
        <f t="shared" si="1"/>
        <v>7.4237737516572366E-2</v>
      </c>
    </row>
    <row r="16" spans="2:9" ht="16.5" x14ac:dyDescent="0.35">
      <c r="B16" s="37">
        <v>13</v>
      </c>
      <c r="C16" s="37">
        <v>41.9</v>
      </c>
      <c r="D16" s="38">
        <f t="shared" si="0"/>
        <v>6.9203716741887078E-2</v>
      </c>
      <c r="E16" s="38">
        <f t="shared" si="1"/>
        <v>8.0190930787589654E-2</v>
      </c>
    </row>
    <row r="17" spans="2:5" ht="16.5" x14ac:dyDescent="0.35">
      <c r="B17" s="37">
        <v>14</v>
      </c>
      <c r="C17" s="37">
        <v>39.130000000000003</v>
      </c>
      <c r="D17" s="38">
        <f t="shared" si="0"/>
        <v>6.9316921564967382E-2</v>
      </c>
      <c r="E17" s="38">
        <f t="shared" si="1"/>
        <v>7.0789675440838362E-2</v>
      </c>
    </row>
    <row r="18" spans="2:5" ht="16.5" x14ac:dyDescent="0.35">
      <c r="B18" s="37">
        <v>15</v>
      </c>
      <c r="C18" s="37">
        <v>35.770000000000003</v>
      </c>
      <c r="D18" s="38">
        <f t="shared" si="0"/>
        <v>7.094065116078685E-2</v>
      </c>
      <c r="E18" s="38">
        <f t="shared" si="1"/>
        <v>9.3933463796476602E-2</v>
      </c>
    </row>
    <row r="19" spans="2:5" ht="16.5" x14ac:dyDescent="0.35">
      <c r="B19" s="37">
        <v>16</v>
      </c>
      <c r="C19" s="37">
        <v>33.270000000000003</v>
      </c>
      <c r="D19" s="38">
        <f t="shared" si="0"/>
        <v>7.1202801837095375E-2</v>
      </c>
      <c r="E19" s="38">
        <f t="shared" si="1"/>
        <v>7.5142771265402919E-2</v>
      </c>
    </row>
    <row r="20" spans="2:5" ht="16.5" x14ac:dyDescent="0.35">
      <c r="B20" s="37">
        <v>17</v>
      </c>
      <c r="C20" s="37">
        <v>30.67</v>
      </c>
      <c r="D20" s="38">
        <f t="shared" si="0"/>
        <v>7.1996351601485875E-2</v>
      </c>
      <c r="E20" s="38">
        <f t="shared" si="1"/>
        <v>8.4773394196283824E-2</v>
      </c>
    </row>
    <row r="21" spans="2:5" ht="16.5" x14ac:dyDescent="0.35">
      <c r="B21" s="37">
        <v>18</v>
      </c>
      <c r="C21" s="37">
        <v>28.46</v>
      </c>
      <c r="D21" s="38">
        <f t="shared" si="0"/>
        <v>7.2309820938943448E-2</v>
      </c>
      <c r="E21" s="38">
        <f t="shared" si="1"/>
        <v>7.7652846099791173E-2</v>
      </c>
    </row>
    <row r="22" spans="2:5" ht="16.5" x14ac:dyDescent="0.35">
      <c r="B22" s="37">
        <v>19</v>
      </c>
      <c r="C22" s="37">
        <v>26.46</v>
      </c>
      <c r="D22" s="39">
        <f t="shared" si="0"/>
        <v>7.2481991336346585E-2</v>
      </c>
      <c r="E22" s="38">
        <f t="shared" si="1"/>
        <v>7.5585789871499998E-2</v>
      </c>
    </row>
    <row r="23" spans="2:5" ht="16.5" x14ac:dyDescent="0.35">
      <c r="B23" s="37">
        <v>20</v>
      </c>
      <c r="C23" s="37">
        <v>24.43</v>
      </c>
      <c r="D23" s="39">
        <f t="shared" si="0"/>
        <v>7.3010141386563143E-2</v>
      </c>
      <c r="E23" s="38">
        <f t="shared" si="1"/>
        <v>8.3094555873929776E-2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FC4CE-6C08-4A4E-9169-EA4286B17522}">
  <dimension ref="B3:L23"/>
  <sheetViews>
    <sheetView workbookViewId="0"/>
  </sheetViews>
  <sheetFormatPr defaultRowHeight="14.5" x14ac:dyDescent="0.35"/>
  <cols>
    <col min="2" max="2" width="14.81640625" bestFit="1" customWidth="1"/>
    <col min="11" max="11" width="21.81640625" bestFit="1" customWidth="1"/>
  </cols>
  <sheetData>
    <row r="3" spans="2:12" x14ac:dyDescent="0.35">
      <c r="B3" t="s">
        <v>114</v>
      </c>
      <c r="C3" s="11">
        <v>0.06</v>
      </c>
    </row>
    <row r="4" spans="2:12" x14ac:dyDescent="0.35">
      <c r="B4" t="s">
        <v>124</v>
      </c>
      <c r="C4">
        <v>100000</v>
      </c>
      <c r="G4" t="s">
        <v>125</v>
      </c>
      <c r="H4">
        <f>SUMPRODUCT(G8:G12,E8:E12)</f>
        <v>98649.799999999988</v>
      </c>
    </row>
    <row r="6" spans="2:12" x14ac:dyDescent="0.35">
      <c r="B6" t="s">
        <v>126</v>
      </c>
      <c r="C6" s="27"/>
      <c r="D6" s="27"/>
      <c r="E6" s="27"/>
      <c r="F6" s="63"/>
      <c r="G6" s="63"/>
      <c r="H6" s="63"/>
    </row>
    <row r="7" spans="2:12" x14ac:dyDescent="0.35">
      <c r="B7" s="12" t="s">
        <v>90</v>
      </c>
      <c r="C7" s="12" t="s">
        <v>127</v>
      </c>
      <c r="D7" s="12" t="s">
        <v>128</v>
      </c>
      <c r="E7" s="12" t="s">
        <v>129</v>
      </c>
      <c r="F7" s="12" t="s">
        <v>122</v>
      </c>
      <c r="G7" s="12" t="s">
        <v>130</v>
      </c>
      <c r="H7" s="12" t="s">
        <v>119</v>
      </c>
      <c r="K7" s="27"/>
      <c r="L7" s="27"/>
    </row>
    <row r="8" spans="2:12" x14ac:dyDescent="0.35">
      <c r="B8" s="12">
        <v>1</v>
      </c>
      <c r="C8" s="12">
        <f>$C$4*$C$3</f>
        <v>6000</v>
      </c>
      <c r="D8" s="12"/>
      <c r="E8" s="12">
        <f>C8+D8</f>
        <v>6000</v>
      </c>
      <c r="F8" s="12">
        <f>VLOOKUP(B8,'Q3(ii)'!$B$3:$D$23,3,0)</f>
        <v>5.6635672020287409E-2</v>
      </c>
      <c r="G8" s="12">
        <f>1/(1+F8)^B8</f>
        <v>0.94640000000000002</v>
      </c>
      <c r="H8" s="12">
        <f>E8*G8</f>
        <v>5678.4000000000005</v>
      </c>
      <c r="K8" s="27"/>
      <c r="L8" s="27"/>
    </row>
    <row r="9" spans="2:12" x14ac:dyDescent="0.35">
      <c r="B9" s="12">
        <v>2</v>
      </c>
      <c r="C9" s="12">
        <f t="shared" ref="C9:C12" si="0">$C$4*$C$3</f>
        <v>6000</v>
      </c>
      <c r="D9" s="12"/>
      <c r="E9" s="12">
        <f t="shared" ref="E9:E12" si="1">C9+D9</f>
        <v>6000</v>
      </c>
      <c r="F9" s="12">
        <f>VLOOKUP(B9,'Q3(ii)'!$B$3:$D$23,3,0)</f>
        <v>5.94623321618033E-2</v>
      </c>
      <c r="G9" s="12">
        <f t="shared" ref="G9:G12" si="2">1/(1+F9)^B9</f>
        <v>0.89090000000000003</v>
      </c>
      <c r="H9" s="12">
        <f t="shared" ref="H9:H12" si="3">E9*G9</f>
        <v>5345.4000000000005</v>
      </c>
      <c r="K9" s="27"/>
      <c r="L9" s="27"/>
    </row>
    <row r="10" spans="2:12" x14ac:dyDescent="0.35">
      <c r="B10" s="12">
        <v>3</v>
      </c>
      <c r="C10" s="12">
        <f t="shared" si="0"/>
        <v>6000</v>
      </c>
      <c r="D10" s="12"/>
      <c r="E10" s="12">
        <f t="shared" si="1"/>
        <v>6000</v>
      </c>
      <c r="F10" s="12">
        <f>VLOOKUP(B10,'Q3(ii)'!$B$3:$D$23,3,0)</f>
        <v>6.0429287926884401E-2</v>
      </c>
      <c r="G10" s="12">
        <f t="shared" si="2"/>
        <v>0.8385999999999999</v>
      </c>
      <c r="H10" s="12">
        <f t="shared" si="3"/>
        <v>5031.5999999999995</v>
      </c>
      <c r="L10" s="27"/>
    </row>
    <row r="11" spans="2:12" x14ac:dyDescent="0.35">
      <c r="B11" s="12">
        <v>4</v>
      </c>
      <c r="C11" s="12">
        <f t="shared" si="0"/>
        <v>6000</v>
      </c>
      <c r="D11" s="12"/>
      <c r="E11" s="12">
        <f t="shared" si="1"/>
        <v>6000</v>
      </c>
      <c r="F11" s="12">
        <f>VLOOKUP(B11,'Q3(ii)'!$B$3:$D$23,3,0)</f>
        <v>6.3234140671020178E-2</v>
      </c>
      <c r="G11" s="12">
        <f t="shared" si="2"/>
        <v>0.7825000000000002</v>
      </c>
      <c r="H11" s="12">
        <f t="shared" si="3"/>
        <v>4695.0000000000009</v>
      </c>
    </row>
    <row r="12" spans="2:12" x14ac:dyDescent="0.35">
      <c r="B12" s="12">
        <v>5</v>
      </c>
      <c r="C12" s="12">
        <f t="shared" si="0"/>
        <v>6000</v>
      </c>
      <c r="D12" s="12">
        <f>C4</f>
        <v>100000</v>
      </c>
      <c r="E12" s="12">
        <f t="shared" si="1"/>
        <v>106000</v>
      </c>
      <c r="F12" s="12">
        <f>VLOOKUP(B12,'Q3(ii)'!$B$3:$D$23,3,0)</f>
        <v>6.3541278459861461E-2</v>
      </c>
      <c r="G12" s="12">
        <f t="shared" si="2"/>
        <v>0.73489999999999978</v>
      </c>
      <c r="H12" s="12">
        <f t="shared" si="3"/>
        <v>77899.39999999998</v>
      </c>
    </row>
    <row r="13" spans="2:12" x14ac:dyDescent="0.35">
      <c r="B13" s="12"/>
      <c r="C13" s="12"/>
      <c r="D13" s="12"/>
      <c r="E13" s="12"/>
      <c r="F13" s="12" t="s">
        <v>125</v>
      </c>
      <c r="G13" s="12"/>
      <c r="H13" s="12">
        <f>SUM(H8:H12)</f>
        <v>98649.799999999988</v>
      </c>
    </row>
    <row r="16" spans="2:12" x14ac:dyDescent="0.35">
      <c r="B16" t="s">
        <v>131</v>
      </c>
      <c r="F16" s="63"/>
      <c r="G16" s="63"/>
      <c r="H16" s="63"/>
    </row>
    <row r="17" spans="2:8" x14ac:dyDescent="0.35">
      <c r="B17" s="12" t="s">
        <v>90</v>
      </c>
      <c r="C17" s="12" t="s">
        <v>127</v>
      </c>
      <c r="D17" s="12" t="s">
        <v>128</v>
      </c>
      <c r="E17" s="12" t="s">
        <v>129</v>
      </c>
      <c r="F17" s="12" t="s">
        <v>132</v>
      </c>
      <c r="G17" s="12" t="s">
        <v>133</v>
      </c>
      <c r="H17" s="12" t="s">
        <v>119</v>
      </c>
    </row>
    <row r="18" spans="2:8" x14ac:dyDescent="0.35">
      <c r="B18" s="12">
        <v>1</v>
      </c>
      <c r="C18" s="12">
        <f>$C$4*$C$3</f>
        <v>6000</v>
      </c>
      <c r="D18" s="12"/>
      <c r="E18" s="12">
        <f>C18+D18</f>
        <v>6000</v>
      </c>
      <c r="F18" s="12">
        <f>VLOOKUP(B18,'Q3(ii)'!$B$3:$E$23,4,0)</f>
        <v>5.6635672020287409E-2</v>
      </c>
      <c r="G18" s="12">
        <f>1/(1+F18)</f>
        <v>0.94640000000000002</v>
      </c>
      <c r="H18" s="12">
        <f>E18*G18</f>
        <v>5678.4000000000005</v>
      </c>
    </row>
    <row r="19" spans="2:8" x14ac:dyDescent="0.35">
      <c r="B19" s="12">
        <v>2</v>
      </c>
      <c r="C19" s="12">
        <f t="shared" ref="C19:C22" si="4">$C$4*$C$3</f>
        <v>6000</v>
      </c>
      <c r="D19" s="12"/>
      <c r="E19" s="12">
        <f t="shared" ref="E19:E22" si="5">C19+D19</f>
        <v>6000</v>
      </c>
      <c r="F19" s="12">
        <f>VLOOKUP(B19,'Q3(ii)'!$B$3:$E$23,4,0)</f>
        <v>6.2296554046469943E-2</v>
      </c>
      <c r="G19" s="12">
        <f>G18/(1+F19)</f>
        <v>0.89089999999999991</v>
      </c>
      <c r="H19" s="12">
        <f t="shared" ref="H19:H22" si="6">E19*G19</f>
        <v>5345.4</v>
      </c>
    </row>
    <row r="20" spans="2:8" x14ac:dyDescent="0.35">
      <c r="B20" s="12">
        <v>3</v>
      </c>
      <c r="C20" s="12">
        <f t="shared" si="4"/>
        <v>6000</v>
      </c>
      <c r="D20" s="12"/>
      <c r="E20" s="12">
        <f t="shared" si="5"/>
        <v>6000</v>
      </c>
      <c r="F20" s="12">
        <f>VLOOKUP(B20,'Q3(ii)'!$B$3:$E$23,4,0)</f>
        <v>6.2365847841640898E-2</v>
      </c>
      <c r="G20" s="12">
        <f t="shared" ref="G20:G21" si="7">G19/(1+F20)</f>
        <v>0.8385999999999999</v>
      </c>
      <c r="H20" s="12">
        <f t="shared" si="6"/>
        <v>5031.5999999999995</v>
      </c>
    </row>
    <row r="21" spans="2:8" x14ac:dyDescent="0.35">
      <c r="B21" s="12">
        <v>4</v>
      </c>
      <c r="C21" s="12">
        <f t="shared" si="4"/>
        <v>6000</v>
      </c>
      <c r="D21" s="12"/>
      <c r="E21" s="12">
        <f t="shared" si="5"/>
        <v>6000</v>
      </c>
      <c r="F21" s="12">
        <f>VLOOKUP(B21,'Q3(ii)'!$B$3:$E$23,4,0)</f>
        <v>7.1693290734824E-2</v>
      </c>
      <c r="G21" s="12">
        <f t="shared" si="7"/>
        <v>0.78250000000000008</v>
      </c>
      <c r="H21" s="12">
        <f t="shared" si="6"/>
        <v>4695.0000000000009</v>
      </c>
    </row>
    <row r="22" spans="2:8" x14ac:dyDescent="0.35">
      <c r="B22" s="12">
        <v>5</v>
      </c>
      <c r="C22" s="12">
        <f t="shared" si="4"/>
        <v>6000</v>
      </c>
      <c r="D22" s="12">
        <f>C4</f>
        <v>100000</v>
      </c>
      <c r="E22" s="12">
        <f t="shared" si="5"/>
        <v>106000</v>
      </c>
      <c r="F22" s="12">
        <f>VLOOKUP(B22,'Q3(ii)'!$B$3:$E$23,4,0)</f>
        <v>6.4770717104368547E-2</v>
      </c>
      <c r="G22" s="12">
        <f>G21/(1+F22)</f>
        <v>0.73489999999999966</v>
      </c>
      <c r="H22" s="12">
        <f t="shared" si="6"/>
        <v>77899.399999999965</v>
      </c>
    </row>
    <row r="23" spans="2:8" x14ac:dyDescent="0.35">
      <c r="B23" s="12"/>
      <c r="C23" s="12"/>
      <c r="D23" s="12"/>
      <c r="E23" s="12"/>
      <c r="F23" s="12" t="s">
        <v>125</v>
      </c>
      <c r="G23" s="12"/>
      <c r="H23" s="12">
        <f>SUM(H18:H22)</f>
        <v>98649.799999999959</v>
      </c>
    </row>
  </sheetData>
  <mergeCells count="2">
    <mergeCell ref="F16:H16"/>
    <mergeCell ref="F6:H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D2F3-1C03-47DA-A3DB-345754EBC472}">
  <dimension ref="B2:O73"/>
  <sheetViews>
    <sheetView workbookViewId="0"/>
  </sheetViews>
  <sheetFormatPr defaultRowHeight="14.5" x14ac:dyDescent="0.35"/>
  <cols>
    <col min="4" max="4" width="12.54296875" bestFit="1" customWidth="1"/>
    <col min="5" max="5" width="10.1796875" bestFit="1" customWidth="1"/>
    <col min="6" max="7" width="12.54296875" bestFit="1" customWidth="1"/>
  </cols>
  <sheetData>
    <row r="2" spans="2:15" x14ac:dyDescent="0.35">
      <c r="B2" s="14" t="s">
        <v>134</v>
      </c>
    </row>
    <row r="3" spans="2:15" x14ac:dyDescent="0.35">
      <c r="B3" t="s">
        <v>135</v>
      </c>
      <c r="F3" s="17">
        <v>1500000</v>
      </c>
      <c r="G3" s="18"/>
    </row>
    <row r="4" spans="2:15" x14ac:dyDescent="0.35">
      <c r="B4" t="s">
        <v>136</v>
      </c>
      <c r="F4" s="11">
        <v>0.05</v>
      </c>
      <c r="K4" s="27"/>
    </row>
    <row r="5" spans="2:15" x14ac:dyDescent="0.35">
      <c r="B5" t="s">
        <v>137</v>
      </c>
      <c r="F5" s="17">
        <f>F3*(1+F4)^5</f>
        <v>1914422.3437500002</v>
      </c>
      <c r="H5" s="27"/>
    </row>
    <row r="6" spans="2:15" x14ac:dyDescent="0.35">
      <c r="B6" t="s">
        <v>138</v>
      </c>
      <c r="F6" s="17">
        <v>14292.841933864565</v>
      </c>
      <c r="G6" t="s">
        <v>88</v>
      </c>
      <c r="H6" s="27"/>
      <c r="K6" s="27"/>
      <c r="L6" s="27"/>
      <c r="M6" s="27"/>
      <c r="N6" s="27"/>
      <c r="O6" s="27"/>
    </row>
    <row r="7" spans="2:15" x14ac:dyDescent="0.35">
      <c r="B7" t="s">
        <v>139</v>
      </c>
      <c r="F7" s="15">
        <v>8.1500000000000003E-2</v>
      </c>
      <c r="H7" s="27"/>
      <c r="K7" s="27"/>
      <c r="L7" s="27"/>
      <c r="M7" s="27"/>
      <c r="N7" s="27"/>
      <c r="O7" s="27"/>
    </row>
    <row r="8" spans="2:15" x14ac:dyDescent="0.35">
      <c r="B8" t="s">
        <v>140</v>
      </c>
      <c r="F8">
        <f>(1+F7)^(1/12)-1</f>
        <v>6.5504414442880687E-3</v>
      </c>
      <c r="H8" s="27"/>
      <c r="K8" s="27"/>
      <c r="L8" s="27"/>
      <c r="M8" s="27"/>
      <c r="N8" s="27"/>
      <c r="O8" s="27"/>
    </row>
    <row r="9" spans="2:15" x14ac:dyDescent="0.35">
      <c r="B9" t="s">
        <v>141</v>
      </c>
      <c r="F9">
        <f>G73</f>
        <v>1914422.3437500019</v>
      </c>
      <c r="K9" s="27"/>
      <c r="L9" s="27"/>
      <c r="M9" s="27"/>
      <c r="N9" s="27"/>
      <c r="O9" s="27"/>
    </row>
    <row r="10" spans="2:15" x14ac:dyDescent="0.35">
      <c r="B10" t="s">
        <v>142</v>
      </c>
      <c r="F10" s="19">
        <f>F9-F5</f>
        <v>0</v>
      </c>
      <c r="K10" s="27"/>
      <c r="L10" s="27"/>
      <c r="M10" s="27"/>
      <c r="N10" s="27"/>
      <c r="O10" s="27"/>
    </row>
    <row r="12" spans="2:15" x14ac:dyDescent="0.35">
      <c r="C12" s="12" t="s">
        <v>90</v>
      </c>
      <c r="D12" s="12" t="s">
        <v>143</v>
      </c>
      <c r="E12" s="12" t="s">
        <v>144</v>
      </c>
      <c r="F12" s="12" t="s">
        <v>145</v>
      </c>
      <c r="G12" s="12" t="s">
        <v>146</v>
      </c>
      <c r="I12" s="27"/>
    </row>
    <row r="13" spans="2:15" x14ac:dyDescent="0.35">
      <c r="C13" s="12"/>
      <c r="D13" s="12"/>
      <c r="E13" s="12"/>
      <c r="F13" s="12"/>
      <c r="G13" s="12"/>
    </row>
    <row r="14" spans="2:15" x14ac:dyDescent="0.35">
      <c r="C14" s="12">
        <v>1</v>
      </c>
      <c r="D14" s="21">
        <v>0</v>
      </c>
      <c r="E14" s="21">
        <f>$F$6</f>
        <v>14292.841933864565</v>
      </c>
      <c r="F14" s="21">
        <f>(D14)*$F$8</f>
        <v>0</v>
      </c>
      <c r="G14" s="21">
        <f>D14+E14+F14</f>
        <v>14292.841933864565</v>
      </c>
    </row>
    <row r="15" spans="2:15" x14ac:dyDescent="0.35">
      <c r="C15" s="12">
        <f>C14+1</f>
        <v>2</v>
      </c>
      <c r="D15" s="21">
        <f>G14</f>
        <v>14292.841933864565</v>
      </c>
      <c r="E15" s="21">
        <f>E14*(1.02)</f>
        <v>14578.698772541857</v>
      </c>
      <c r="F15" s="21">
        <f t="shared" ref="F15:F73" si="0">(D15)*$F$8</f>
        <v>93.624424160244871</v>
      </c>
      <c r="G15" s="21">
        <f t="shared" ref="G15:G73" si="1">D15+E15+F15</f>
        <v>28965.165130566664</v>
      </c>
    </row>
    <row r="16" spans="2:15" x14ac:dyDescent="0.35">
      <c r="C16" s="12">
        <f t="shared" ref="C16:C73" si="2">C15+1</f>
        <v>3</v>
      </c>
      <c r="D16" s="21">
        <f t="shared" ref="D16:D73" si="3">G15</f>
        <v>28965.165130566664</v>
      </c>
      <c r="E16" s="21">
        <f t="shared" ref="E16:E73" si="4">E15*(1.02)</f>
        <v>14870.272747992694</v>
      </c>
      <c r="F16" s="21">
        <f t="shared" si="0"/>
        <v>189.73461811191152</v>
      </c>
      <c r="G16" s="21">
        <f t="shared" si="1"/>
        <v>44025.172496671272</v>
      </c>
    </row>
    <row r="17" spans="3:7" x14ac:dyDescent="0.35">
      <c r="C17" s="12">
        <f t="shared" si="2"/>
        <v>4</v>
      </c>
      <c r="D17" s="21">
        <f t="shared" si="3"/>
        <v>44025.172496671272</v>
      </c>
      <c r="E17" s="21">
        <f t="shared" si="4"/>
        <v>15167.678202952549</v>
      </c>
      <c r="F17" s="21">
        <f t="shared" si="0"/>
        <v>288.38431451412674</v>
      </c>
      <c r="G17" s="21">
        <f t="shared" si="1"/>
        <v>59481.23501413795</v>
      </c>
    </row>
    <row r="18" spans="3:7" x14ac:dyDescent="0.35">
      <c r="C18" s="12">
        <f t="shared" si="2"/>
        <v>5</v>
      </c>
      <c r="D18" s="21">
        <f t="shared" si="3"/>
        <v>59481.23501413795</v>
      </c>
      <c r="E18" s="21">
        <f t="shared" si="4"/>
        <v>15471.0317670116</v>
      </c>
      <c r="F18" s="21">
        <f t="shared" si="0"/>
        <v>389.62834699404783</v>
      </c>
      <c r="G18" s="21">
        <f t="shared" si="1"/>
        <v>75341.895128143602</v>
      </c>
    </row>
    <row r="19" spans="3:7" x14ac:dyDescent="0.35">
      <c r="C19" s="12">
        <f t="shared" si="2"/>
        <v>6</v>
      </c>
      <c r="D19" s="21">
        <f t="shared" si="3"/>
        <v>75341.895128143602</v>
      </c>
      <c r="E19" s="21">
        <f t="shared" si="4"/>
        <v>15780.452402351832</v>
      </c>
      <c r="F19" s="21">
        <f t="shared" si="0"/>
        <v>493.5226723385972</v>
      </c>
      <c r="G19" s="21">
        <f t="shared" si="1"/>
        <v>91615.870202834034</v>
      </c>
    </row>
    <row r="20" spans="3:7" x14ac:dyDescent="0.35">
      <c r="C20" s="12">
        <f t="shared" si="2"/>
        <v>7</v>
      </c>
      <c r="D20" s="21">
        <f t="shared" si="3"/>
        <v>91615.870202834034</v>
      </c>
      <c r="E20" s="21">
        <f t="shared" si="4"/>
        <v>16096.061450398869</v>
      </c>
      <c r="F20" s="21">
        <f t="shared" si="0"/>
        <v>600.12439313116045</v>
      </c>
      <c r="G20" s="21">
        <f t="shared" si="1"/>
        <v>108312.05604636406</v>
      </c>
    </row>
    <row r="21" spans="3:7" x14ac:dyDescent="0.35">
      <c r="C21" s="12">
        <f t="shared" si="2"/>
        <v>8</v>
      </c>
      <c r="D21" s="21">
        <f t="shared" si="3"/>
        <v>108312.05604636406</v>
      </c>
      <c r="E21" s="21">
        <f t="shared" si="4"/>
        <v>16417.982679406847</v>
      </c>
      <c r="F21" s="21">
        <f t="shared" si="0"/>
        <v>709.49178084215521</v>
      </c>
      <c r="G21" s="21">
        <f t="shared" si="1"/>
        <v>125439.53050661307</v>
      </c>
    </row>
    <row r="22" spans="3:7" x14ac:dyDescent="0.35">
      <c r="C22" s="12">
        <f t="shared" si="2"/>
        <v>9</v>
      </c>
      <c r="D22" s="21">
        <f t="shared" si="3"/>
        <v>125439.53050661307</v>
      </c>
      <c r="E22" s="21">
        <f t="shared" si="4"/>
        <v>16746.342332994984</v>
      </c>
      <c r="F22" s="21">
        <f t="shared" si="0"/>
        <v>821.68429938255576</v>
      </c>
      <c r="G22" s="21">
        <f t="shared" si="1"/>
        <v>143007.55713899061</v>
      </c>
    </row>
    <row r="23" spans="3:7" x14ac:dyDescent="0.35">
      <c r="C23" s="12">
        <f t="shared" si="2"/>
        <v>10</v>
      </c>
      <c r="D23" s="21">
        <f t="shared" si="3"/>
        <v>143007.55713899061</v>
      </c>
      <c r="E23" s="21">
        <f t="shared" si="4"/>
        <v>17081.269179654882</v>
      </c>
      <c r="F23" s="21">
        <f t="shared" si="0"/>
        <v>936.76262912963819</v>
      </c>
      <c r="G23" s="21">
        <f t="shared" si="1"/>
        <v>161025.58894777513</v>
      </c>
    </row>
    <row r="24" spans="3:7" x14ac:dyDescent="0.35">
      <c r="C24" s="12">
        <f t="shared" si="2"/>
        <v>11</v>
      </c>
      <c r="D24" s="21">
        <f t="shared" si="3"/>
        <v>161025.58894777513</v>
      </c>
      <c r="E24" s="21">
        <f t="shared" si="4"/>
        <v>17422.894563247981</v>
      </c>
      <c r="F24" s="21">
        <f t="shared" si="0"/>
        <v>1054.788691434401</v>
      </c>
      <c r="G24" s="21">
        <f t="shared" si="1"/>
        <v>179503.27220245751</v>
      </c>
    </row>
    <row r="25" spans="3:7" x14ac:dyDescent="0.35">
      <c r="C25" s="12">
        <f t="shared" si="2"/>
        <v>12</v>
      </c>
      <c r="D25" s="21">
        <f t="shared" si="3"/>
        <v>179503.27220245751</v>
      </c>
      <c r="E25" s="21">
        <f t="shared" si="4"/>
        <v>17771.35245451294</v>
      </c>
      <c r="F25" s="21">
        <f t="shared" si="0"/>
        <v>1175.8256736203</v>
      </c>
      <c r="G25" s="21">
        <f t="shared" si="1"/>
        <v>198450.45033059074</v>
      </c>
    </row>
    <row r="26" spans="3:7" x14ac:dyDescent="0.35">
      <c r="C26" s="12">
        <f t="shared" si="2"/>
        <v>13</v>
      </c>
      <c r="D26" s="21">
        <f t="shared" si="3"/>
        <v>198450.45033059074</v>
      </c>
      <c r="E26" s="21">
        <f t="shared" si="4"/>
        <v>18126.7795036032</v>
      </c>
      <c r="F26" s="21">
        <f t="shared" si="0"/>
        <v>1299.9380544831324</v>
      </c>
      <c r="G26" s="21">
        <f t="shared" si="1"/>
        <v>217877.16788867707</v>
      </c>
    </row>
    <row r="27" spans="3:7" x14ac:dyDescent="0.35">
      <c r="C27" s="12">
        <f t="shared" si="2"/>
        <v>14</v>
      </c>
      <c r="D27" s="21">
        <f t="shared" si="3"/>
        <v>217877.16788867707</v>
      </c>
      <c r="E27" s="21">
        <f t="shared" si="4"/>
        <v>18489.315093675265</v>
      </c>
      <c r="F27" s="21">
        <f t="shared" si="0"/>
        <v>1427.1916303020998</v>
      </c>
      <c r="G27" s="21">
        <f t="shared" si="1"/>
        <v>237793.67461265443</v>
      </c>
    </row>
    <row r="28" spans="3:7" x14ac:dyDescent="0.35">
      <c r="C28" s="12">
        <f t="shared" si="2"/>
        <v>15</v>
      </c>
      <c r="D28" s="21">
        <f t="shared" si="3"/>
        <v>237793.67461265443</v>
      </c>
      <c r="E28" s="21">
        <f t="shared" si="4"/>
        <v>18859.101395548769</v>
      </c>
      <c r="F28" s="21">
        <f t="shared" si="0"/>
        <v>1557.6535413722831</v>
      </c>
      <c r="G28" s="21">
        <f t="shared" si="1"/>
        <v>258210.42954957546</v>
      </c>
    </row>
    <row r="29" spans="3:7" x14ac:dyDescent="0.35">
      <c r="C29" s="12">
        <f t="shared" si="2"/>
        <v>16</v>
      </c>
      <c r="D29" s="21">
        <f t="shared" si="3"/>
        <v>258210.42954957546</v>
      </c>
      <c r="E29" s="21">
        <f t="shared" si="4"/>
        <v>19236.283423459743</v>
      </c>
      <c r="F29" s="21">
        <f t="shared" si="0"/>
        <v>1691.3922990689637</v>
      </c>
      <c r="G29" s="21">
        <f t="shared" si="1"/>
        <v>279138.10527210421</v>
      </c>
    </row>
    <row r="30" spans="3:7" x14ac:dyDescent="0.35">
      <c r="C30" s="12">
        <f t="shared" si="2"/>
        <v>17</v>
      </c>
      <c r="D30" s="21">
        <f t="shared" si="3"/>
        <v>279138.10527210421</v>
      </c>
      <c r="E30" s="21">
        <f t="shared" si="4"/>
        <v>19621.00909192894</v>
      </c>
      <c r="F30" s="21">
        <f t="shared" si="0"/>
        <v>1828.4778134544372</v>
      </c>
      <c r="G30" s="21">
        <f t="shared" si="1"/>
        <v>300587.59217748762</v>
      </c>
    </row>
    <row r="31" spans="3:7" x14ac:dyDescent="0.35">
      <c r="C31" s="12">
        <f t="shared" si="2"/>
        <v>18</v>
      </c>
      <c r="D31" s="21">
        <f t="shared" si="3"/>
        <v>300587.59217748762</v>
      </c>
      <c r="E31" s="21">
        <f t="shared" si="4"/>
        <v>20013.42927376752</v>
      </c>
      <c r="F31" s="21">
        <f t="shared" si="0"/>
        <v>1968.9814214381749</v>
      </c>
      <c r="G31" s="21">
        <f t="shared" si="1"/>
        <v>322570.00287269329</v>
      </c>
    </row>
    <row r="32" spans="3:7" x14ac:dyDescent="0.35">
      <c r="C32" s="12">
        <f t="shared" si="2"/>
        <v>19</v>
      </c>
      <c r="D32" s="21">
        <f t="shared" si="3"/>
        <v>322570.00287269329</v>
      </c>
      <c r="E32" s="21">
        <f t="shared" si="4"/>
        <v>20413.697859242871</v>
      </c>
      <c r="F32" s="21">
        <f t="shared" si="0"/>
        <v>2112.9759155014117</v>
      </c>
      <c r="G32" s="21">
        <f t="shared" si="1"/>
        <v>345096.67664743756</v>
      </c>
    </row>
    <row r="33" spans="3:7" x14ac:dyDescent="0.35">
      <c r="C33" s="12">
        <f t="shared" si="2"/>
        <v>20</v>
      </c>
      <c r="D33" s="21">
        <f t="shared" si="3"/>
        <v>345096.67664743756</v>
      </c>
      <c r="E33" s="21">
        <f t="shared" si="4"/>
        <v>20821.971816427729</v>
      </c>
      <c r="F33" s="21">
        <f t="shared" si="0"/>
        <v>2260.5355729974535</v>
      </c>
      <c r="G33" s="21">
        <f t="shared" si="1"/>
        <v>368179.18403686275</v>
      </c>
    </row>
    <row r="34" spans="3:7" x14ac:dyDescent="0.35">
      <c r="C34" s="12">
        <f t="shared" si="2"/>
        <v>21</v>
      </c>
      <c r="D34" s="21">
        <f t="shared" si="3"/>
        <v>368179.18403686275</v>
      </c>
      <c r="E34" s="21">
        <f t="shared" si="4"/>
        <v>21238.411252756283</v>
      </c>
      <c r="F34" s="21">
        <f t="shared" si="0"/>
        <v>2411.7361860392298</v>
      </c>
      <c r="G34" s="21">
        <f t="shared" si="1"/>
        <v>391829.33147565828</v>
      </c>
    </row>
    <row r="35" spans="3:7" x14ac:dyDescent="0.35">
      <c r="C35" s="12">
        <f t="shared" si="2"/>
        <v>22</v>
      </c>
      <c r="D35" s="21">
        <f t="shared" si="3"/>
        <v>391829.33147565828</v>
      </c>
      <c r="E35" s="21">
        <f t="shared" si="4"/>
        <v>21663.179477811409</v>
      </c>
      <c r="F35" s="21">
        <f t="shared" si="0"/>
        <v>2566.6550919858396</v>
      </c>
      <c r="G35" s="21">
        <f t="shared" si="1"/>
        <v>416059.16604545549</v>
      </c>
    </row>
    <row r="36" spans="3:7" x14ac:dyDescent="0.35">
      <c r="C36" s="12">
        <f t="shared" si="2"/>
        <v>23</v>
      </c>
      <c r="D36" s="21">
        <f t="shared" si="3"/>
        <v>416059.16604545549</v>
      </c>
      <c r="E36" s="21">
        <f t="shared" si="4"/>
        <v>22096.443067367636</v>
      </c>
      <c r="F36" s="21">
        <f t="shared" si="0"/>
        <v>2725.371204540083</v>
      </c>
      <c r="G36" s="21">
        <f t="shared" si="1"/>
        <v>440880.98031736322</v>
      </c>
    </row>
    <row r="37" spans="3:7" x14ac:dyDescent="0.35">
      <c r="C37" s="12">
        <f t="shared" si="2"/>
        <v>24</v>
      </c>
      <c r="D37" s="21">
        <f t="shared" si="3"/>
        <v>440880.98031736322</v>
      </c>
      <c r="E37" s="21">
        <f t="shared" si="4"/>
        <v>22538.371928714991</v>
      </c>
      <c r="F37" s="21">
        <f t="shared" si="0"/>
        <v>2887.9650454692082</v>
      </c>
      <c r="G37" s="21">
        <f t="shared" si="1"/>
        <v>466307.31729154743</v>
      </c>
    </row>
    <row r="38" spans="3:7" x14ac:dyDescent="0.35">
      <c r="C38" s="12">
        <f t="shared" si="2"/>
        <v>25</v>
      </c>
      <c r="D38" s="21">
        <f t="shared" si="3"/>
        <v>466307.31729154743</v>
      </c>
      <c r="E38" s="21">
        <f t="shared" si="4"/>
        <v>22989.139367289292</v>
      </c>
      <c r="F38" s="21">
        <f t="shared" si="0"/>
        <v>3054.5187769613385</v>
      </c>
      <c r="G38" s="21">
        <f t="shared" si="1"/>
        <v>492350.97543579806</v>
      </c>
    </row>
    <row r="39" spans="3:7" x14ac:dyDescent="0.35">
      <c r="C39" s="12">
        <f t="shared" si="2"/>
        <v>26</v>
      </c>
      <c r="D39" s="21">
        <f t="shared" si="3"/>
        <v>492350.97543579806</v>
      </c>
      <c r="E39" s="21">
        <f t="shared" si="4"/>
        <v>23448.922154635078</v>
      </c>
      <c r="F39" s="21">
        <f t="shared" si="0"/>
        <v>3225.1162346303086</v>
      </c>
      <c r="G39" s="21">
        <f t="shared" si="1"/>
        <v>519025.01382506342</v>
      </c>
    </row>
    <row r="40" spans="3:7" x14ac:dyDescent="0.35">
      <c r="C40" s="12">
        <f t="shared" si="2"/>
        <v>27</v>
      </c>
      <c r="D40" s="21">
        <f t="shared" si="3"/>
        <v>519025.01382506342</v>
      </c>
      <c r="E40" s="21">
        <f t="shared" si="4"/>
        <v>23917.900597727781</v>
      </c>
      <c r="F40" s="21">
        <f t="shared" si="0"/>
        <v>3399.8429611818833</v>
      </c>
      <c r="G40" s="21">
        <f t="shared" si="1"/>
        <v>546342.7573839731</v>
      </c>
    </row>
    <row r="41" spans="3:7" x14ac:dyDescent="0.35">
      <c r="C41" s="12">
        <f t="shared" si="2"/>
        <v>28</v>
      </c>
      <c r="D41" s="21">
        <f t="shared" si="3"/>
        <v>546342.7573839731</v>
      </c>
      <c r="E41" s="21">
        <f t="shared" si="4"/>
        <v>24396.258609682336</v>
      </c>
      <c r="F41" s="21">
        <f t="shared" si="0"/>
        <v>3578.7862407545986</v>
      </c>
      <c r="G41" s="21">
        <f t="shared" si="1"/>
        <v>574317.80223441008</v>
      </c>
    </row>
    <row r="42" spans="3:7" x14ac:dyDescent="0.35">
      <c r="C42" s="12">
        <f t="shared" si="2"/>
        <v>29</v>
      </c>
      <c r="D42" s="21">
        <f t="shared" si="3"/>
        <v>574317.80223441008</v>
      </c>
      <c r="E42" s="21">
        <f t="shared" si="4"/>
        <v>24884.183781875985</v>
      </c>
      <c r="F42" s="21">
        <f t="shared" si="0"/>
        <v>3762.0351339487183</v>
      </c>
      <c r="G42" s="21">
        <f t="shared" si="1"/>
        <v>602964.02115023474</v>
      </c>
    </row>
    <row r="43" spans="3:7" x14ac:dyDescent="0.35">
      <c r="C43" s="12">
        <f t="shared" si="2"/>
        <v>30</v>
      </c>
      <c r="D43" s="21">
        <f t="shared" si="3"/>
        <v>602964.02115023474</v>
      </c>
      <c r="E43" s="21">
        <f t="shared" si="4"/>
        <v>25381.867457513505</v>
      </c>
      <c r="F43" s="21">
        <f t="shared" si="0"/>
        <v>3949.6805135570853</v>
      </c>
      <c r="G43" s="21">
        <f t="shared" si="1"/>
        <v>632295.56912130525</v>
      </c>
    </row>
    <row r="44" spans="3:7" x14ac:dyDescent="0.35">
      <c r="C44" s="12">
        <f t="shared" si="2"/>
        <v>31</v>
      </c>
      <c r="D44" s="21">
        <f t="shared" si="3"/>
        <v>632295.56912130525</v>
      </c>
      <c r="E44" s="21">
        <f t="shared" si="4"/>
        <v>25889.504806663776</v>
      </c>
      <c r="F44" s="21">
        <f t="shared" si="0"/>
        <v>4141.8151010119091</v>
      </c>
      <c r="G44" s="21">
        <f t="shared" si="1"/>
        <v>662326.88902898086</v>
      </c>
    </row>
    <row r="45" spans="3:7" x14ac:dyDescent="0.35">
      <c r="C45" s="12">
        <f t="shared" si="2"/>
        <v>32</v>
      </c>
      <c r="D45" s="21">
        <f t="shared" si="3"/>
        <v>662326.88902898086</v>
      </c>
      <c r="E45" s="21">
        <f t="shared" si="4"/>
        <v>26407.29490279705</v>
      </c>
      <c r="F45" s="21">
        <f t="shared" si="0"/>
        <v>4338.5335035618209</v>
      </c>
      <c r="G45" s="21">
        <f t="shared" si="1"/>
        <v>693072.71743533981</v>
      </c>
    </row>
    <row r="46" spans="3:7" x14ac:dyDescent="0.35">
      <c r="C46" s="12">
        <f t="shared" si="2"/>
        <v>33</v>
      </c>
      <c r="D46" s="21">
        <f t="shared" si="3"/>
        <v>693072.71743533981</v>
      </c>
      <c r="E46" s="21">
        <f t="shared" si="4"/>
        <v>26935.44080085299</v>
      </c>
      <c r="F46" s="21">
        <f t="shared" si="0"/>
        <v>4539.9322521938038</v>
      </c>
      <c r="G46" s="21">
        <f t="shared" si="1"/>
        <v>724548.09048838657</v>
      </c>
    </row>
    <row r="47" spans="3:7" x14ac:dyDescent="0.35">
      <c r="C47" s="12">
        <f t="shared" si="2"/>
        <v>34</v>
      </c>
      <c r="D47" s="21">
        <f t="shared" si="3"/>
        <v>724548.09048838657</v>
      </c>
      <c r="E47" s="21">
        <f t="shared" si="4"/>
        <v>27474.149616870051</v>
      </c>
      <c r="F47" s="21">
        <f t="shared" si="0"/>
        <v>4746.109840314909</v>
      </c>
      <c r="G47" s="21">
        <f t="shared" si="1"/>
        <v>756768.34994557162</v>
      </c>
    </row>
    <row r="48" spans="3:7" x14ac:dyDescent="0.35">
      <c r="C48" s="12">
        <f t="shared" si="2"/>
        <v>35</v>
      </c>
      <c r="D48" s="21">
        <f t="shared" si="3"/>
        <v>756768.34994557162</v>
      </c>
      <c r="E48" s="21">
        <f t="shared" si="4"/>
        <v>28023.632609207452</v>
      </c>
      <c r="F48" s="21">
        <f t="shared" si="0"/>
        <v>4957.1667632089684</v>
      </c>
      <c r="G48" s="21">
        <f t="shared" si="1"/>
        <v>789749.14931798796</v>
      </c>
    </row>
    <row r="49" spans="3:7" x14ac:dyDescent="0.35">
      <c r="C49" s="12">
        <f t="shared" si="2"/>
        <v>36</v>
      </c>
      <c r="D49" s="21">
        <f t="shared" si="3"/>
        <v>789749.14931798796</v>
      </c>
      <c r="E49" s="21">
        <f t="shared" si="4"/>
        <v>28584.105261391604</v>
      </c>
      <c r="F49" s="21">
        <f t="shared" si="0"/>
        <v>5173.2055582837947</v>
      </c>
      <c r="G49" s="21">
        <f t="shared" si="1"/>
        <v>823506.46013766341</v>
      </c>
    </row>
    <row r="50" spans="3:7" x14ac:dyDescent="0.35">
      <c r="C50" s="12">
        <f t="shared" si="2"/>
        <v>37</v>
      </c>
      <c r="D50" s="21">
        <f t="shared" si="3"/>
        <v>823506.46013766341</v>
      </c>
      <c r="E50" s="21">
        <f t="shared" si="4"/>
        <v>29155.787366619435</v>
      </c>
      <c r="F50" s="21">
        <f t="shared" si="0"/>
        <v>5394.3308461247107</v>
      </c>
      <c r="G50" s="21">
        <f t="shared" si="1"/>
        <v>858056.57835040754</v>
      </c>
    </row>
    <row r="51" spans="3:7" x14ac:dyDescent="0.35">
      <c r="C51" s="12">
        <f t="shared" si="2"/>
        <v>38</v>
      </c>
      <c r="D51" s="21">
        <f t="shared" si="3"/>
        <v>858056.57835040754</v>
      </c>
      <c r="E51" s="21">
        <f t="shared" si="4"/>
        <v>29738.903113951827</v>
      </c>
      <c r="F51" s="21">
        <f t="shared" si="0"/>
        <v>5620.6493723705216</v>
      </c>
      <c r="G51" s="21">
        <f t="shared" si="1"/>
        <v>893416.13083672989</v>
      </c>
    </row>
    <row r="52" spans="3:7" x14ac:dyDescent="0.35">
      <c r="C52" s="12">
        <f t="shared" si="2"/>
        <v>39</v>
      </c>
      <c r="D52" s="21">
        <f t="shared" si="3"/>
        <v>893416.13083672989</v>
      </c>
      <c r="E52" s="21">
        <f t="shared" si="4"/>
        <v>30333.681176230864</v>
      </c>
      <c r="F52" s="21">
        <f t="shared" si="0"/>
        <v>5852.2700504284076</v>
      </c>
      <c r="G52" s="21">
        <f t="shared" si="1"/>
        <v>929602.08206338924</v>
      </c>
    </row>
    <row r="53" spans="3:7" x14ac:dyDescent="0.35">
      <c r="C53" s="12">
        <f t="shared" si="2"/>
        <v>40</v>
      </c>
      <c r="D53" s="21">
        <f t="shared" si="3"/>
        <v>929602.08206338924</v>
      </c>
      <c r="E53" s="21">
        <f t="shared" si="4"/>
        <v>30940.354799755482</v>
      </c>
      <c r="F53" s="21">
        <f t="shared" si="0"/>
        <v>6089.3040050445034</v>
      </c>
      <c r="G53" s="21">
        <f t="shared" si="1"/>
        <v>966631.74086818926</v>
      </c>
    </row>
    <row r="54" spans="3:7" x14ac:dyDescent="0.35">
      <c r="C54" s="12">
        <f t="shared" si="2"/>
        <v>41</v>
      </c>
      <c r="D54" s="21">
        <f t="shared" si="3"/>
        <v>966631.74086818926</v>
      </c>
      <c r="E54" s="21">
        <f t="shared" si="4"/>
        <v>31559.161895750593</v>
      </c>
      <c r="F54" s="21">
        <f t="shared" si="0"/>
        <v>6331.8646167473116</v>
      </c>
      <c r="G54" s="21">
        <f t="shared" si="1"/>
        <v>1004522.7673806872</v>
      </c>
    </row>
    <row r="55" spans="3:7" x14ac:dyDescent="0.35">
      <c r="C55" s="12">
        <f t="shared" si="2"/>
        <v>42</v>
      </c>
      <c r="D55" s="21">
        <f t="shared" si="3"/>
        <v>1004522.7673806872</v>
      </c>
      <c r="E55" s="21">
        <f t="shared" si="4"/>
        <v>32190.345133665603</v>
      </c>
      <c r="F55" s="21">
        <f t="shared" si="0"/>
        <v>6580.067567181396</v>
      </c>
      <c r="G55" s="21">
        <f t="shared" si="1"/>
        <v>1043293.1800815342</v>
      </c>
    </row>
    <row r="56" spans="3:7" x14ac:dyDescent="0.35">
      <c r="C56" s="12">
        <f t="shared" si="2"/>
        <v>43</v>
      </c>
      <c r="D56" s="21">
        <f t="shared" si="3"/>
        <v>1043293.1800815342</v>
      </c>
      <c r="E56" s="21">
        <f t="shared" si="4"/>
        <v>32834.152036338914</v>
      </c>
      <c r="F56" s="21">
        <f t="shared" si="0"/>
        <v>6834.030885349177</v>
      </c>
      <c r="G56" s="21">
        <f t="shared" si="1"/>
        <v>1082961.3630032223</v>
      </c>
    </row>
    <row r="57" spans="3:7" x14ac:dyDescent="0.35">
      <c r="C57" s="12">
        <f t="shared" si="2"/>
        <v>44</v>
      </c>
      <c r="D57" s="21">
        <f t="shared" si="3"/>
        <v>1082961.3630032223</v>
      </c>
      <c r="E57" s="21">
        <f t="shared" si="4"/>
        <v>33490.835077065691</v>
      </c>
      <c r="F57" s="21">
        <f t="shared" si="0"/>
        <v>7093.8749947790029</v>
      </c>
      <c r="G57" s="21">
        <f t="shared" si="1"/>
        <v>1123546.073075067</v>
      </c>
    </row>
    <row r="58" spans="3:7" x14ac:dyDescent="0.35">
      <c r="C58" s="12">
        <f t="shared" si="2"/>
        <v>45</v>
      </c>
      <c r="D58" s="21">
        <f t="shared" si="3"/>
        <v>1123546.073075067</v>
      </c>
      <c r="E58" s="21">
        <f t="shared" si="4"/>
        <v>34160.651778607004</v>
      </c>
      <c r="F58" s="21">
        <f t="shared" si="0"/>
        <v>7359.7227616380296</v>
      </c>
      <c r="G58" s="21">
        <f t="shared" si="1"/>
        <v>1165066.4476153119</v>
      </c>
    </row>
    <row r="59" spans="3:7" x14ac:dyDescent="0.35">
      <c r="C59" s="12">
        <f t="shared" si="2"/>
        <v>46</v>
      </c>
      <c r="D59" s="21">
        <f t="shared" si="3"/>
        <v>1165066.4476153119</v>
      </c>
      <c r="E59" s="21">
        <f t="shared" si="4"/>
        <v>34843.864814179142</v>
      </c>
      <c r="F59" s="21">
        <f t="shared" si="0"/>
        <v>7631.6995438088134</v>
      </c>
      <c r="G59" s="21">
        <f t="shared" si="1"/>
        <v>1207542.0119733</v>
      </c>
    </row>
    <row r="60" spans="3:7" x14ac:dyDescent="0.35">
      <c r="C60" s="12">
        <f t="shared" si="2"/>
        <v>47</v>
      </c>
      <c r="D60" s="21">
        <f t="shared" si="3"/>
        <v>1207542.0119733</v>
      </c>
      <c r="E60" s="21">
        <f t="shared" si="4"/>
        <v>35540.742110462728</v>
      </c>
      <c r="F60" s="21">
        <f t="shared" si="0"/>
        <v>7909.9332409489034</v>
      </c>
      <c r="G60" s="21">
        <f t="shared" si="1"/>
        <v>1250992.6873247116</v>
      </c>
    </row>
    <row r="61" spans="3:7" x14ac:dyDescent="0.35">
      <c r="C61" s="12">
        <f t="shared" si="2"/>
        <v>48</v>
      </c>
      <c r="D61" s="21">
        <f t="shared" si="3"/>
        <v>1250992.6873247116</v>
      </c>
      <c r="E61" s="21">
        <f t="shared" si="4"/>
        <v>36251.556952671985</v>
      </c>
      <c r="F61" s="21">
        <f t="shared" si="0"/>
        <v>8194.5543455530969</v>
      </c>
      <c r="G61" s="21">
        <f t="shared" si="1"/>
        <v>1295438.7986229367</v>
      </c>
    </row>
    <row r="62" spans="3:7" x14ac:dyDescent="0.35">
      <c r="C62" s="12">
        <f t="shared" si="2"/>
        <v>49</v>
      </c>
      <c r="D62" s="21">
        <f t="shared" si="3"/>
        <v>1295438.7986229367</v>
      </c>
      <c r="E62" s="21">
        <f t="shared" si="4"/>
        <v>36976.588091725425</v>
      </c>
      <c r="F62" s="21">
        <f t="shared" si="0"/>
        <v>8485.6959950384298</v>
      </c>
      <c r="G62" s="21">
        <f t="shared" si="1"/>
        <v>1340901.0827097006</v>
      </c>
    </row>
    <row r="63" spans="3:7" x14ac:dyDescent="0.35">
      <c r="C63" s="12">
        <f t="shared" si="2"/>
        <v>50</v>
      </c>
      <c r="D63" s="21">
        <f t="shared" si="3"/>
        <v>1340901.0827097006</v>
      </c>
      <c r="E63" s="21">
        <f t="shared" si="4"/>
        <v>37716.119853559932</v>
      </c>
      <c r="F63" s="21">
        <f t="shared" si="0"/>
        <v>8783.4940248723669</v>
      </c>
      <c r="G63" s="21">
        <f t="shared" si="1"/>
        <v>1387400.6965881328</v>
      </c>
    </row>
    <row r="64" spans="3:7" x14ac:dyDescent="0.35">
      <c r="C64" s="12">
        <f t="shared" si="2"/>
        <v>51</v>
      </c>
      <c r="D64" s="21">
        <f t="shared" si="3"/>
        <v>1387400.6965881328</v>
      </c>
      <c r="E64" s="21">
        <f t="shared" si="4"/>
        <v>38470.442250631131</v>
      </c>
      <c r="F64" s="21">
        <f t="shared" si="0"/>
        <v>9088.0870227650412</v>
      </c>
      <c r="G64" s="21">
        <f t="shared" si="1"/>
        <v>1434959.2258615289</v>
      </c>
    </row>
    <row r="65" spans="3:7" x14ac:dyDescent="0.35">
      <c r="C65" s="12">
        <f t="shared" si="2"/>
        <v>52</v>
      </c>
      <c r="D65" s="21">
        <f t="shared" si="3"/>
        <v>1434959.2258615289</v>
      </c>
      <c r="E65" s="21">
        <f t="shared" si="4"/>
        <v>39239.851095643753</v>
      </c>
      <c r="F65" s="21">
        <f t="shared" si="0"/>
        <v>9399.6163839468827</v>
      </c>
      <c r="G65" s="21">
        <f t="shared" si="1"/>
        <v>1483598.6933411197</v>
      </c>
    </row>
    <row r="66" spans="3:7" x14ac:dyDescent="0.35">
      <c r="C66" s="12">
        <f t="shared" si="2"/>
        <v>53</v>
      </c>
      <c r="D66" s="21">
        <f t="shared" si="3"/>
        <v>1483598.6933411197</v>
      </c>
      <c r="E66" s="21">
        <f t="shared" si="4"/>
        <v>40024.64811755663</v>
      </c>
      <c r="F66" s="21">
        <f t="shared" si="0"/>
        <v>9718.2263675532959</v>
      </c>
      <c r="G66" s="21">
        <f t="shared" si="1"/>
        <v>1533341.5678262296</v>
      </c>
    </row>
    <row r="67" spans="3:7" x14ac:dyDescent="0.35">
      <c r="C67" s="12">
        <f t="shared" si="2"/>
        <v>54</v>
      </c>
      <c r="D67" s="21">
        <f t="shared" si="3"/>
        <v>1533341.5678262296</v>
      </c>
      <c r="E67" s="21">
        <f t="shared" si="4"/>
        <v>40825.141079907764</v>
      </c>
      <c r="F67" s="21">
        <f t="shared" si="0"/>
        <v>10044.064154138579</v>
      </c>
      <c r="G67" s="21">
        <f t="shared" si="1"/>
        <v>1584210.7730602759</v>
      </c>
    </row>
    <row r="68" spans="3:7" x14ac:dyDescent="0.35">
      <c r="C68" s="12">
        <f t="shared" si="2"/>
        <v>55</v>
      </c>
      <c r="D68" s="21">
        <f t="shared" si="3"/>
        <v>1584210.7730602759</v>
      </c>
      <c r="E68" s="21">
        <f t="shared" si="4"/>
        <v>41641.643901505922</v>
      </c>
      <c r="F68" s="21">
        <f t="shared" si="0"/>
        <v>10377.279904341673</v>
      </c>
      <c r="G68" s="21">
        <f t="shared" si="1"/>
        <v>1636229.6968661235</v>
      </c>
    </row>
    <row r="69" spans="3:7" x14ac:dyDescent="0.35">
      <c r="C69" s="12">
        <f t="shared" si="2"/>
        <v>56</v>
      </c>
      <c r="D69" s="21">
        <f t="shared" si="3"/>
        <v>1636229.6968661235</v>
      </c>
      <c r="E69" s="21">
        <f t="shared" si="4"/>
        <v>42474.476779536039</v>
      </c>
      <c r="F69" s="21">
        <f t="shared" si="0"/>
        <v>10718.026818726759</v>
      </c>
      <c r="G69" s="21">
        <f t="shared" si="1"/>
        <v>1689422.2004643863</v>
      </c>
    </row>
    <row r="70" spans="3:7" x14ac:dyDescent="0.35">
      <c r="C70" s="12">
        <f t="shared" si="2"/>
        <v>57</v>
      </c>
      <c r="D70" s="21">
        <f t="shared" si="3"/>
        <v>1689422.2004643863</v>
      </c>
      <c r="E70" s="21">
        <f t="shared" si="4"/>
        <v>43323.96631512676</v>
      </c>
      <c r="F70" s="21">
        <f t="shared" si="0"/>
        <v>11066.461198822262</v>
      </c>
      <c r="G70" s="21">
        <f t="shared" si="1"/>
        <v>1743812.6279783354</v>
      </c>
    </row>
    <row r="71" spans="3:7" x14ac:dyDescent="0.35">
      <c r="C71" s="12">
        <f t="shared" si="2"/>
        <v>58</v>
      </c>
      <c r="D71" s="21">
        <f t="shared" si="3"/>
        <v>1743812.6279783354</v>
      </c>
      <c r="E71" s="21">
        <f t="shared" si="4"/>
        <v>44190.445641429294</v>
      </c>
      <c r="F71" s="21">
        <f t="shared" si="0"/>
        <v>11422.74250938218</v>
      </c>
      <c r="G71" s="21">
        <f t="shared" si="1"/>
        <v>1799425.8161291468</v>
      </c>
    </row>
    <row r="72" spans="3:7" x14ac:dyDescent="0.35">
      <c r="C72" s="12">
        <f t="shared" si="2"/>
        <v>59</v>
      </c>
      <c r="D72" s="21">
        <f t="shared" si="3"/>
        <v>1799425.8161291468</v>
      </c>
      <c r="E72" s="21">
        <f t="shared" si="4"/>
        <v>45074.254554257881</v>
      </c>
      <c r="F72" s="21">
        <f t="shared" si="0"/>
        <v>11787.033441894246</v>
      </c>
      <c r="G72" s="21">
        <f t="shared" si="1"/>
        <v>1856287.104125299</v>
      </c>
    </row>
    <row r="73" spans="3:7" x14ac:dyDescent="0.35">
      <c r="C73" s="12">
        <f t="shared" si="2"/>
        <v>60</v>
      </c>
      <c r="D73" s="21">
        <f t="shared" si="3"/>
        <v>1856287.104125299</v>
      </c>
      <c r="E73" s="21">
        <f t="shared" si="4"/>
        <v>45975.739645343041</v>
      </c>
      <c r="F73" s="21">
        <f t="shared" si="0"/>
        <v>12159.49997935984</v>
      </c>
      <c r="G73" s="21">
        <f t="shared" si="1"/>
        <v>1914422.3437500019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4D6C390916B4A8494C33A5D3CA82B" ma:contentTypeVersion="18" ma:contentTypeDescription="Create a new document." ma:contentTypeScope="" ma:versionID="061ed7418ccd0ab96bbd5383361f11e3">
  <xsd:schema xmlns:xsd="http://www.w3.org/2001/XMLSchema" xmlns:xs="http://www.w3.org/2001/XMLSchema" xmlns:p="http://schemas.microsoft.com/office/2006/metadata/properties" xmlns:ns1="http://schemas.microsoft.com/sharepoint/v3" xmlns:ns2="307a12b3-3a39-4e5f-afa6-4629bb16037e" xmlns:ns3="1f0d55de-41a8-442a-939a-8c7a93a15acc" targetNamespace="http://schemas.microsoft.com/office/2006/metadata/properties" ma:root="true" ma:fieldsID="d0fab99a09af8f4f7597e523ca27625f" ns1:_="" ns2:_="" ns3:_="">
    <xsd:import namespace="http://schemas.microsoft.com/sharepoint/v3"/>
    <xsd:import namespace="307a12b3-3a39-4e5f-afa6-4629bb16037e"/>
    <xsd:import namespace="1f0d55de-41a8-442a-939a-8c7a93a15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a12b3-3a39-4e5f-afa6-4629bb160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790f828-4d96-4d10-bc53-6c3febba0b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d55de-41a8-442a-939a-8c7a93a15a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438ea2c-1d97-4ed9-8a85-6ab57bb76901}" ma:internalName="TaxCatchAll" ma:showField="CatchAllData" ma:web="1f0d55de-41a8-442a-939a-8c7a93a15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7a12b3-3a39-4e5f-afa6-4629bb16037e">
      <Terms xmlns="http://schemas.microsoft.com/office/infopath/2007/PartnerControls"/>
    </lcf76f155ced4ddcb4097134ff3c332f>
    <_ip_UnifiedCompliancePolicyUIAction xmlns="http://schemas.microsoft.com/sharepoint/v3" xsi:nil="true"/>
    <TaxCatchAll xmlns="1f0d55de-41a8-442a-939a-8c7a93a15acc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3315F-D8CD-403A-AD45-336301B47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7a12b3-3a39-4e5f-afa6-4629bb16037e"/>
    <ds:schemaRef ds:uri="1f0d55de-41a8-442a-939a-8c7a93a15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9E3BF9-3F1A-41E6-8AFF-56167BCD9131}">
  <ds:schemaRefs>
    <ds:schemaRef ds:uri="http://schemas.microsoft.com/office/2006/metadata/properties"/>
    <ds:schemaRef ds:uri="http://schemas.microsoft.com/office/infopath/2007/PartnerControls"/>
    <ds:schemaRef ds:uri="307a12b3-3a39-4e5f-afa6-4629bb16037e"/>
    <ds:schemaRef ds:uri="http://schemas.microsoft.com/sharepoint/v3"/>
    <ds:schemaRef ds:uri="1f0d55de-41a8-442a-939a-8c7a93a15acc"/>
  </ds:schemaRefs>
</ds:datastoreItem>
</file>

<file path=customXml/itemProps3.xml><?xml version="1.0" encoding="utf-8"?>
<ds:datastoreItem xmlns:ds="http://schemas.openxmlformats.org/officeDocument/2006/customXml" ds:itemID="{2196D68F-035B-4C66-8C07-D02AD39EEB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Q1 Data</vt:lpstr>
      <vt:lpstr>Q1(i)</vt:lpstr>
      <vt:lpstr>Q1(ii)</vt:lpstr>
      <vt:lpstr>Q1(iii)</vt:lpstr>
      <vt:lpstr>Q1(iv)</vt:lpstr>
      <vt:lpstr>Q1(v)</vt:lpstr>
      <vt:lpstr>Q2(i)</vt:lpstr>
      <vt:lpstr>Q2(ii)</vt:lpstr>
      <vt:lpstr>Q2(iii)</vt:lpstr>
      <vt:lpstr>Q3 Data</vt:lpstr>
      <vt:lpstr>Q3(i)</vt:lpstr>
      <vt:lpstr>Q3(ii)</vt:lpstr>
      <vt:lpstr>Q3(iii)</vt:lpstr>
      <vt:lpstr>Q3(iv)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2015-06-05T18:17:20Z</dcterms:created>
  <dcterms:modified xsi:type="dcterms:W3CDTF">2026-08-12T11:24:18Z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0x010100FE74D6C390916B4A8494C33A5D3CA82B</vt:lpwstr>
  </property>
  <property fmtid="{D5CDD505-2E9C-101B-9397-08002B2CF9AE}" pid="5" name="MediaServiceImageTags">
    <vt:lpwstr/>
  </property>
</Properties>
</file>