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actuariesindia.sharepoint.com/sites/Exams/Shared Documents/Actuarial Examination/Year 2025_May Exam/Note/IAI Website/Formatting/Pending/Solution/"/>
    </mc:Choice>
  </mc:AlternateContent>
  <xr:revisionPtr revIDLastSave="34" documentId="13_ncr:8001_{6FAD6665-E015-4FE8-A888-1E299110289A}" xr6:coauthVersionLast="47" xr6:coauthVersionMax="47" xr10:uidLastSave="{6776BF5E-C351-496F-9816-1F8DBA3DE7EB}"/>
  <bookViews>
    <workbookView xWindow="-110" yWindow="-110" windowWidth="19420" windowHeight="10300" xr2:uid="{8BFA468B-CFAC-423D-8B6B-CB9745A84A55}"/>
  </bookViews>
  <sheets>
    <sheet name="Q.1.Input" sheetId="1" r:id="rId1"/>
    <sheet name="Q.1.i" sheetId="20" r:id="rId2"/>
    <sheet name="Q.1.ii" sheetId="2" r:id="rId3"/>
    <sheet name="Q.1.iii" sheetId="4" r:id="rId4"/>
    <sheet name="Q.1.iv" sheetId="5" r:id="rId5"/>
    <sheet name="Q.1.v" sheetId="21" r:id="rId6"/>
    <sheet name="Q.2.Input" sheetId="9" r:id="rId7"/>
    <sheet name="Q.2.i" sheetId="7" r:id="rId8"/>
    <sheet name="Q.2.ii" sheetId="11" r:id="rId9"/>
    <sheet name="Q.2.iii" sheetId="8" r:id="rId10"/>
    <sheet name="Q.2.iv" sheetId="10" r:id="rId11"/>
    <sheet name="Q.2.v" sheetId="12" r:id="rId12"/>
    <sheet name="Q.2.vi" sheetId="13" r:id="rId13"/>
    <sheet name="Q.2.vii" sheetId="14" r:id="rId14"/>
    <sheet name="Q.3.Input" sheetId="15" r:id="rId15"/>
    <sheet name="Q.3.i" sheetId="16" r:id="rId16"/>
    <sheet name="Q.3.ii" sheetId="17" r:id="rId17"/>
    <sheet name="Q.3.iii" sheetId="18" r:id="rId18"/>
    <sheet name="Q.3.iv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0" l="1"/>
  <c r="D5" i="20"/>
  <c r="E7" i="20" s="1"/>
  <c r="E6" i="20" l="1"/>
  <c r="E5" i="20"/>
  <c r="E20" i="20"/>
  <c r="E12" i="20"/>
  <c r="E13" i="20"/>
  <c r="E9" i="20"/>
  <c r="E21" i="20"/>
  <c r="E17" i="20"/>
  <c r="E14" i="20"/>
  <c r="E19" i="20"/>
  <c r="E11" i="20"/>
  <c r="F5" i="20"/>
  <c r="G5" i="20" s="1"/>
  <c r="H5" i="20" s="1"/>
  <c r="E18" i="20"/>
  <c r="E10" i="20"/>
  <c r="E24" i="20"/>
  <c r="E16" i="20"/>
  <c r="E8" i="20"/>
  <c r="E23" i="20"/>
  <c r="E15" i="20"/>
  <c r="D6" i="20" l="1"/>
  <c r="F6" i="20" s="1"/>
  <c r="G6" i="20" s="1"/>
  <c r="H6" i="20" s="1"/>
  <c r="M5" i="2"/>
  <c r="M5" i="4" s="1"/>
  <c r="D7" i="20" l="1"/>
  <c r="F7" i="20" s="1"/>
  <c r="G7" i="20" s="1"/>
  <c r="H7" i="20" s="1"/>
  <c r="M6" i="2"/>
  <c r="M6" i="4" s="1"/>
  <c r="D8" i="20" l="1"/>
  <c r="F8" i="20" s="1"/>
  <c r="G8" i="20" s="1"/>
  <c r="H8" i="20" s="1"/>
  <c r="M7" i="2"/>
  <c r="M7" i="4" s="1"/>
  <c r="D9" i="20" l="1"/>
  <c r="F9" i="20" s="1"/>
  <c r="G9" i="20" s="1"/>
  <c r="H9" i="20" s="1"/>
  <c r="M8" i="2"/>
  <c r="M8" i="4" s="1"/>
  <c r="D10" i="20" l="1"/>
  <c r="F10" i="20" s="1"/>
  <c r="G10" i="20" s="1"/>
  <c r="H10" i="20" s="1"/>
  <c r="M9" i="2"/>
  <c r="M9" i="4" s="1"/>
  <c r="D11" i="20" l="1"/>
  <c r="F11" i="20" s="1"/>
  <c r="G11" i="20" s="1"/>
  <c r="H11" i="20" s="1"/>
  <c r="M10" i="2"/>
  <c r="M10" i="4" s="1"/>
  <c r="D12" i="20" l="1"/>
  <c r="F12" i="20" s="1"/>
  <c r="G12" i="20" s="1"/>
  <c r="H12" i="20" s="1"/>
  <c r="M11" i="2"/>
  <c r="M11" i="4" s="1"/>
  <c r="D13" i="20" l="1"/>
  <c r="F13" i="20" s="1"/>
  <c r="G13" i="20" s="1"/>
  <c r="H13" i="20" s="1"/>
  <c r="M12" i="2"/>
  <c r="M12" i="4" s="1"/>
  <c r="D14" i="20" l="1"/>
  <c r="F14" i="20" s="1"/>
  <c r="G14" i="20" s="1"/>
  <c r="H14" i="20" s="1"/>
  <c r="M13" i="2"/>
  <c r="M13" i="4" s="1"/>
  <c r="D15" i="20" l="1"/>
  <c r="F15" i="20" s="1"/>
  <c r="G15" i="20" s="1"/>
  <c r="H15" i="20" s="1"/>
  <c r="M14" i="2"/>
  <c r="M14" i="4" s="1"/>
  <c r="D16" i="20" l="1"/>
  <c r="M15" i="2"/>
  <c r="M15" i="4" s="1"/>
  <c r="F16" i="20" l="1"/>
  <c r="G16" i="20" s="1"/>
  <c r="H16" i="20"/>
  <c r="D17" i="20" l="1"/>
  <c r="M16" i="2"/>
  <c r="M16" i="4" s="1"/>
  <c r="F17" i="20" l="1"/>
  <c r="G17" i="20" s="1"/>
  <c r="H17" i="20" s="1"/>
  <c r="D18" i="20" l="1"/>
  <c r="F18" i="20" s="1"/>
  <c r="G18" i="20" s="1"/>
  <c r="H18" i="20" s="1"/>
  <c r="M17" i="2"/>
  <c r="M17" i="4" s="1"/>
  <c r="D19" i="20" l="1"/>
  <c r="F19" i="20" s="1"/>
  <c r="G19" i="20" s="1"/>
  <c r="H19" i="20" s="1"/>
  <c r="M18" i="2"/>
  <c r="M18" i="4" s="1"/>
  <c r="D20" i="20" l="1"/>
  <c r="F20" i="20" s="1"/>
  <c r="G20" i="20" s="1"/>
  <c r="H20" i="20" s="1"/>
  <c r="M19" i="2"/>
  <c r="M19" i="4" s="1"/>
  <c r="D21" i="20" l="1"/>
  <c r="F21" i="20" s="1"/>
  <c r="G21" i="20" s="1"/>
  <c r="H21" i="20" s="1"/>
  <c r="M20" i="2"/>
  <c r="M20" i="4" s="1"/>
  <c r="D22" i="20" l="1"/>
  <c r="F22" i="20" s="1"/>
  <c r="G22" i="20" s="1"/>
  <c r="H22" i="20" s="1"/>
  <c r="M21" i="2"/>
  <c r="M21" i="4" s="1"/>
  <c r="C6" i="20"/>
  <c r="C7" i="20" s="1"/>
  <c r="C8" i="20" s="1"/>
  <c r="C9" i="20" s="1"/>
  <c r="C10" i="20" s="1"/>
  <c r="C11" i="20" s="1"/>
  <c r="C12" i="20" s="1"/>
  <c r="C13" i="20" s="1"/>
  <c r="C14" i="20" s="1"/>
  <c r="C15" i="20" s="1"/>
  <c r="C16" i="20" s="1"/>
  <c r="C17" i="20" s="1"/>
  <c r="C18" i="20" s="1"/>
  <c r="C19" i="20" s="1"/>
  <c r="C20" i="20" s="1"/>
  <c r="C21" i="20" s="1"/>
  <c r="C22" i="20" s="1"/>
  <c r="C23" i="20" s="1"/>
  <c r="C24" i="20" s="1"/>
  <c r="D6" i="18"/>
  <c r="D7" i="18"/>
  <c r="D8" i="18"/>
  <c r="D9" i="18"/>
  <c r="D10" i="18"/>
  <c r="D11" i="18"/>
  <c r="D12" i="18"/>
  <c r="D13" i="18"/>
  <c r="D14" i="18"/>
  <c r="D5" i="18"/>
  <c r="C6" i="18"/>
  <c r="C7" i="18" s="1"/>
  <c r="C8" i="18" s="1"/>
  <c r="C9" i="18" s="1"/>
  <c r="C10" i="18" s="1"/>
  <c r="C11" i="18" s="1"/>
  <c r="C12" i="18" s="1"/>
  <c r="C13" i="18" s="1"/>
  <c r="C14" i="18" s="1"/>
  <c r="B6" i="18"/>
  <c r="B7" i="18" s="1"/>
  <c r="B8" i="18" s="1"/>
  <c r="B9" i="18" s="1"/>
  <c r="B10" i="18" s="1"/>
  <c r="B11" i="18" s="1"/>
  <c r="B12" i="18" s="1"/>
  <c r="B13" i="18" s="1"/>
  <c r="B14" i="18" s="1"/>
  <c r="I13" i="15"/>
  <c r="I14" i="15" s="1"/>
  <c r="I15" i="15" s="1"/>
  <c r="I16" i="15" s="1"/>
  <c r="I17" i="15" s="1"/>
  <c r="I18" i="15" s="1"/>
  <c r="I19" i="15" s="1"/>
  <c r="I20" i="15" s="1"/>
  <c r="I21" i="15" s="1"/>
  <c r="J14" i="17"/>
  <c r="H7" i="17"/>
  <c r="H8" i="17"/>
  <c r="J9" i="15"/>
  <c r="E5" i="17" s="1"/>
  <c r="J8" i="15"/>
  <c r="H12" i="17" s="1"/>
  <c r="D5" i="17"/>
  <c r="C6" i="17"/>
  <c r="D6" i="17" s="1"/>
  <c r="B6" i="17"/>
  <c r="B7" i="17" s="1"/>
  <c r="B8" i="17" s="1"/>
  <c r="B9" i="17" s="1"/>
  <c r="B10" i="17" s="1"/>
  <c r="B11" i="17" s="1"/>
  <c r="B12" i="17" s="1"/>
  <c r="B13" i="17" s="1"/>
  <c r="B14" i="17" s="1"/>
  <c r="I5" i="16"/>
  <c r="I6" i="16"/>
  <c r="I7" i="16"/>
  <c r="I8" i="16"/>
  <c r="I9" i="16"/>
  <c r="I10" i="16"/>
  <c r="I11" i="16"/>
  <c r="I12" i="16"/>
  <c r="I13" i="16"/>
  <c r="I14" i="16"/>
  <c r="I15" i="16"/>
  <c r="J15" i="16" s="1"/>
  <c r="I25" i="16"/>
  <c r="J25" i="16" s="1"/>
  <c r="I26" i="16"/>
  <c r="J26" i="16" s="1"/>
  <c r="I37" i="16"/>
  <c r="J37" i="16" s="1"/>
  <c r="I4" i="16"/>
  <c r="E5" i="16"/>
  <c r="F5" i="16" s="1"/>
  <c r="E6" i="16"/>
  <c r="F6" i="16" s="1"/>
  <c r="E7" i="16"/>
  <c r="F7" i="16" s="1"/>
  <c r="E8" i="16"/>
  <c r="F8" i="16" s="1"/>
  <c r="E9" i="16"/>
  <c r="F9" i="16" s="1"/>
  <c r="E10" i="16"/>
  <c r="F10" i="16" s="1"/>
  <c r="E11" i="16"/>
  <c r="F11" i="16" s="1"/>
  <c r="E12" i="16"/>
  <c r="F12" i="16" s="1"/>
  <c r="E13" i="16"/>
  <c r="F13" i="16" s="1"/>
  <c r="E14" i="16"/>
  <c r="F14" i="16" s="1"/>
  <c r="E15" i="16"/>
  <c r="F15" i="16" s="1"/>
  <c r="E36" i="16"/>
  <c r="F36" i="16" s="1"/>
  <c r="E4" i="16"/>
  <c r="F4" i="16" s="1"/>
  <c r="H4" i="16" s="1"/>
  <c r="D17" i="16"/>
  <c r="E17" i="16" s="1"/>
  <c r="F17" i="16" s="1"/>
  <c r="D18" i="16"/>
  <c r="E18" i="16" s="1"/>
  <c r="F18" i="16" s="1"/>
  <c r="D19" i="16"/>
  <c r="E19" i="16" s="1"/>
  <c r="F19" i="16" s="1"/>
  <c r="D20" i="16"/>
  <c r="E20" i="16" s="1"/>
  <c r="F20" i="16" s="1"/>
  <c r="D21" i="16"/>
  <c r="D33" i="16" s="1"/>
  <c r="E33" i="16" s="1"/>
  <c r="F33" i="16" s="1"/>
  <c r="D22" i="16"/>
  <c r="D34" i="16" s="1"/>
  <c r="E34" i="16" s="1"/>
  <c r="F34" i="16" s="1"/>
  <c r="D23" i="16"/>
  <c r="D35" i="16" s="1"/>
  <c r="E35" i="16" s="1"/>
  <c r="F35" i="16" s="1"/>
  <c r="D24" i="16"/>
  <c r="D36" i="16" s="1"/>
  <c r="D25" i="16"/>
  <c r="D37" i="16" s="1"/>
  <c r="E37" i="16" s="1"/>
  <c r="F37" i="16" s="1"/>
  <c r="D26" i="16"/>
  <c r="E26" i="16" s="1"/>
  <c r="F26" i="16" s="1"/>
  <c r="D27" i="16"/>
  <c r="E27" i="16" s="1"/>
  <c r="F27" i="16" s="1"/>
  <c r="D29" i="16"/>
  <c r="E29" i="16" s="1"/>
  <c r="F29" i="16" s="1"/>
  <c r="D30" i="16"/>
  <c r="E30" i="16" s="1"/>
  <c r="F30" i="16" s="1"/>
  <c r="D31" i="16"/>
  <c r="E31" i="16" s="1"/>
  <c r="F31" i="16" s="1"/>
  <c r="D32" i="16"/>
  <c r="E32" i="16" s="1"/>
  <c r="F32" i="16" s="1"/>
  <c r="D38" i="16"/>
  <c r="E38" i="16" s="1"/>
  <c r="F38" i="16" s="1"/>
  <c r="D39" i="16"/>
  <c r="E39" i="16" s="1"/>
  <c r="F39" i="16" s="1"/>
  <c r="D16" i="16"/>
  <c r="E16" i="16" s="1"/>
  <c r="F16" i="16" s="1"/>
  <c r="B17" i="16"/>
  <c r="I17" i="16" s="1"/>
  <c r="J17" i="16" s="1"/>
  <c r="B18" i="16"/>
  <c r="I18" i="16" s="1"/>
  <c r="J18" i="16" s="1"/>
  <c r="B19" i="16"/>
  <c r="I19" i="16" s="1"/>
  <c r="J19" i="16" s="1"/>
  <c r="B20" i="16"/>
  <c r="I20" i="16" s="1"/>
  <c r="J20" i="16" s="1"/>
  <c r="B21" i="16"/>
  <c r="B33" i="16" s="1"/>
  <c r="I33" i="16" s="1"/>
  <c r="J33" i="16" s="1"/>
  <c r="B22" i="16"/>
  <c r="B34" i="16" s="1"/>
  <c r="I34" i="16" s="1"/>
  <c r="J34" i="16" s="1"/>
  <c r="B23" i="16"/>
  <c r="B35" i="16" s="1"/>
  <c r="I35" i="16" s="1"/>
  <c r="J35" i="16" s="1"/>
  <c r="B24" i="16"/>
  <c r="B36" i="16" s="1"/>
  <c r="I36" i="16" s="1"/>
  <c r="J36" i="16" s="1"/>
  <c r="B25" i="16"/>
  <c r="B26" i="16"/>
  <c r="B38" i="16" s="1"/>
  <c r="I38" i="16" s="1"/>
  <c r="J38" i="16" s="1"/>
  <c r="B27" i="16"/>
  <c r="B39" i="16" s="1"/>
  <c r="I39" i="16" s="1"/>
  <c r="J39" i="16" s="1"/>
  <c r="B29" i="16"/>
  <c r="I29" i="16" s="1"/>
  <c r="J29" i="16" s="1"/>
  <c r="B30" i="16"/>
  <c r="I30" i="16" s="1"/>
  <c r="J30" i="16" s="1"/>
  <c r="B32" i="16"/>
  <c r="I32" i="16" s="1"/>
  <c r="J32" i="16" s="1"/>
  <c r="B37" i="16"/>
  <c r="B16" i="16"/>
  <c r="B28" i="16" s="1"/>
  <c r="I28" i="16" s="1"/>
  <c r="J28" i="16" s="1"/>
  <c r="C5" i="16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D12" i="14"/>
  <c r="D13" i="14"/>
  <c r="D18" i="14" s="1"/>
  <c r="D23" i="14" s="1"/>
  <c r="D14" i="14"/>
  <c r="D16" i="14"/>
  <c r="D21" i="14" s="1"/>
  <c r="D17" i="14"/>
  <c r="D22" i="14" s="1"/>
  <c r="D19" i="14"/>
  <c r="D24" i="14" s="1"/>
  <c r="D11" i="14"/>
  <c r="J2" i="14"/>
  <c r="J5" i="14" s="1"/>
  <c r="C7" i="14"/>
  <c r="E7" i="14" s="1"/>
  <c r="C8" i="14"/>
  <c r="E8" i="14" s="1"/>
  <c r="C9" i="14"/>
  <c r="E9" i="14" s="1"/>
  <c r="C10" i="14"/>
  <c r="C11" i="14"/>
  <c r="C12" i="14"/>
  <c r="E12" i="14" s="1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6" i="14"/>
  <c r="E6" i="14" s="1"/>
  <c r="F6" i="14" s="1"/>
  <c r="D2" i="14"/>
  <c r="D10" i="14" s="1"/>
  <c r="D15" i="14" s="1"/>
  <c r="D20" i="14" s="1"/>
  <c r="B7" i="14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C8" i="10"/>
  <c r="C6" i="12"/>
  <c r="F6" i="12" s="1"/>
  <c r="C7" i="12"/>
  <c r="F7" i="12" s="1"/>
  <c r="C8" i="12"/>
  <c r="F8" i="12" s="1"/>
  <c r="C9" i="12"/>
  <c r="F9" i="12" s="1"/>
  <c r="C10" i="12"/>
  <c r="F10" i="12" s="1"/>
  <c r="C11" i="12"/>
  <c r="F11" i="12" s="1"/>
  <c r="C12" i="12"/>
  <c r="F12" i="12" s="1"/>
  <c r="C13" i="12"/>
  <c r="F13" i="12" s="1"/>
  <c r="C14" i="12"/>
  <c r="C15" i="12"/>
  <c r="F15" i="12" s="1"/>
  <c r="C16" i="12"/>
  <c r="C17" i="12"/>
  <c r="F17" i="12" s="1"/>
  <c r="C18" i="12"/>
  <c r="F18" i="12" s="1"/>
  <c r="C19" i="12"/>
  <c r="F19" i="12" s="1"/>
  <c r="C20" i="12"/>
  <c r="F20" i="12" s="1"/>
  <c r="C21" i="12"/>
  <c r="F21" i="12" s="1"/>
  <c r="C22" i="12"/>
  <c r="F22" i="12" s="1"/>
  <c r="C23" i="12"/>
  <c r="F23" i="12" s="1"/>
  <c r="C24" i="12"/>
  <c r="F24" i="12" s="1"/>
  <c r="C25" i="12"/>
  <c r="F25" i="12" s="1"/>
  <c r="C26" i="12"/>
  <c r="F26" i="12" s="1"/>
  <c r="C27" i="12"/>
  <c r="F27" i="12" s="1"/>
  <c r="C28" i="12"/>
  <c r="F28" i="12" s="1"/>
  <c r="C29" i="12"/>
  <c r="F29" i="12" s="1"/>
  <c r="C30" i="12"/>
  <c r="F30" i="12" s="1"/>
  <c r="C31" i="12"/>
  <c r="C32" i="12"/>
  <c r="F32" i="12" s="1"/>
  <c r="C33" i="12"/>
  <c r="F33" i="12" s="1"/>
  <c r="C34" i="12"/>
  <c r="C5" i="12"/>
  <c r="F5" i="12" s="1"/>
  <c r="F14" i="12"/>
  <c r="F16" i="12"/>
  <c r="F31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E34" i="12" s="1"/>
  <c r="D5" i="12"/>
  <c r="B6" i="12"/>
  <c r="B7" i="12" s="1"/>
  <c r="B8" i="12" s="1"/>
  <c r="B9" i="12" s="1"/>
  <c r="B10" i="12" s="1"/>
  <c r="B11" i="12" s="1"/>
  <c r="B12" i="12" s="1"/>
  <c r="B13" i="12" s="1"/>
  <c r="B14" i="12" s="1"/>
  <c r="B15" i="12" s="1"/>
  <c r="B16" i="12" s="1"/>
  <c r="B17" i="12" s="1"/>
  <c r="B18" i="12" s="1"/>
  <c r="B19" i="12" s="1"/>
  <c r="B20" i="12" s="1"/>
  <c r="B21" i="12" s="1"/>
  <c r="B22" i="12" s="1"/>
  <c r="B23" i="12" s="1"/>
  <c r="B24" i="12" s="1"/>
  <c r="B25" i="12" s="1"/>
  <c r="B26" i="12" s="1"/>
  <c r="B27" i="12" s="1"/>
  <c r="B28" i="12" s="1"/>
  <c r="B29" i="12" s="1"/>
  <c r="B30" i="12" s="1"/>
  <c r="B31" i="12" s="1"/>
  <c r="B32" i="12" s="1"/>
  <c r="B33" i="12" s="1"/>
  <c r="B34" i="12" s="1"/>
  <c r="H4" i="9"/>
  <c r="H5" i="9" s="1"/>
  <c r="H6" i="9" s="1"/>
  <c r="H7" i="9" s="1"/>
  <c r="H8" i="9" s="1"/>
  <c r="H9" i="9" s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H22" i="9" s="1"/>
  <c r="H23" i="9" s="1"/>
  <c r="H24" i="9" s="1"/>
  <c r="H25" i="9" s="1"/>
  <c r="H26" i="9" s="1"/>
  <c r="H27" i="9" s="1"/>
  <c r="H28" i="9" s="1"/>
  <c r="H29" i="9" s="1"/>
  <c r="H30" i="9" s="1"/>
  <c r="H31" i="9" s="1"/>
  <c r="H32" i="9" s="1"/>
  <c r="D28" i="16" l="1"/>
  <c r="E28" i="16" s="1"/>
  <c r="F28" i="16" s="1"/>
  <c r="H11" i="17"/>
  <c r="H10" i="17"/>
  <c r="E10" i="18" s="1"/>
  <c r="B31" i="16"/>
  <c r="I31" i="16" s="1"/>
  <c r="J31" i="16" s="1"/>
  <c r="I16" i="16"/>
  <c r="J16" i="16" s="1"/>
  <c r="H9" i="17"/>
  <c r="E9" i="18" s="1"/>
  <c r="F7" i="14"/>
  <c r="F8" i="14" s="1"/>
  <c r="F9" i="14" s="1"/>
  <c r="E25" i="16"/>
  <c r="F25" i="16" s="1"/>
  <c r="I27" i="16"/>
  <c r="J27" i="16" s="1"/>
  <c r="H6" i="17"/>
  <c r="E6" i="18" s="1"/>
  <c r="E22" i="16"/>
  <c r="F22" i="16" s="1"/>
  <c r="I24" i="16"/>
  <c r="J24" i="16" s="1"/>
  <c r="E23" i="16"/>
  <c r="F23" i="16" s="1"/>
  <c r="E21" i="16"/>
  <c r="F21" i="16" s="1"/>
  <c r="I23" i="16"/>
  <c r="J23" i="16" s="1"/>
  <c r="I22" i="16"/>
  <c r="J22" i="16" s="1"/>
  <c r="H5" i="17"/>
  <c r="E5" i="18" s="1"/>
  <c r="E24" i="16"/>
  <c r="F24" i="16" s="1"/>
  <c r="I21" i="16"/>
  <c r="J21" i="16" s="1"/>
  <c r="H14" i="17"/>
  <c r="E14" i="18" s="1"/>
  <c r="H13" i="17"/>
  <c r="E13" i="18" s="1"/>
  <c r="D23" i="20"/>
  <c r="F23" i="20" s="1"/>
  <c r="G23" i="20" s="1"/>
  <c r="H23" i="20" s="1"/>
  <c r="M22" i="2"/>
  <c r="M22" i="4" s="1"/>
  <c r="E8" i="18"/>
  <c r="E7" i="18"/>
  <c r="E12" i="18"/>
  <c r="E11" i="18"/>
  <c r="F5" i="17"/>
  <c r="C7" i="17"/>
  <c r="K4" i="16"/>
  <c r="L4" i="16"/>
  <c r="G5" i="16" s="1"/>
  <c r="H5" i="16" s="1"/>
  <c r="K5" i="16" s="1"/>
  <c r="L5" i="16"/>
  <c r="G6" i="16" s="1"/>
  <c r="E18" i="14"/>
  <c r="E17" i="14"/>
  <c r="E13" i="14"/>
  <c r="E14" i="14"/>
  <c r="E15" i="14"/>
  <c r="E10" i="14"/>
  <c r="E24" i="14"/>
  <c r="E22" i="14"/>
  <c r="E19" i="14"/>
  <c r="E23" i="14"/>
  <c r="E21" i="14"/>
  <c r="E25" i="14"/>
  <c r="E20" i="14"/>
  <c r="E16" i="14"/>
  <c r="E11" i="14"/>
  <c r="F34" i="12"/>
  <c r="D24" i="20" l="1"/>
  <c r="F24" i="20" s="1"/>
  <c r="G24" i="20" s="1"/>
  <c r="H24" i="20" s="1"/>
  <c r="M24" i="2" s="1"/>
  <c r="M24" i="4" s="1"/>
  <c r="M23" i="2"/>
  <c r="M23" i="4" s="1"/>
  <c r="F10" i="14"/>
  <c r="G5" i="17"/>
  <c r="E6" i="17" s="1"/>
  <c r="F6" i="17" s="1"/>
  <c r="I6" i="17" s="1"/>
  <c r="I5" i="17"/>
  <c r="D7" i="17"/>
  <c r="C8" i="17"/>
  <c r="H6" i="16"/>
  <c r="K6" i="16" s="1"/>
  <c r="F11" i="14"/>
  <c r="F12" i="14" s="1"/>
  <c r="F13" i="14" s="1"/>
  <c r="F14" i="14" s="1"/>
  <c r="F15" i="14" s="1"/>
  <c r="F16" i="14" s="1"/>
  <c r="F17" i="14" s="1"/>
  <c r="F18" i="14" s="1"/>
  <c r="F19" i="14" s="1"/>
  <c r="F20" i="14" s="1"/>
  <c r="F21" i="14" s="1"/>
  <c r="F22" i="14" s="1"/>
  <c r="F23" i="14" s="1"/>
  <c r="F24" i="14" s="1"/>
  <c r="F25" i="14" s="1"/>
  <c r="J8" i="14" s="1"/>
  <c r="J9" i="14" s="1"/>
  <c r="C7" i="10"/>
  <c r="C9" i="10" s="1"/>
  <c r="C1" i="12" s="1"/>
  <c r="C5" i="10"/>
  <c r="E47" i="11"/>
  <c r="D47" i="11"/>
  <c r="F47" i="11" s="1"/>
  <c r="D46" i="11"/>
  <c r="F46" i="11" s="1"/>
  <c r="D43" i="8" s="1"/>
  <c r="D45" i="11"/>
  <c r="F45" i="11" s="1"/>
  <c r="D44" i="11"/>
  <c r="F44" i="11" s="1"/>
  <c r="D43" i="11"/>
  <c r="F43" i="11" s="1"/>
  <c r="D42" i="11"/>
  <c r="F42" i="11" s="1"/>
  <c r="D39" i="8" s="1"/>
  <c r="D41" i="11"/>
  <c r="F41" i="11" s="1"/>
  <c r="D40" i="11"/>
  <c r="F40" i="11" s="1"/>
  <c r="D39" i="11"/>
  <c r="F39" i="11" s="1"/>
  <c r="D38" i="11"/>
  <c r="F38" i="11" s="1"/>
  <c r="D35" i="8" s="1"/>
  <c r="D37" i="11"/>
  <c r="F37" i="11" s="1"/>
  <c r="D36" i="11"/>
  <c r="F36" i="11" s="1"/>
  <c r="D35" i="11"/>
  <c r="F35" i="11" s="1"/>
  <c r="D34" i="11"/>
  <c r="F34" i="11" s="1"/>
  <c r="D31" i="8" s="1"/>
  <c r="D33" i="11"/>
  <c r="F33" i="11" s="1"/>
  <c r="D30" i="8" s="1"/>
  <c r="D32" i="11"/>
  <c r="F32" i="11" s="1"/>
  <c r="D31" i="11"/>
  <c r="F31" i="11" s="1"/>
  <c r="F30" i="11"/>
  <c r="D27" i="8" s="1"/>
  <c r="D30" i="11"/>
  <c r="D29" i="11"/>
  <c r="F29" i="11" s="1"/>
  <c r="D28" i="11"/>
  <c r="F28" i="11" s="1"/>
  <c r="D27" i="11"/>
  <c r="F27" i="11" s="1"/>
  <c r="D26" i="11"/>
  <c r="F26" i="11" s="1"/>
  <c r="D23" i="8" s="1"/>
  <c r="D25" i="11"/>
  <c r="F25" i="11" s="1"/>
  <c r="D22" i="8" s="1"/>
  <c r="D24" i="11"/>
  <c r="F24" i="11" s="1"/>
  <c r="D23" i="11"/>
  <c r="F23" i="11" s="1"/>
  <c r="D22" i="11"/>
  <c r="F22" i="11" s="1"/>
  <c r="D19" i="8" s="1"/>
  <c r="D21" i="11"/>
  <c r="F21" i="11" s="1"/>
  <c r="D20" i="11"/>
  <c r="F20" i="11" s="1"/>
  <c r="D19" i="11"/>
  <c r="F19" i="11" s="1"/>
  <c r="D18" i="11"/>
  <c r="F18" i="11" s="1"/>
  <c r="D15" i="8" s="1"/>
  <c r="D17" i="11"/>
  <c r="F17" i="11" s="1"/>
  <c r="D14" i="8" s="1"/>
  <c r="D16" i="11"/>
  <c r="F16" i="11" s="1"/>
  <c r="D15" i="11"/>
  <c r="F15" i="11" s="1"/>
  <c r="D14" i="11"/>
  <c r="F14" i="11" s="1"/>
  <c r="D11" i="8" s="1"/>
  <c r="D13" i="11"/>
  <c r="F13" i="11" s="1"/>
  <c r="D12" i="11"/>
  <c r="F12" i="11" s="1"/>
  <c r="D11" i="11"/>
  <c r="F11" i="11" s="1"/>
  <c r="F10" i="11"/>
  <c r="D10" i="11"/>
  <c r="D9" i="11"/>
  <c r="F9" i="11" s="1"/>
  <c r="D6" i="8" s="1"/>
  <c r="D8" i="11"/>
  <c r="F8" i="11" s="1"/>
  <c r="C8" i="11"/>
  <c r="C9" i="11" s="1"/>
  <c r="B8" i="1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B45" i="11" s="1"/>
  <c r="B46" i="11" s="1"/>
  <c r="B47" i="11" s="1"/>
  <c r="F7" i="11"/>
  <c r="G7" i="11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E44" i="8"/>
  <c r="E43" i="8"/>
  <c r="E42" i="8"/>
  <c r="E41" i="8"/>
  <c r="E40" i="8"/>
  <c r="E39" i="8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D7" i="8"/>
  <c r="B5" i="8"/>
  <c r="B6" i="8" s="1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D4" i="8" l="1"/>
  <c r="G6" i="17"/>
  <c r="E7" i="17" s="1"/>
  <c r="F4" i="8"/>
  <c r="G4" i="8" s="1"/>
  <c r="F7" i="17"/>
  <c r="C9" i="17"/>
  <c r="D8" i="17"/>
  <c r="L6" i="16"/>
  <c r="G7" i="16" s="1"/>
  <c r="G8" i="12"/>
  <c r="H8" i="12" s="1"/>
  <c r="G6" i="12"/>
  <c r="H6" i="12" s="1"/>
  <c r="G7" i="12"/>
  <c r="H7" i="12" s="1"/>
  <c r="G31" i="12"/>
  <c r="H31" i="12" s="1"/>
  <c r="G14" i="12"/>
  <c r="H14" i="12" s="1"/>
  <c r="G23" i="12"/>
  <c r="H23" i="12" s="1"/>
  <c r="G5" i="12"/>
  <c r="H5" i="12" s="1"/>
  <c r="G15" i="12"/>
  <c r="H15" i="12" s="1"/>
  <c r="G30" i="12"/>
  <c r="H30" i="12" s="1"/>
  <c r="G10" i="12"/>
  <c r="H10" i="12" s="1"/>
  <c r="G11" i="12"/>
  <c r="H11" i="12" s="1"/>
  <c r="G22" i="12"/>
  <c r="H22" i="12" s="1"/>
  <c r="G33" i="12"/>
  <c r="H33" i="12" s="1"/>
  <c r="G34" i="12"/>
  <c r="H34" i="12" s="1"/>
  <c r="G29" i="12"/>
  <c r="H29" i="12" s="1"/>
  <c r="G25" i="12"/>
  <c r="H25" i="12" s="1"/>
  <c r="G18" i="12"/>
  <c r="H18" i="12" s="1"/>
  <c r="G13" i="12"/>
  <c r="H13" i="12" s="1"/>
  <c r="G17" i="12"/>
  <c r="H17" i="12" s="1"/>
  <c r="G28" i="12"/>
  <c r="H28" i="12" s="1"/>
  <c r="G9" i="12"/>
  <c r="H9" i="12" s="1"/>
  <c r="G12" i="12"/>
  <c r="H12" i="12" s="1"/>
  <c r="G21" i="12"/>
  <c r="H21" i="12" s="1"/>
  <c r="G24" i="12"/>
  <c r="H24" i="12" s="1"/>
  <c r="G20" i="12"/>
  <c r="H20" i="12" s="1"/>
  <c r="G16" i="12"/>
  <c r="H16" i="12" s="1"/>
  <c r="G26" i="12"/>
  <c r="H26" i="12" s="1"/>
  <c r="G32" i="12"/>
  <c r="H32" i="12" s="1"/>
  <c r="G19" i="12"/>
  <c r="H19" i="12" s="1"/>
  <c r="G27" i="12"/>
  <c r="H27" i="12" s="1"/>
  <c r="D29" i="8"/>
  <c r="D12" i="8"/>
  <c r="F12" i="8" s="1"/>
  <c r="G12" i="8" s="1"/>
  <c r="D42" i="8"/>
  <c r="F42" i="8" s="1"/>
  <c r="G42" i="8" s="1"/>
  <c r="D33" i="8"/>
  <c r="F33" i="8" s="1"/>
  <c r="G33" i="8" s="1"/>
  <c r="D13" i="8"/>
  <c r="F13" i="8" s="1"/>
  <c r="G13" i="8" s="1"/>
  <c r="D24" i="8"/>
  <c r="D36" i="8"/>
  <c r="F36" i="8" s="1"/>
  <c r="G36" i="8" s="1"/>
  <c r="D16" i="8"/>
  <c r="F16" i="8" s="1"/>
  <c r="G16" i="8" s="1"/>
  <c r="D40" i="8"/>
  <c r="D25" i="8"/>
  <c r="F25" i="8" s="1"/>
  <c r="G25" i="8" s="1"/>
  <c r="D37" i="8"/>
  <c r="F37" i="8" s="1"/>
  <c r="G37" i="8" s="1"/>
  <c r="D17" i="8"/>
  <c r="F17" i="8" s="1"/>
  <c r="G17" i="8" s="1"/>
  <c r="D8" i="8"/>
  <c r="F8" i="8" s="1"/>
  <c r="G8" i="8" s="1"/>
  <c r="D20" i="8"/>
  <c r="D26" i="8"/>
  <c r="D38" i="8"/>
  <c r="F38" i="8" s="1"/>
  <c r="G38" i="8" s="1"/>
  <c r="D44" i="8"/>
  <c r="G8" i="11"/>
  <c r="D5" i="8"/>
  <c r="F5" i="8" s="1"/>
  <c r="G5" i="8" s="1"/>
  <c r="D10" i="8"/>
  <c r="F10" i="8" s="1"/>
  <c r="G10" i="8" s="1"/>
  <c r="D28" i="8"/>
  <c r="F28" i="8" s="1"/>
  <c r="G28" i="8" s="1"/>
  <c r="D34" i="8"/>
  <c r="F34" i="8" s="1"/>
  <c r="G34" i="8" s="1"/>
  <c r="D41" i="8"/>
  <c r="F41" i="8" s="1"/>
  <c r="G41" i="8" s="1"/>
  <c r="D18" i="8"/>
  <c r="F18" i="8" s="1"/>
  <c r="G18" i="8" s="1"/>
  <c r="G9" i="11"/>
  <c r="C10" i="11"/>
  <c r="C11" i="11" s="1"/>
  <c r="C12" i="11" s="1"/>
  <c r="C13" i="11" s="1"/>
  <c r="C14" i="11" s="1"/>
  <c r="C15" i="11" s="1"/>
  <c r="C16" i="11" s="1"/>
  <c r="C17" i="11" s="1"/>
  <c r="G12" i="11"/>
  <c r="D9" i="8"/>
  <c r="F9" i="8" s="1"/>
  <c r="G9" i="8" s="1"/>
  <c r="D21" i="8"/>
  <c r="F21" i="8" s="1"/>
  <c r="G21" i="8" s="1"/>
  <c r="D32" i="8"/>
  <c r="F32" i="8" s="1"/>
  <c r="G32" i="8" s="1"/>
  <c r="F24" i="8"/>
  <c r="G24" i="8" s="1"/>
  <c r="F40" i="8"/>
  <c r="G40" i="8" s="1"/>
  <c r="F20" i="8"/>
  <c r="G20" i="8" s="1"/>
  <c r="F44" i="8"/>
  <c r="G44" i="8" s="1"/>
  <c r="F19" i="8"/>
  <c r="G19" i="8" s="1"/>
  <c r="F27" i="8"/>
  <c r="G27" i="8" s="1"/>
  <c r="F43" i="8"/>
  <c r="G43" i="8" s="1"/>
  <c r="F11" i="8"/>
  <c r="G11" i="8" s="1"/>
  <c r="F35" i="8"/>
  <c r="G35" i="8" s="1"/>
  <c r="F22" i="8"/>
  <c r="G22" i="8" s="1"/>
  <c r="F7" i="8"/>
  <c r="F15" i="8"/>
  <c r="G15" i="8" s="1"/>
  <c r="F23" i="8"/>
  <c r="G23" i="8" s="1"/>
  <c r="F31" i="8"/>
  <c r="G31" i="8" s="1"/>
  <c r="F39" i="8"/>
  <c r="G39" i="8" s="1"/>
  <c r="F29" i="8"/>
  <c r="G29" i="8" s="1"/>
  <c r="F6" i="8"/>
  <c r="G6" i="8" s="1"/>
  <c r="F14" i="8"/>
  <c r="G14" i="8" s="1"/>
  <c r="F30" i="8"/>
  <c r="G30" i="8" s="1"/>
  <c r="F26" i="8"/>
  <c r="G26" i="8" s="1"/>
  <c r="G7" i="17" l="1"/>
  <c r="E8" i="17" s="1"/>
  <c r="F8" i="17" s="1"/>
  <c r="I7" i="17"/>
  <c r="D9" i="17"/>
  <c r="C10" i="17"/>
  <c r="H7" i="16"/>
  <c r="K7" i="16" s="1"/>
  <c r="L4" i="12"/>
  <c r="G17" i="11"/>
  <c r="C18" i="11"/>
  <c r="G7" i="8"/>
  <c r="J3" i="8" s="1"/>
  <c r="G11" i="11"/>
  <c r="G10" i="11"/>
  <c r="G15" i="11"/>
  <c r="G13" i="11"/>
  <c r="G16" i="11"/>
  <c r="G14" i="11"/>
  <c r="G8" i="17" l="1"/>
  <c r="E9" i="17" s="1"/>
  <c r="F9" i="17" s="1"/>
  <c r="I8" i="17"/>
  <c r="D10" i="17"/>
  <c r="C11" i="17"/>
  <c r="L7" i="16"/>
  <c r="G8" i="16" s="1"/>
  <c r="C19" i="11"/>
  <c r="G18" i="11"/>
  <c r="G9" i="17" l="1"/>
  <c r="E10" i="17" s="1"/>
  <c r="F10" i="17" s="1"/>
  <c r="I9" i="17"/>
  <c r="C12" i="17"/>
  <c r="D11" i="17"/>
  <c r="H8" i="16"/>
  <c r="K8" i="16" s="1"/>
  <c r="C20" i="11"/>
  <c r="G19" i="11"/>
  <c r="G10" i="17" l="1"/>
  <c r="E11" i="17" s="1"/>
  <c r="F11" i="17" s="1"/>
  <c r="I10" i="17"/>
  <c r="D12" i="17"/>
  <c r="C13" i="17"/>
  <c r="L8" i="16"/>
  <c r="G9" i="16" s="1"/>
  <c r="H9" i="16"/>
  <c r="K9" i="16" s="1"/>
  <c r="C21" i="11"/>
  <c r="G20" i="11"/>
  <c r="G11" i="17" l="1"/>
  <c r="E12" i="17" s="1"/>
  <c r="I11" i="17"/>
  <c r="F12" i="17"/>
  <c r="C14" i="17"/>
  <c r="D14" i="17" s="1"/>
  <c r="D13" i="17"/>
  <c r="L9" i="16"/>
  <c r="G10" i="16" s="1"/>
  <c r="C22" i="11"/>
  <c r="G21" i="11"/>
  <c r="G12" i="17" l="1"/>
  <c r="E13" i="17" s="1"/>
  <c r="F13" i="17" s="1"/>
  <c r="G13" i="17" s="1"/>
  <c r="E14" i="17" s="1"/>
  <c r="I12" i="17"/>
  <c r="H10" i="16"/>
  <c r="K10" i="16" s="1"/>
  <c r="C23" i="11"/>
  <c r="G22" i="11"/>
  <c r="I13" i="17" l="1"/>
  <c r="F14" i="17"/>
  <c r="L10" i="16"/>
  <c r="G11" i="16" s="1"/>
  <c r="C24" i="11"/>
  <c r="G23" i="11"/>
  <c r="I14" i="17" l="1"/>
  <c r="J13" i="17" s="1"/>
  <c r="K13" i="17" s="1"/>
  <c r="G14" i="17"/>
  <c r="K14" i="17" s="1"/>
  <c r="H11" i="16"/>
  <c r="K11" i="16" s="1"/>
  <c r="C25" i="11"/>
  <c r="G24" i="11"/>
  <c r="F14" i="18" l="1"/>
  <c r="G14" i="18" s="1"/>
  <c r="L14" i="17"/>
  <c r="H14" i="18" s="1"/>
  <c r="F13" i="18"/>
  <c r="G13" i="18" s="1"/>
  <c r="L13" i="17"/>
  <c r="J12" i="17"/>
  <c r="K12" i="17" s="1"/>
  <c r="H13" i="18"/>
  <c r="L11" i="16"/>
  <c r="G12" i="16" s="1"/>
  <c r="C26" i="11"/>
  <c r="G25" i="11"/>
  <c r="I14" i="18" l="1"/>
  <c r="F12" i="18"/>
  <c r="L12" i="17"/>
  <c r="H12" i="18" s="1"/>
  <c r="I13" i="18"/>
  <c r="J11" i="17"/>
  <c r="K11" i="17" s="1"/>
  <c r="G12" i="18"/>
  <c r="H12" i="16"/>
  <c r="K12" i="16" s="1"/>
  <c r="C27" i="11"/>
  <c r="G26" i="11"/>
  <c r="L11" i="17" l="1"/>
  <c r="F11" i="18"/>
  <c r="G11" i="18" s="1"/>
  <c r="J10" i="17"/>
  <c r="K10" i="17" s="1"/>
  <c r="H11" i="18"/>
  <c r="I12" i="18"/>
  <c r="L12" i="16"/>
  <c r="G13" i="16" s="1"/>
  <c r="C28" i="11"/>
  <c r="G27" i="11"/>
  <c r="F10" i="18" l="1"/>
  <c r="G10" i="18" s="1"/>
  <c r="L10" i="17"/>
  <c r="H10" i="18" s="1"/>
  <c r="I11" i="18"/>
  <c r="J9" i="17"/>
  <c r="K9" i="17" s="1"/>
  <c r="H13" i="16"/>
  <c r="K13" i="16" s="1"/>
  <c r="C29" i="11"/>
  <c r="G28" i="11"/>
  <c r="F9" i="18" l="1"/>
  <c r="G9" i="18" s="1"/>
  <c r="L9" i="17"/>
  <c r="H9" i="18" s="1"/>
  <c r="J8" i="17"/>
  <c r="K8" i="17" s="1"/>
  <c r="I10" i="18"/>
  <c r="L13" i="16"/>
  <c r="G14" i="16" s="1"/>
  <c r="C30" i="11"/>
  <c r="G29" i="11"/>
  <c r="I9" i="18" l="1"/>
  <c r="L8" i="17"/>
  <c r="H8" i="18" s="1"/>
  <c r="F8" i="18"/>
  <c r="J7" i="17"/>
  <c r="K7" i="17" s="1"/>
  <c r="G8" i="18"/>
  <c r="H14" i="16"/>
  <c r="K14" i="16" s="1"/>
  <c r="C31" i="11"/>
  <c r="G30" i="11"/>
  <c r="F7" i="18" l="1"/>
  <c r="L7" i="17"/>
  <c r="H7" i="18"/>
  <c r="G7" i="18"/>
  <c r="J6" i="17"/>
  <c r="K6" i="17" s="1"/>
  <c r="I8" i="18"/>
  <c r="L14" i="16"/>
  <c r="G15" i="16" s="1"/>
  <c r="C32" i="11"/>
  <c r="G31" i="11"/>
  <c r="F6" i="18" l="1"/>
  <c r="L6" i="17"/>
  <c r="H6" i="18" s="1"/>
  <c r="J5" i="17"/>
  <c r="K5" i="17" s="1"/>
  <c r="G6" i="18"/>
  <c r="I7" i="18"/>
  <c r="H15" i="16"/>
  <c r="K15" i="16" s="1"/>
  <c r="C33" i="11"/>
  <c r="G32" i="11"/>
  <c r="F5" i="18" l="1"/>
  <c r="L5" i="17"/>
  <c r="H5" i="18" s="1"/>
  <c r="G5" i="18"/>
  <c r="I6" i="18"/>
  <c r="L15" i="16"/>
  <c r="G16" i="16" s="1"/>
  <c r="G33" i="11"/>
  <c r="C34" i="11"/>
  <c r="I5" i="18" l="1"/>
  <c r="H16" i="16"/>
  <c r="K16" i="16" s="1"/>
  <c r="C35" i="11"/>
  <c r="G34" i="11"/>
  <c r="L16" i="16" l="1"/>
  <c r="G17" i="16" s="1"/>
  <c r="C36" i="11"/>
  <c r="G35" i="11"/>
  <c r="H17" i="16" l="1"/>
  <c r="K17" i="16" s="1"/>
  <c r="C37" i="11"/>
  <c r="G36" i="11"/>
  <c r="L17" i="16" l="1"/>
  <c r="G18" i="16" s="1"/>
  <c r="C38" i="11"/>
  <c r="G37" i="11"/>
  <c r="H18" i="16" l="1"/>
  <c r="K18" i="16" s="1"/>
  <c r="C39" i="11"/>
  <c r="G38" i="11"/>
  <c r="L18" i="16" l="1"/>
  <c r="G19" i="16" s="1"/>
  <c r="C40" i="11"/>
  <c r="G39" i="11"/>
  <c r="H19" i="16" l="1"/>
  <c r="K19" i="16" s="1"/>
  <c r="C41" i="11"/>
  <c r="G40" i="11"/>
  <c r="L19" i="16" l="1"/>
  <c r="G20" i="16" s="1"/>
  <c r="C42" i="11"/>
  <c r="G41" i="11"/>
  <c r="H20" i="16" l="1"/>
  <c r="K20" i="16" s="1"/>
  <c r="C43" i="11"/>
  <c r="G42" i="11"/>
  <c r="L20" i="16" l="1"/>
  <c r="G21" i="16" s="1"/>
  <c r="C44" i="11"/>
  <c r="G43" i="11"/>
  <c r="H21" i="16" l="1"/>
  <c r="K21" i="16" s="1"/>
  <c r="C45" i="11"/>
  <c r="G44" i="11"/>
  <c r="L21" i="16" l="1"/>
  <c r="G22" i="16" s="1"/>
  <c r="C46" i="11"/>
  <c r="G45" i="11"/>
  <c r="H22" i="16" l="1"/>
  <c r="K22" i="16" s="1"/>
  <c r="C47" i="11"/>
  <c r="G47" i="11" s="1"/>
  <c r="G46" i="11"/>
  <c r="L22" i="16" l="1"/>
  <c r="G23" i="16" s="1"/>
  <c r="J6" i="11"/>
  <c r="H23" i="16" l="1"/>
  <c r="K23" i="16" s="1"/>
  <c r="F8" i="7"/>
  <c r="F10" i="7"/>
  <c r="F7" i="7"/>
  <c r="G7" i="7" s="1"/>
  <c r="E47" i="7"/>
  <c r="D12" i="7"/>
  <c r="D14" i="7" s="1"/>
  <c r="D9" i="7"/>
  <c r="D11" i="7" s="1"/>
  <c r="D13" i="7" s="1"/>
  <c r="D15" i="7" s="1"/>
  <c r="D17" i="7" s="1"/>
  <c r="D19" i="7" s="1"/>
  <c r="D21" i="7" s="1"/>
  <c r="D23" i="7" s="1"/>
  <c r="D25" i="7" s="1"/>
  <c r="D27" i="7" s="1"/>
  <c r="D29" i="7" s="1"/>
  <c r="D31" i="7" s="1"/>
  <c r="D33" i="7" s="1"/>
  <c r="D35" i="7" s="1"/>
  <c r="D37" i="7" s="1"/>
  <c r="D39" i="7" s="1"/>
  <c r="D41" i="7" s="1"/>
  <c r="D43" i="7" s="1"/>
  <c r="D45" i="7" s="1"/>
  <c r="D47" i="7" s="1"/>
  <c r="F47" i="7" s="1"/>
  <c r="C8" i="7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2" i="7" s="1"/>
  <c r="C43" i="7" s="1"/>
  <c r="C44" i="7" s="1"/>
  <c r="C45" i="7" s="1"/>
  <c r="C46" i="7" s="1"/>
  <c r="C47" i="7" s="1"/>
  <c r="B8" i="7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B21" i="7" s="1"/>
  <c r="B22" i="7" s="1"/>
  <c r="B23" i="7" s="1"/>
  <c r="B24" i="7" s="1"/>
  <c r="B25" i="7" s="1"/>
  <c r="B26" i="7" s="1"/>
  <c r="B27" i="7" s="1"/>
  <c r="B28" i="7" s="1"/>
  <c r="B29" i="7" s="1"/>
  <c r="B30" i="7" s="1"/>
  <c r="B31" i="7" s="1"/>
  <c r="B32" i="7" s="1"/>
  <c r="B33" i="7" s="1"/>
  <c r="B34" i="7" s="1"/>
  <c r="B35" i="7" s="1"/>
  <c r="B36" i="7" s="1"/>
  <c r="B37" i="7" s="1"/>
  <c r="B38" i="7" s="1"/>
  <c r="B39" i="7" s="1"/>
  <c r="B40" i="7" s="1"/>
  <c r="B41" i="7" s="1"/>
  <c r="B42" i="7" s="1"/>
  <c r="B43" i="7" s="1"/>
  <c r="B44" i="7" s="1"/>
  <c r="B45" i="7" s="1"/>
  <c r="B46" i="7" s="1"/>
  <c r="B47" i="7" s="1"/>
  <c r="L5" i="4"/>
  <c r="P5" i="4" s="1"/>
  <c r="C6" i="5"/>
  <c r="B6" i="5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V24" i="4"/>
  <c r="U24" i="4"/>
  <c r="K6" i="4"/>
  <c r="K7" i="4" s="1"/>
  <c r="L7" i="4" s="1"/>
  <c r="C6" i="4"/>
  <c r="E6" i="4" s="1"/>
  <c r="B6" i="4"/>
  <c r="B7" i="4" s="1"/>
  <c r="B8" i="4" s="1"/>
  <c r="B9" i="4" s="1"/>
  <c r="B10" i="4" s="1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E5" i="4"/>
  <c r="G5" i="4" s="1"/>
  <c r="L5" i="2"/>
  <c r="P5" i="2" s="1"/>
  <c r="K6" i="2"/>
  <c r="L6" i="2" s="1"/>
  <c r="E5" i="2"/>
  <c r="G5" i="2" s="1"/>
  <c r="H5" i="2" s="1"/>
  <c r="F6" i="2" s="1"/>
  <c r="C6" i="2"/>
  <c r="E6" i="2" s="1"/>
  <c r="B6" i="2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W24" i="4" l="1"/>
  <c r="F24" i="5" s="1"/>
  <c r="L6" i="4"/>
  <c r="L23" i="16"/>
  <c r="G24" i="16" s="1"/>
  <c r="G10" i="7"/>
  <c r="G8" i="7"/>
  <c r="G47" i="7"/>
  <c r="F9" i="7"/>
  <c r="G9" i="7" s="1"/>
  <c r="D16" i="7"/>
  <c r="F14" i="7"/>
  <c r="G14" i="7" s="1"/>
  <c r="F29" i="7"/>
  <c r="G29" i="7" s="1"/>
  <c r="F13" i="7"/>
  <c r="G13" i="7" s="1"/>
  <c r="F37" i="7"/>
  <c r="G37" i="7" s="1"/>
  <c r="F12" i="7"/>
  <c r="G12" i="7" s="1"/>
  <c r="F43" i="7"/>
  <c r="G43" i="7" s="1"/>
  <c r="F35" i="7"/>
  <c r="G35" i="7" s="1"/>
  <c r="F27" i="7"/>
  <c r="G27" i="7" s="1"/>
  <c r="F19" i="7"/>
  <c r="G19" i="7" s="1"/>
  <c r="F11" i="7"/>
  <c r="G11" i="7" s="1"/>
  <c r="F45" i="7"/>
  <c r="G45" i="7" s="1"/>
  <c r="F21" i="7"/>
  <c r="G21" i="7" s="1"/>
  <c r="F33" i="7"/>
  <c r="G33" i="7" s="1"/>
  <c r="F25" i="7"/>
  <c r="G25" i="7" s="1"/>
  <c r="F41" i="7"/>
  <c r="G41" i="7" s="1"/>
  <c r="F17" i="7"/>
  <c r="G17" i="7" s="1"/>
  <c r="F39" i="7"/>
  <c r="G39" i="7" s="1"/>
  <c r="F31" i="7"/>
  <c r="G31" i="7" s="1"/>
  <c r="F23" i="7"/>
  <c r="G23" i="7" s="1"/>
  <c r="F15" i="7"/>
  <c r="G15" i="7" s="1"/>
  <c r="C7" i="4"/>
  <c r="C8" i="4" s="1"/>
  <c r="E8" i="4" s="1"/>
  <c r="C7" i="5"/>
  <c r="K8" i="4"/>
  <c r="L8" i="4" s="1"/>
  <c r="C9" i="4"/>
  <c r="C10" i="4" s="1"/>
  <c r="H5" i="4"/>
  <c r="F6" i="4" s="1"/>
  <c r="R5" i="4"/>
  <c r="P6" i="2"/>
  <c r="R5" i="2"/>
  <c r="K7" i="2"/>
  <c r="C7" i="2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E24" i="2" s="1"/>
  <c r="G6" i="2"/>
  <c r="R6" i="2" s="1"/>
  <c r="E7" i="4" l="1"/>
  <c r="E17" i="2"/>
  <c r="E19" i="2"/>
  <c r="E21" i="2"/>
  <c r="E16" i="2"/>
  <c r="C8" i="5"/>
  <c r="H24" i="16"/>
  <c r="K24" i="16" s="1"/>
  <c r="D18" i="7"/>
  <c r="F16" i="7"/>
  <c r="G16" i="7" s="1"/>
  <c r="E9" i="4"/>
  <c r="E14" i="2"/>
  <c r="E22" i="2"/>
  <c r="E18" i="2"/>
  <c r="K9" i="4"/>
  <c r="L9" i="4" s="1"/>
  <c r="C11" i="4"/>
  <c r="E10" i="4"/>
  <c r="G6" i="4"/>
  <c r="R6" i="4" s="1"/>
  <c r="P6" i="4"/>
  <c r="E7" i="2"/>
  <c r="E15" i="2"/>
  <c r="E11" i="2"/>
  <c r="E23" i="2"/>
  <c r="K8" i="2"/>
  <c r="L7" i="2"/>
  <c r="E10" i="2"/>
  <c r="E8" i="2"/>
  <c r="E12" i="2"/>
  <c r="E9" i="2"/>
  <c r="H6" i="2"/>
  <c r="F7" i="2" s="1"/>
  <c r="E20" i="2"/>
  <c r="E13" i="2"/>
  <c r="K10" i="4" l="1"/>
  <c r="L10" i="4" s="1"/>
  <c r="C9" i="5"/>
  <c r="L24" i="16"/>
  <c r="G25" i="16" s="1"/>
  <c r="D20" i="7"/>
  <c r="F18" i="7"/>
  <c r="G18" i="7" s="1"/>
  <c r="G7" i="2"/>
  <c r="H7" i="2" s="1"/>
  <c r="F8" i="2" s="1"/>
  <c r="H6" i="4"/>
  <c r="F7" i="4" s="1"/>
  <c r="C12" i="4"/>
  <c r="E11" i="4"/>
  <c r="P7" i="2"/>
  <c r="K9" i="2"/>
  <c r="L8" i="2"/>
  <c r="K11" i="4" l="1"/>
  <c r="L11" i="4" s="1"/>
  <c r="R7" i="2"/>
  <c r="C10" i="5"/>
  <c r="H25" i="16"/>
  <c r="K25" i="16" s="1"/>
  <c r="D22" i="7"/>
  <c r="F20" i="7"/>
  <c r="G20" i="7" s="1"/>
  <c r="P8" i="2"/>
  <c r="C13" i="4"/>
  <c r="E12" i="4"/>
  <c r="G7" i="4"/>
  <c r="R7" i="4" s="1"/>
  <c r="P7" i="4"/>
  <c r="K10" i="2"/>
  <c r="L9" i="2"/>
  <c r="G8" i="2"/>
  <c r="K12" i="4" l="1"/>
  <c r="L12" i="4" s="1"/>
  <c r="C11" i="5"/>
  <c r="L25" i="16"/>
  <c r="G26" i="16" s="1"/>
  <c r="D24" i="7"/>
  <c r="F22" i="7"/>
  <c r="G22" i="7" s="1"/>
  <c r="H7" i="4"/>
  <c r="F8" i="4" s="1"/>
  <c r="E13" i="4"/>
  <c r="C14" i="4"/>
  <c r="H8" i="2"/>
  <c r="F9" i="2" s="1"/>
  <c r="R8" i="2"/>
  <c r="K11" i="2"/>
  <c r="L10" i="2"/>
  <c r="K13" i="4" l="1"/>
  <c r="L13" i="4" s="1"/>
  <c r="C12" i="5"/>
  <c r="H26" i="16"/>
  <c r="K26" i="16" s="1"/>
  <c r="D26" i="7"/>
  <c r="F24" i="7"/>
  <c r="G24" i="7" s="1"/>
  <c r="P8" i="4"/>
  <c r="G8" i="4"/>
  <c r="R8" i="4" s="1"/>
  <c r="P9" i="2"/>
  <c r="K14" i="4"/>
  <c r="L14" i="4" s="1"/>
  <c r="C15" i="4"/>
  <c r="E14" i="4"/>
  <c r="K12" i="2"/>
  <c r="L11" i="2"/>
  <c r="G9" i="2"/>
  <c r="H8" i="4" l="1"/>
  <c r="F9" i="4" s="1"/>
  <c r="C13" i="5"/>
  <c r="L26" i="16"/>
  <c r="G27" i="16" s="1"/>
  <c r="D28" i="7"/>
  <c r="F26" i="7"/>
  <c r="G26" i="7" s="1"/>
  <c r="C16" i="4"/>
  <c r="E15" i="4"/>
  <c r="K15" i="4"/>
  <c r="L15" i="4" s="1"/>
  <c r="G9" i="4"/>
  <c r="R9" i="4" s="1"/>
  <c r="H9" i="2"/>
  <c r="F10" i="2" s="1"/>
  <c r="R9" i="2"/>
  <c r="K13" i="2"/>
  <c r="L12" i="2"/>
  <c r="P9" i="4" l="1"/>
  <c r="C14" i="5"/>
  <c r="H27" i="16"/>
  <c r="K27" i="16" s="1"/>
  <c r="D30" i="7"/>
  <c r="F28" i="7"/>
  <c r="G28" i="7" s="1"/>
  <c r="H9" i="4"/>
  <c r="F10" i="4" s="1"/>
  <c r="G10" i="4" s="1"/>
  <c r="K16" i="4"/>
  <c r="L16" i="4" s="1"/>
  <c r="E16" i="4"/>
  <c r="C17" i="4"/>
  <c r="K14" i="2"/>
  <c r="L13" i="2"/>
  <c r="G10" i="2"/>
  <c r="P10" i="2"/>
  <c r="C15" i="5" l="1"/>
  <c r="L27" i="16"/>
  <c r="G28" i="16" s="1"/>
  <c r="D32" i="7"/>
  <c r="F30" i="7"/>
  <c r="G30" i="7" s="1"/>
  <c r="P10" i="4"/>
  <c r="R10" i="4"/>
  <c r="H10" i="4"/>
  <c r="F11" i="4" s="1"/>
  <c r="C18" i="4"/>
  <c r="E17" i="4"/>
  <c r="K17" i="4"/>
  <c r="L17" i="4" s="1"/>
  <c r="H10" i="2"/>
  <c r="F11" i="2" s="1"/>
  <c r="R10" i="2"/>
  <c r="K15" i="2"/>
  <c r="L14" i="2"/>
  <c r="G11" i="4" l="1"/>
  <c r="R11" i="4" s="1"/>
  <c r="P11" i="4"/>
  <c r="C16" i="5"/>
  <c r="H28" i="16"/>
  <c r="K28" i="16" s="1"/>
  <c r="D34" i="7"/>
  <c r="F32" i="7"/>
  <c r="G32" i="7" s="1"/>
  <c r="K18" i="4"/>
  <c r="L18" i="4" s="1"/>
  <c r="C19" i="4"/>
  <c r="E18" i="4"/>
  <c r="K16" i="2"/>
  <c r="L15" i="2"/>
  <c r="G11" i="2"/>
  <c r="P11" i="2"/>
  <c r="H11" i="4" l="1"/>
  <c r="F12" i="4" s="1"/>
  <c r="G12" i="4" s="1"/>
  <c r="R12" i="4" s="1"/>
  <c r="C17" i="5"/>
  <c r="L28" i="16"/>
  <c r="G29" i="16" s="1"/>
  <c r="D36" i="7"/>
  <c r="F34" i="7"/>
  <c r="G34" i="7" s="1"/>
  <c r="C20" i="4"/>
  <c r="E19" i="4"/>
  <c r="K19" i="4"/>
  <c r="L19" i="4" s="1"/>
  <c r="H11" i="2"/>
  <c r="F12" i="2" s="1"/>
  <c r="R11" i="2"/>
  <c r="K17" i="2"/>
  <c r="L16" i="2"/>
  <c r="P12" i="4" l="1"/>
  <c r="C18" i="5"/>
  <c r="H29" i="16"/>
  <c r="K29" i="16" s="1"/>
  <c r="D38" i="7"/>
  <c r="F36" i="7"/>
  <c r="G36" i="7" s="1"/>
  <c r="K20" i="4"/>
  <c r="L20" i="4" s="1"/>
  <c r="H12" i="4"/>
  <c r="F13" i="4" s="1"/>
  <c r="C21" i="4"/>
  <c r="E20" i="4"/>
  <c r="K18" i="2"/>
  <c r="L17" i="2"/>
  <c r="G12" i="2"/>
  <c r="P12" i="2"/>
  <c r="C19" i="5" l="1"/>
  <c r="L29" i="16"/>
  <c r="G30" i="16" s="1"/>
  <c r="H30" i="16" s="1"/>
  <c r="K30" i="16" s="1"/>
  <c r="D40" i="7"/>
  <c r="F38" i="7"/>
  <c r="G38" i="7" s="1"/>
  <c r="E21" i="4"/>
  <c r="C22" i="4"/>
  <c r="G13" i="4"/>
  <c r="R13" i="4" s="1"/>
  <c r="P13" i="4"/>
  <c r="K21" i="4"/>
  <c r="L21" i="4" s="1"/>
  <c r="H12" i="2"/>
  <c r="F13" i="2" s="1"/>
  <c r="R12" i="2"/>
  <c r="K19" i="2"/>
  <c r="L18" i="2"/>
  <c r="C20" i="5" l="1"/>
  <c r="L30" i="16"/>
  <c r="G31" i="16" s="1"/>
  <c r="D42" i="7"/>
  <c r="F40" i="7"/>
  <c r="G40" i="7" s="1"/>
  <c r="H13" i="4"/>
  <c r="F14" i="4" s="1"/>
  <c r="K22" i="4"/>
  <c r="L22" i="4" s="1"/>
  <c r="C23" i="4"/>
  <c r="E22" i="4"/>
  <c r="G13" i="2"/>
  <c r="P13" i="2"/>
  <c r="K20" i="2"/>
  <c r="L19" i="2"/>
  <c r="C21" i="5" l="1"/>
  <c r="H31" i="16"/>
  <c r="K31" i="16" s="1"/>
  <c r="D44" i="7"/>
  <c r="F42" i="7"/>
  <c r="G42" i="7" s="1"/>
  <c r="C24" i="4"/>
  <c r="E24" i="4" s="1"/>
  <c r="E23" i="4"/>
  <c r="K23" i="4"/>
  <c r="L23" i="4" s="1"/>
  <c r="G14" i="4"/>
  <c r="R14" i="4" s="1"/>
  <c r="P14" i="4"/>
  <c r="K21" i="2"/>
  <c r="L20" i="2"/>
  <c r="H13" i="2"/>
  <c r="F14" i="2" s="1"/>
  <c r="R13" i="2"/>
  <c r="C22" i="5" l="1"/>
  <c r="L31" i="16"/>
  <c r="G32" i="16" s="1"/>
  <c r="D46" i="7"/>
  <c r="F46" i="7" s="1"/>
  <c r="G46" i="7" s="1"/>
  <c r="F44" i="7"/>
  <c r="G44" i="7" s="1"/>
  <c r="H14" i="4"/>
  <c r="F15" i="4" s="1"/>
  <c r="K24" i="4"/>
  <c r="L24" i="4" s="1"/>
  <c r="G14" i="2"/>
  <c r="P14" i="2"/>
  <c r="K22" i="2"/>
  <c r="L21" i="2"/>
  <c r="C23" i="5" l="1"/>
  <c r="H32" i="16"/>
  <c r="K32" i="16" s="1"/>
  <c r="J6" i="7"/>
  <c r="G15" i="4"/>
  <c r="R15" i="4" s="1"/>
  <c r="P15" i="4"/>
  <c r="K23" i="2"/>
  <c r="L22" i="2"/>
  <c r="H14" i="2"/>
  <c r="F15" i="2" s="1"/>
  <c r="R14" i="2"/>
  <c r="C24" i="5" l="1"/>
  <c r="L32" i="16"/>
  <c r="G33" i="16" s="1"/>
  <c r="H15" i="4"/>
  <c r="F16" i="4" s="1"/>
  <c r="G15" i="2"/>
  <c r="P15" i="2"/>
  <c r="K24" i="2"/>
  <c r="L24" i="2" s="1"/>
  <c r="L23" i="2"/>
  <c r="H33" i="16" l="1"/>
  <c r="K33" i="16" s="1"/>
  <c r="G16" i="4"/>
  <c r="R16" i="4" s="1"/>
  <c r="P16" i="4"/>
  <c r="H15" i="2"/>
  <c r="F16" i="2" s="1"/>
  <c r="R15" i="2"/>
  <c r="L33" i="16" l="1"/>
  <c r="G34" i="16" s="1"/>
  <c r="H16" i="4"/>
  <c r="F17" i="4" s="1"/>
  <c r="G16" i="2"/>
  <c r="P16" i="2"/>
  <c r="H34" i="16" l="1"/>
  <c r="K34" i="16" s="1"/>
  <c r="P17" i="4"/>
  <c r="G17" i="4"/>
  <c r="R17" i="4" s="1"/>
  <c r="H16" i="2"/>
  <c r="F17" i="2" s="1"/>
  <c r="R16" i="2"/>
  <c r="H17" i="4" l="1"/>
  <c r="F18" i="4" s="1"/>
  <c r="G18" i="4" s="1"/>
  <c r="L34" i="16"/>
  <c r="G35" i="16" s="1"/>
  <c r="P18" i="4"/>
  <c r="G17" i="2"/>
  <c r="P17" i="2"/>
  <c r="R18" i="4" l="1"/>
  <c r="H18" i="4"/>
  <c r="F19" i="4" s="1"/>
  <c r="G19" i="4" s="1"/>
  <c r="R19" i="4" s="1"/>
  <c r="H35" i="16"/>
  <c r="K35" i="16" s="1"/>
  <c r="H17" i="2"/>
  <c r="F18" i="2" s="1"/>
  <c r="R17" i="2"/>
  <c r="P19" i="4" l="1"/>
  <c r="L35" i="16"/>
  <c r="G36" i="16" s="1"/>
  <c r="H19" i="4"/>
  <c r="F20" i="4" s="1"/>
  <c r="G18" i="2"/>
  <c r="P18" i="2"/>
  <c r="G20" i="4" l="1"/>
  <c r="R20" i="4" s="1"/>
  <c r="H36" i="16"/>
  <c r="K36" i="16" s="1"/>
  <c r="P20" i="4"/>
  <c r="H18" i="2"/>
  <c r="F19" i="2" s="1"/>
  <c r="R18" i="2"/>
  <c r="H20" i="4" l="1"/>
  <c r="F21" i="4" s="1"/>
  <c r="L36" i="16"/>
  <c r="G37" i="16" s="1"/>
  <c r="G19" i="2"/>
  <c r="P19" i="2"/>
  <c r="P21" i="4" l="1"/>
  <c r="G21" i="4"/>
  <c r="R21" i="4" s="1"/>
  <c r="H37" i="16"/>
  <c r="K37" i="16" s="1"/>
  <c r="H19" i="2"/>
  <c r="F20" i="2" s="1"/>
  <c r="R19" i="2"/>
  <c r="H21" i="4" l="1"/>
  <c r="F22" i="4" s="1"/>
  <c r="G22" i="4" s="1"/>
  <c r="R22" i="4" s="1"/>
  <c r="L37" i="16"/>
  <c r="G38" i="16" s="1"/>
  <c r="G20" i="2"/>
  <c r="P20" i="2"/>
  <c r="P22" i="4" l="1"/>
  <c r="H38" i="16"/>
  <c r="K38" i="16" s="1"/>
  <c r="H22" i="4"/>
  <c r="F23" i="4" s="1"/>
  <c r="H20" i="2"/>
  <c r="F21" i="2" s="1"/>
  <c r="R20" i="2"/>
  <c r="L38" i="16" l="1"/>
  <c r="G39" i="16" s="1"/>
  <c r="G23" i="4"/>
  <c r="R23" i="4" s="1"/>
  <c r="P23" i="4"/>
  <c r="G21" i="2"/>
  <c r="P21" i="2"/>
  <c r="H39" i="16" l="1"/>
  <c r="K39" i="16" s="1"/>
  <c r="H23" i="4"/>
  <c r="F24" i="4" s="1"/>
  <c r="H21" i="2"/>
  <c r="F22" i="2" s="1"/>
  <c r="R21" i="2"/>
  <c r="L39" i="16" l="1"/>
  <c r="G24" i="4"/>
  <c r="R24" i="4" s="1"/>
  <c r="P24" i="4"/>
  <c r="G22" i="2"/>
  <c r="P22" i="2"/>
  <c r="H24" i="4" l="1"/>
  <c r="H22" i="2"/>
  <c r="F23" i="2" s="1"/>
  <c r="R22" i="2"/>
  <c r="G23" i="2" l="1"/>
  <c r="P23" i="2"/>
  <c r="H23" i="2" l="1"/>
  <c r="F24" i="2" s="1"/>
  <c r="R23" i="2"/>
  <c r="G24" i="2" l="1"/>
  <c r="P24" i="2"/>
  <c r="H24" i="2" l="1"/>
  <c r="R24" i="2"/>
  <c r="J5" i="4"/>
  <c r="O5" i="4" s="1"/>
  <c r="Q5" i="4" s="1"/>
  <c r="O5" i="2"/>
  <c r="Q5" i="2" l="1"/>
  <c r="U5" i="2"/>
  <c r="S5" i="2"/>
  <c r="E5" i="5" s="1"/>
  <c r="S5" i="4" l="1"/>
  <c r="T5" i="4"/>
  <c r="T5" i="2"/>
  <c r="O12" i="2"/>
  <c r="J16" i="4"/>
  <c r="T16" i="4" s="1"/>
  <c r="O16" i="2"/>
  <c r="J22" i="4"/>
  <c r="T22" i="4" s="1"/>
  <c r="O21" i="2"/>
  <c r="O22" i="2"/>
  <c r="O10" i="2"/>
  <c r="O6" i="2"/>
  <c r="O17" i="2"/>
  <c r="J8" i="4"/>
  <c r="J7" i="4"/>
  <c r="O7" i="4" s="1"/>
  <c r="Q7" i="4" s="1"/>
  <c r="J17" i="4"/>
  <c r="T17" i="4" s="1"/>
  <c r="O11" i="2"/>
  <c r="O8" i="2"/>
  <c r="J9" i="4"/>
  <c r="O9" i="4" s="1"/>
  <c r="Q9" i="4" s="1"/>
  <c r="J20" i="4"/>
  <c r="O20" i="4" s="1"/>
  <c r="Q20" i="4" s="1"/>
  <c r="J12" i="4"/>
  <c r="T12" i="4" s="1"/>
  <c r="J18" i="4"/>
  <c r="O18" i="4" s="1"/>
  <c r="Q18" i="4" s="1"/>
  <c r="J13" i="4"/>
  <c r="O23" i="2"/>
  <c r="O15" i="2"/>
  <c r="J11" i="4"/>
  <c r="T11" i="4" s="1"/>
  <c r="J19" i="4"/>
  <c r="O19" i="4" s="1"/>
  <c r="Q19" i="4" s="1"/>
  <c r="O18" i="2"/>
  <c r="O19" i="2"/>
  <c r="O24" i="2"/>
  <c r="O14" i="2"/>
  <c r="J14" i="4"/>
  <c r="O14" i="4" s="1"/>
  <c r="Q14" i="4" s="1"/>
  <c r="O9" i="2"/>
  <c r="J6" i="4"/>
  <c r="O6" i="4" s="1"/>
  <c r="Q6" i="4" s="1"/>
  <c r="O7" i="2"/>
  <c r="J23" i="4"/>
  <c r="O13" i="2"/>
  <c r="J10" i="4"/>
  <c r="T10" i="4" s="1"/>
  <c r="J15" i="4"/>
  <c r="O15" i="4" s="1"/>
  <c r="Q15" i="4" s="1"/>
  <c r="J24" i="4"/>
  <c r="O24" i="4" s="1"/>
  <c r="Q24" i="4" s="1"/>
  <c r="J21" i="4"/>
  <c r="O20" i="2"/>
  <c r="Q23" i="2" l="1"/>
  <c r="U23" i="2"/>
  <c r="Q6" i="2"/>
  <c r="U6" i="2"/>
  <c r="Q15" i="2"/>
  <c r="U15" i="2"/>
  <c r="Q17" i="2"/>
  <c r="S17" i="2" s="1"/>
  <c r="U17" i="2"/>
  <c r="Q7" i="2"/>
  <c r="S7" i="2" s="1"/>
  <c r="U7" i="2"/>
  <c r="Q10" i="2"/>
  <c r="S10" i="2" s="1"/>
  <c r="U10" i="2"/>
  <c r="Q21" i="2"/>
  <c r="U21" i="2"/>
  <c r="Q13" i="2"/>
  <c r="U13" i="2"/>
  <c r="Q19" i="2"/>
  <c r="U19" i="2"/>
  <c r="Q11" i="2"/>
  <c r="U11" i="2"/>
  <c r="Q12" i="2"/>
  <c r="S12" i="2" s="1"/>
  <c r="U12" i="2"/>
  <c r="Q14" i="2"/>
  <c r="U14" i="2"/>
  <c r="Q16" i="2"/>
  <c r="U16" i="2"/>
  <c r="Q24" i="2"/>
  <c r="U24" i="2"/>
  <c r="Q8" i="2"/>
  <c r="U8" i="2"/>
  <c r="Q18" i="2"/>
  <c r="S18" i="2" s="1"/>
  <c r="U18" i="2"/>
  <c r="Q22" i="2"/>
  <c r="S22" i="2" s="1"/>
  <c r="U22" i="2"/>
  <c r="Q9" i="2"/>
  <c r="U9" i="2"/>
  <c r="X5" i="2" s="1"/>
  <c r="M5" i="5" s="1"/>
  <c r="Q20" i="2"/>
  <c r="U20" i="2"/>
  <c r="T18" i="4"/>
  <c r="S21" i="2"/>
  <c r="O8" i="4"/>
  <c r="T20" i="4"/>
  <c r="T24" i="4"/>
  <c r="V23" i="4" s="1"/>
  <c r="S15" i="2"/>
  <c r="S9" i="2"/>
  <c r="S13" i="2"/>
  <c r="O21" i="4"/>
  <c r="T6" i="4"/>
  <c r="O17" i="4"/>
  <c r="S16" i="2"/>
  <c r="O10" i="4"/>
  <c r="Q10" i="4" s="1"/>
  <c r="T19" i="4"/>
  <c r="O16" i="4"/>
  <c r="Q16" i="4" s="1"/>
  <c r="T15" i="4"/>
  <c r="T14" i="4"/>
  <c r="O13" i="4"/>
  <c r="S11" i="2"/>
  <c r="O23" i="4"/>
  <c r="O12" i="4"/>
  <c r="S8" i="2"/>
  <c r="S6" i="2"/>
  <c r="S23" i="2"/>
  <c r="T8" i="4"/>
  <c r="T21" i="4"/>
  <c r="T13" i="4"/>
  <c r="T23" i="4"/>
  <c r="S14" i="2"/>
  <c r="S20" i="2"/>
  <c r="S24" i="2"/>
  <c r="O11" i="4"/>
  <c r="Q11" i="4" s="1"/>
  <c r="T7" i="4"/>
  <c r="S19" i="2"/>
  <c r="O22" i="4"/>
  <c r="Q22" i="4" s="1"/>
  <c r="T9" i="4"/>
  <c r="Q12" i="4" l="1"/>
  <c r="S12" i="4" s="1"/>
  <c r="Q23" i="4"/>
  <c r="S23" i="4" s="1"/>
  <c r="Q13" i="4"/>
  <c r="S13" i="4" s="1"/>
  <c r="Q21" i="4"/>
  <c r="S21" i="4" s="1"/>
  <c r="Q8" i="4"/>
  <c r="S8" i="4" s="1"/>
  <c r="Q17" i="4"/>
  <c r="S17" i="4" s="1"/>
  <c r="S24" i="4"/>
  <c r="U23" i="4" s="1"/>
  <c r="W23" i="4" s="1"/>
  <c r="F23" i="5" s="1"/>
  <c r="G24" i="5" s="1"/>
  <c r="S20" i="4"/>
  <c r="S18" i="4"/>
  <c r="V22" i="4"/>
  <c r="V21" i="4" s="1"/>
  <c r="V20" i="4" s="1"/>
  <c r="T12" i="2"/>
  <c r="E12" i="5"/>
  <c r="T9" i="2"/>
  <c r="E9" i="5"/>
  <c r="T22" i="2"/>
  <c r="E22" i="5"/>
  <c r="T23" i="2"/>
  <c r="E23" i="5"/>
  <c r="T15" i="2"/>
  <c r="E15" i="5"/>
  <c r="T16" i="2"/>
  <c r="E16" i="5"/>
  <c r="T6" i="2"/>
  <c r="E6" i="5"/>
  <c r="T11" i="2"/>
  <c r="E11" i="5"/>
  <c r="T17" i="2"/>
  <c r="E17" i="5"/>
  <c r="T10" i="2"/>
  <c r="E10" i="5"/>
  <c r="T14" i="2"/>
  <c r="E14" i="5"/>
  <c r="T24" i="2"/>
  <c r="E24" i="5"/>
  <c r="T7" i="2"/>
  <c r="E7" i="5"/>
  <c r="T20" i="2"/>
  <c r="E20" i="5"/>
  <c r="T19" i="2"/>
  <c r="E19" i="5"/>
  <c r="T18" i="2"/>
  <c r="E18" i="5"/>
  <c r="S10" i="4"/>
  <c r="T8" i="2"/>
  <c r="E8" i="5"/>
  <c r="T13" i="2"/>
  <c r="E13" i="5"/>
  <c r="T21" i="2"/>
  <c r="E21" i="5"/>
  <c r="S15" i="4"/>
  <c r="S14" i="4"/>
  <c r="S16" i="4"/>
  <c r="S6" i="4"/>
  <c r="S19" i="4"/>
  <c r="S9" i="4"/>
  <c r="S11" i="4"/>
  <c r="S7" i="4"/>
  <c r="S22" i="4"/>
  <c r="U22" i="4" l="1"/>
  <c r="U21" i="4" s="1"/>
  <c r="U20" i="4" s="1"/>
  <c r="U19" i="4" s="1"/>
  <c r="U18" i="4" s="1"/>
  <c r="U17" i="4" s="1"/>
  <c r="U16" i="4" s="1"/>
  <c r="U15" i="4" s="1"/>
  <c r="U14" i="4" s="1"/>
  <c r="U13" i="4" s="1"/>
  <c r="U12" i="4" s="1"/>
  <c r="U11" i="4" s="1"/>
  <c r="U10" i="4" s="1"/>
  <c r="U9" i="4" s="1"/>
  <c r="U8" i="4" s="1"/>
  <c r="U7" i="4" s="1"/>
  <c r="U6" i="4" s="1"/>
  <c r="U5" i="4" s="1"/>
  <c r="X4" i="2"/>
  <c r="X6" i="2" s="1"/>
  <c r="V19" i="4"/>
  <c r="W22" i="4" l="1"/>
  <c r="F22" i="5" s="1"/>
  <c r="G23" i="5" s="1"/>
  <c r="H24" i="5" s="1"/>
  <c r="I24" i="5" s="1"/>
  <c r="J24" i="5" s="1"/>
  <c r="W21" i="4"/>
  <c r="F21" i="5" s="1"/>
  <c r="W20" i="4"/>
  <c r="F20" i="5" s="1"/>
  <c r="W19" i="4"/>
  <c r="F19" i="5" s="1"/>
  <c r="V18" i="4"/>
  <c r="G22" i="5" l="1"/>
  <c r="H23" i="5" s="1"/>
  <c r="I23" i="5" s="1"/>
  <c r="J23" i="5" s="1"/>
  <c r="G21" i="5"/>
  <c r="G20" i="5"/>
  <c r="H21" i="5" s="1"/>
  <c r="I21" i="5" s="1"/>
  <c r="J21" i="5" s="1"/>
  <c r="H22" i="5"/>
  <c r="W18" i="4"/>
  <c r="F18" i="5" s="1"/>
  <c r="G19" i="5" s="1"/>
  <c r="V17" i="4"/>
  <c r="I22" i="5" l="1"/>
  <c r="J22" i="5" s="1"/>
  <c r="H20" i="5"/>
  <c r="I20" i="5" s="1"/>
  <c r="J20" i="5" s="1"/>
  <c r="W17" i="4"/>
  <c r="F17" i="5" s="1"/>
  <c r="G18" i="5" s="1"/>
  <c r="V16" i="4"/>
  <c r="H19" i="5" l="1"/>
  <c r="I19" i="5" s="1"/>
  <c r="J19" i="5" s="1"/>
  <c r="W16" i="4"/>
  <c r="F16" i="5" s="1"/>
  <c r="G17" i="5" s="1"/>
  <c r="V15" i="4"/>
  <c r="H18" i="5" l="1"/>
  <c r="I18" i="5" s="1"/>
  <c r="J18" i="5" s="1"/>
  <c r="W15" i="4"/>
  <c r="F15" i="5" s="1"/>
  <c r="G16" i="5" s="1"/>
  <c r="V14" i="4"/>
  <c r="H17" i="5" l="1"/>
  <c r="I17" i="5" s="1"/>
  <c r="J17" i="5" s="1"/>
  <c r="W14" i="4"/>
  <c r="F14" i="5" s="1"/>
  <c r="G15" i="5" s="1"/>
  <c r="V13" i="4"/>
  <c r="H16" i="5" l="1"/>
  <c r="I16" i="5" s="1"/>
  <c r="J16" i="5" s="1"/>
  <c r="W13" i="4"/>
  <c r="F13" i="5" s="1"/>
  <c r="G14" i="5" s="1"/>
  <c r="V12" i="4"/>
  <c r="H15" i="5" l="1"/>
  <c r="I15" i="5" s="1"/>
  <c r="J15" i="5" s="1"/>
  <c r="W12" i="4"/>
  <c r="F12" i="5" s="1"/>
  <c r="V11" i="4"/>
  <c r="W11" i="4" l="1"/>
  <c r="F11" i="5" s="1"/>
  <c r="G12" i="5" s="1"/>
  <c r="V10" i="4"/>
  <c r="G13" i="5"/>
  <c r="H13" i="5" l="1"/>
  <c r="I13" i="5" s="1"/>
  <c r="J13" i="5" s="1"/>
  <c r="H14" i="5"/>
  <c r="I14" i="5" s="1"/>
  <c r="J14" i="5" s="1"/>
  <c r="W10" i="4"/>
  <c r="F10" i="5" s="1"/>
  <c r="G11" i="5" s="1"/>
  <c r="V9" i="4"/>
  <c r="H12" i="5" l="1"/>
  <c r="I12" i="5" s="1"/>
  <c r="J12" i="5" s="1"/>
  <c r="W9" i="4"/>
  <c r="F9" i="5" s="1"/>
  <c r="G10" i="5" s="1"/>
  <c r="V8" i="4"/>
  <c r="W8" i="4" l="1"/>
  <c r="F8" i="5" s="1"/>
  <c r="G9" i="5" s="1"/>
  <c r="V7" i="4"/>
  <c r="H11" i="5"/>
  <c r="I11" i="5" s="1"/>
  <c r="J11" i="5" s="1"/>
  <c r="H10" i="5" l="1"/>
  <c r="I10" i="5" s="1"/>
  <c r="J10" i="5" s="1"/>
  <c r="W7" i="4"/>
  <c r="F7" i="5" s="1"/>
  <c r="G8" i="5" s="1"/>
  <c r="V6" i="4"/>
  <c r="H9" i="5" l="1"/>
  <c r="I9" i="5" s="1"/>
  <c r="J9" i="5" s="1"/>
  <c r="W6" i="4"/>
  <c r="F6" i="5" s="1"/>
  <c r="G7" i="5" s="1"/>
  <c r="V5" i="4"/>
  <c r="W5" i="4" s="1"/>
  <c r="F5" i="5" s="1"/>
  <c r="G5" i="5" s="1"/>
  <c r="H8" i="5" l="1"/>
  <c r="I8" i="5" s="1"/>
  <c r="J8" i="5" s="1"/>
  <c r="G6" i="5"/>
  <c r="H6" i="5"/>
  <c r="I5" i="5"/>
  <c r="J5" i="5" s="1"/>
  <c r="H7" i="5" l="1"/>
  <c r="I7" i="5" s="1"/>
  <c r="J7" i="5" s="1"/>
  <c r="I6" i="5"/>
  <c r="J6" i="5" s="1"/>
  <c r="M4" i="5" l="1"/>
  <c r="M6" i="5" s="1"/>
</calcChain>
</file>

<file path=xl/sharedStrings.xml><?xml version="1.0" encoding="utf-8"?>
<sst xmlns="http://schemas.openxmlformats.org/spreadsheetml/2006/main" count="206" uniqueCount="135">
  <si>
    <t>Mortality Rate</t>
  </si>
  <si>
    <t>Age</t>
  </si>
  <si>
    <t>qx</t>
  </si>
  <si>
    <t>Pricing Assumptions</t>
  </si>
  <si>
    <t>Mortality %</t>
  </si>
  <si>
    <t>Fixed Renewal expenses</t>
  </si>
  <si>
    <t>Expense Inflation</t>
  </si>
  <si>
    <t>Interest Rate</t>
  </si>
  <si>
    <t>Risk discount rate</t>
  </si>
  <si>
    <t>Policy Year</t>
  </si>
  <si>
    <t>Individual probability of death</t>
  </si>
  <si>
    <t>No. of lives at start</t>
  </si>
  <si>
    <t>No. of deaths</t>
  </si>
  <si>
    <t>No. of lives at end</t>
  </si>
  <si>
    <t>Premium</t>
  </si>
  <si>
    <t>Renewal expenses</t>
  </si>
  <si>
    <t>Amounts</t>
  </si>
  <si>
    <t>Death Benefit</t>
  </si>
  <si>
    <t>Inflation factor</t>
  </si>
  <si>
    <t>Cashflows</t>
  </si>
  <si>
    <t>Interest on CF</t>
  </si>
  <si>
    <t>Death Outgo</t>
  </si>
  <si>
    <t>Net cashlow</t>
  </si>
  <si>
    <t>PV of cashflows</t>
  </si>
  <si>
    <t>PV of Profit</t>
  </si>
  <si>
    <t>Total Inflow</t>
  </si>
  <si>
    <t>Total Outflow</t>
  </si>
  <si>
    <t>EPV of Inflow at the end of the year</t>
  </si>
  <si>
    <t>EPV of Outflow at the end of the year</t>
  </si>
  <si>
    <t>Reserves at the end of the year</t>
  </si>
  <si>
    <t>Net cashlow before reserve</t>
  </si>
  <si>
    <t>Reserve</t>
  </si>
  <si>
    <t>Increase in Reserve</t>
  </si>
  <si>
    <t>Interest on reserves</t>
  </si>
  <si>
    <t>Net cashlow after reserve</t>
  </si>
  <si>
    <t>PV of net cashflows</t>
  </si>
  <si>
    <t>PV of premium</t>
  </si>
  <si>
    <t>Date</t>
  </si>
  <si>
    <t>Month</t>
  </si>
  <si>
    <t>Bond A coupon rate</t>
  </si>
  <si>
    <t>Bond A face value</t>
  </si>
  <si>
    <t>Bond A redemption price</t>
  </si>
  <si>
    <t>Coupons</t>
  </si>
  <si>
    <t>Redemption</t>
  </si>
  <si>
    <t>Total Cashflows</t>
  </si>
  <si>
    <t>PV of cashflow</t>
  </si>
  <si>
    <t>Bond A price</t>
  </si>
  <si>
    <t>Bond A yield</t>
  </si>
  <si>
    <t>Total PV</t>
  </si>
  <si>
    <t>Bond B coupon rate</t>
  </si>
  <si>
    <t>Bond B face value</t>
  </si>
  <si>
    <t>Bond B redemption price</t>
  </si>
  <si>
    <t>Bond B price</t>
  </si>
  <si>
    <t>Bond B yield</t>
  </si>
  <si>
    <t>&lt;&lt; goal seeked to be 85</t>
  </si>
  <si>
    <t>&lt;&lt; goal seeked to be 95</t>
  </si>
  <si>
    <t>Index value</t>
  </si>
  <si>
    <t>Inflation Index</t>
  </si>
  <si>
    <t>Inflation Adjustment</t>
  </si>
  <si>
    <t>Total Cashflows after inflation adjustment</t>
  </si>
  <si>
    <t>Bond B real yield</t>
  </si>
  <si>
    <t>Bond C price</t>
  </si>
  <si>
    <t>Bond C redemption value</t>
  </si>
  <si>
    <t>Time in years</t>
  </si>
  <si>
    <t>Bond C yield</t>
  </si>
  <si>
    <t>Bond A nominal yield</t>
  </si>
  <si>
    <t>Year</t>
  </si>
  <si>
    <t>Projected Earnings</t>
  </si>
  <si>
    <t>Equity index</t>
  </si>
  <si>
    <t>Dividends</t>
  </si>
  <si>
    <t>Terminal value factor</t>
  </si>
  <si>
    <t>Terinal value</t>
  </si>
  <si>
    <t>Total cashflow</t>
  </si>
  <si>
    <t>Share price</t>
  </si>
  <si>
    <t>Discount factor</t>
  </si>
  <si>
    <t>a</t>
  </si>
  <si>
    <t>Increase in the projected earnings will lead to  increase in the future dividends of the company</t>
  </si>
  <si>
    <t>This will lead to a higher share price as per the model</t>
  </si>
  <si>
    <t>b</t>
  </si>
  <si>
    <t>The nominal yield of Bond B is higher than the real yield</t>
  </si>
  <si>
    <t>If nominal yield is used, the risk discount rate used for calculations will increase</t>
  </si>
  <si>
    <t>A higher discount rate will lead to a lower present value</t>
  </si>
  <si>
    <t>Hence, the calculated share price will reduce</t>
  </si>
  <si>
    <t>c</t>
  </si>
  <si>
    <t>This will increase the calculated share price</t>
  </si>
  <si>
    <t>The dividends will be brought forward in time. This will increase the present value of the dividends</t>
  </si>
  <si>
    <t>Time</t>
  </si>
  <si>
    <t>Income</t>
  </si>
  <si>
    <t>Extra Profits</t>
  </si>
  <si>
    <t>Extra profits</t>
  </si>
  <si>
    <t>Minimum yield</t>
  </si>
  <si>
    <t>Accumulated value of proceeds</t>
  </si>
  <si>
    <t>Loan amount at start</t>
  </si>
  <si>
    <t>Loan amount at end</t>
  </si>
  <si>
    <t>Loan interest rate</t>
  </si>
  <si>
    <t>Loan period</t>
  </si>
  <si>
    <t>Accumulated value at the end</t>
  </si>
  <si>
    <t>&lt;&lt;goal seeked to be 0</t>
  </si>
  <si>
    <t>Mortality rate</t>
  </si>
  <si>
    <t>Mortaity rate</t>
  </si>
  <si>
    <t>Surrender Rate</t>
  </si>
  <si>
    <t>Surrender</t>
  </si>
  <si>
    <t>Annual mortality rate</t>
  </si>
  <si>
    <t>Monthly mortality rate</t>
  </si>
  <si>
    <t>Annual surrender rate</t>
  </si>
  <si>
    <t>Montly surrender rate</t>
  </si>
  <si>
    <t>No. of surrenders</t>
  </si>
  <si>
    <t>No. of lives at the end</t>
  </si>
  <si>
    <t>Sum Assured</t>
  </si>
  <si>
    <t>Reserving assumptions</t>
  </si>
  <si>
    <t>Interest</t>
  </si>
  <si>
    <t>No. of policies</t>
  </si>
  <si>
    <t>Expected Death Strain</t>
  </si>
  <si>
    <t>Actual deaths</t>
  </si>
  <si>
    <t>Sum assured</t>
  </si>
  <si>
    <t>Reserves</t>
  </si>
  <si>
    <t>Actual Death Strain</t>
  </si>
  <si>
    <t>Expected Death strain</t>
  </si>
  <si>
    <t>Mortality Profit</t>
  </si>
  <si>
    <t>Increase in the actual no. of deaths will lead to a higher actual death strain</t>
  </si>
  <si>
    <t>This will reduce the mortality profits</t>
  </si>
  <si>
    <t>Increase in the expected mortality rate will lead to a higher expected death strain</t>
  </si>
  <si>
    <t>This will increase the mortality profit</t>
  </si>
  <si>
    <t>Loan o/s at the start</t>
  </si>
  <si>
    <t>Total instalment</t>
  </si>
  <si>
    <t>Interest repayment</t>
  </si>
  <si>
    <t>Capital repayment</t>
  </si>
  <si>
    <t>Loan o/s at the end</t>
  </si>
  <si>
    <t>Loan term</t>
  </si>
  <si>
    <t>Profit Margin</t>
  </si>
  <si>
    <t>Due to allowing for reserves, the profit margin of the policy reduces.</t>
  </si>
  <si>
    <t>Due to holding reserves, the emergence of profit is delayed</t>
  </si>
  <si>
    <t>This leads to a lower present value of profits while the present value of premiums remains unchanged.</t>
  </si>
  <si>
    <t>Total Expected death outgo</t>
  </si>
  <si>
    <t>Reserves at the end of the year per policy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</si>
</sst>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000_ ;_ * \-#,##0.000000_ ;_ * &quot;-&quot;??_ ;_ @_ "/>
    <numFmt numFmtId="165" formatCode="_(* #,##0.00_);_(* \(#,##0.00\);_(* &quot;-&quot;??_);_(@_)"/>
    <numFmt numFmtId="166" formatCode="_ * #,##0_ ;_ * \-#,##0_ ;_ * &quot;-&quot;??_ ;_ @_ "/>
    <numFmt numFmtId="167" formatCode="_ * #,##0.0_ ;_ * \-#,##0.0_ ;_ * &quot;-&quot;??????_ ;_ @_ "/>
    <numFmt numFmtId="168" formatCode="0.0%"/>
    <numFmt numFmtId="169" formatCode="_ * #,##0.00000_ ;_ * \-#,##0.00000_ ;_ * &quot;-&quot;??_ ;_ @_ "/>
    <numFmt numFmtId="170" formatCode="_ * #,##0.0000000_ ;_ * \-#,##0.0000000_ ;_ * &quot;-&quot;??_ ;_ @_ "/>
    <numFmt numFmtId="171" formatCode="0.0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i/>
      <sz val="11"/>
      <color rgb="FF0070C0"/>
      <name val="Aptos Narrow"/>
      <family val="2"/>
      <scheme val="minor"/>
    </font>
    <font>
      <sz val="12"/>
      <color rgb="FF000000"/>
      <name val="Times New Roman"/>
      <family val="1"/>
    </font>
    <font>
      <i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166" fontId="3" fillId="0" borderId="2" xfId="2" applyNumberFormat="1" applyFont="1" applyBorder="1" applyAlignment="1">
      <alignment wrapText="1"/>
    </xf>
    <xf numFmtId="166" fontId="3" fillId="0" borderId="3" xfId="2" applyNumberFormat="1" applyFont="1" applyBorder="1" applyAlignment="1">
      <alignment wrapText="1"/>
    </xf>
    <xf numFmtId="43" fontId="0" fillId="0" borderId="0" xfId="1" applyFont="1"/>
    <xf numFmtId="166" fontId="3" fillId="0" borderId="4" xfId="2" applyNumberFormat="1" applyFont="1" applyBorder="1" applyAlignment="1">
      <alignment wrapText="1"/>
    </xf>
    <xf numFmtId="0" fontId="3" fillId="2" borderId="1" xfId="0" applyFont="1" applyFill="1" applyBorder="1"/>
    <xf numFmtId="166" fontId="3" fillId="2" borderId="1" xfId="0" applyNumberFormat="1" applyFont="1" applyFill="1" applyBorder="1"/>
    <xf numFmtId="166" fontId="3" fillId="2" borderId="1" xfId="1" applyNumberFormat="1" applyFont="1" applyFill="1" applyBorder="1"/>
    <xf numFmtId="0" fontId="6" fillId="0" borderId="0" xfId="0" applyFont="1"/>
    <xf numFmtId="43" fontId="0" fillId="0" borderId="0" xfId="0" applyNumberFormat="1"/>
    <xf numFmtId="166" fontId="0" fillId="0" borderId="5" xfId="0" applyNumberFormat="1" applyBorder="1"/>
    <xf numFmtId="166" fontId="3" fillId="0" borderId="3" xfId="2" applyNumberFormat="1" applyFont="1" applyFill="1" applyBorder="1" applyAlignment="1">
      <alignment wrapText="1"/>
    </xf>
    <xf numFmtId="166" fontId="3" fillId="0" borderId="4" xfId="2" applyNumberFormat="1" applyFont="1" applyFill="1" applyBorder="1" applyAlignment="1">
      <alignment wrapText="1"/>
    </xf>
    <xf numFmtId="0" fontId="2" fillId="0" borderId="0" xfId="0" applyFont="1"/>
    <xf numFmtId="0" fontId="7" fillId="0" borderId="0" xfId="0" applyFont="1"/>
    <xf numFmtId="10" fontId="0" fillId="0" borderId="0" xfId="0" applyNumberFormat="1"/>
    <xf numFmtId="0" fontId="0" fillId="0" borderId="1" xfId="0" applyBorder="1"/>
    <xf numFmtId="0" fontId="3" fillId="3" borderId="1" xfId="0" applyFont="1" applyFill="1" applyBorder="1"/>
    <xf numFmtId="15" fontId="0" fillId="0" borderId="0" xfId="0" applyNumberFormat="1"/>
    <xf numFmtId="10" fontId="3" fillId="3" borderId="1" xfId="0" applyNumberFormat="1" applyFont="1" applyFill="1" applyBorder="1"/>
    <xf numFmtId="43" fontId="0" fillId="0" borderId="1" xfId="0" applyNumberFormat="1" applyBorder="1"/>
    <xf numFmtId="43" fontId="3" fillId="2" borderId="1" xfId="0" applyNumberFormat="1" applyFont="1" applyFill="1" applyBorder="1"/>
    <xf numFmtId="0" fontId="3" fillId="0" borderId="1" xfId="0" applyFont="1" applyBorder="1" applyAlignment="1">
      <alignment wrapText="1"/>
    </xf>
    <xf numFmtId="0" fontId="0" fillId="0" borderId="5" xfId="0" applyBorder="1"/>
    <xf numFmtId="43" fontId="0" fillId="0" borderId="5" xfId="1" applyFont="1" applyBorder="1"/>
    <xf numFmtId="15" fontId="0" fillId="0" borderId="1" xfId="0" applyNumberFormat="1" applyBorder="1"/>
    <xf numFmtId="43" fontId="0" fillId="0" borderId="1" xfId="1" applyFont="1" applyBorder="1"/>
    <xf numFmtId="15" fontId="0" fillId="0" borderId="8" xfId="0" applyNumberFormat="1" applyBorder="1"/>
    <xf numFmtId="43" fontId="0" fillId="0" borderId="9" xfId="1" applyFont="1" applyBorder="1"/>
    <xf numFmtId="15" fontId="0" fillId="0" borderId="10" xfId="0" applyNumberFormat="1" applyBorder="1"/>
    <xf numFmtId="0" fontId="0" fillId="0" borderId="11" xfId="0" applyBorder="1"/>
    <xf numFmtId="43" fontId="0" fillId="0" borderId="11" xfId="1" applyFont="1" applyBorder="1"/>
    <xf numFmtId="43" fontId="0" fillId="0" borderId="12" xfId="1" applyFont="1" applyBorder="1"/>
    <xf numFmtId="9" fontId="0" fillId="0" borderId="1" xfId="0" applyNumberFormat="1" applyBorder="1"/>
    <xf numFmtId="15" fontId="0" fillId="0" borderId="13" xfId="0" applyNumberFormat="1" applyBorder="1"/>
    <xf numFmtId="43" fontId="0" fillId="0" borderId="14" xfId="1" applyFont="1" applyBorder="1"/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8" fillId="0" borderId="0" xfId="0" applyFont="1" applyAlignment="1">
      <alignment wrapText="1"/>
    </xf>
    <xf numFmtId="43" fontId="0" fillId="0" borderId="5" xfId="0" applyNumberFormat="1" applyBorder="1"/>
    <xf numFmtId="0" fontId="3" fillId="0" borderId="18" xfId="0" applyFont="1" applyBorder="1" applyAlignment="1">
      <alignment wrapText="1"/>
    </xf>
    <xf numFmtId="43" fontId="0" fillId="0" borderId="11" xfId="0" applyNumberFormat="1" applyBorder="1"/>
    <xf numFmtId="0" fontId="3" fillId="0" borderId="19" xfId="0" applyFont="1" applyBorder="1" applyAlignment="1">
      <alignment wrapText="1"/>
    </xf>
    <xf numFmtId="43" fontId="0" fillId="0" borderId="20" xfId="0" applyNumberFormat="1" applyBorder="1"/>
    <xf numFmtId="43" fontId="0" fillId="0" borderId="21" xfId="0" applyNumberFormat="1" applyBorder="1"/>
    <xf numFmtId="43" fontId="0" fillId="0" borderId="22" xfId="0" applyNumberFormat="1" applyBorder="1"/>
    <xf numFmtId="10" fontId="3" fillId="2" borderId="1" xfId="0" applyNumberFormat="1" applyFont="1" applyFill="1" applyBorder="1"/>
    <xf numFmtId="10" fontId="3" fillId="0" borderId="1" xfId="0" applyNumberFormat="1" applyFont="1" applyBorder="1"/>
    <xf numFmtId="0" fontId="8" fillId="0" borderId="0" xfId="0" applyFont="1"/>
    <xf numFmtId="0" fontId="9" fillId="0" borderId="0" xfId="0" applyFont="1"/>
    <xf numFmtId="166" fontId="0" fillId="0" borderId="1" xfId="1" applyNumberFormat="1" applyFont="1" applyBorder="1"/>
    <xf numFmtId="166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69" fontId="0" fillId="0" borderId="1" xfId="1" applyNumberFormat="1" applyFont="1" applyBorder="1"/>
    <xf numFmtId="171" fontId="0" fillId="0" borderId="1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164" fontId="0" fillId="0" borderId="8" xfId="1" applyNumberFormat="1" applyFont="1" applyBorder="1"/>
    <xf numFmtId="164" fontId="0" fillId="0" borderId="9" xfId="1" applyNumberFormat="1" applyFont="1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6" fontId="0" fillId="0" borderId="8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166" fontId="0" fillId="0" borderId="11" xfId="0" applyNumberFormat="1" applyBorder="1"/>
    <xf numFmtId="166" fontId="0" fillId="0" borderId="12" xfId="0" applyNumberFormat="1" applyBorder="1"/>
    <xf numFmtId="167" fontId="0" fillId="0" borderId="1" xfId="0" applyNumberFormat="1" applyBorder="1"/>
    <xf numFmtId="167" fontId="0" fillId="0" borderId="8" xfId="0" applyNumberFormat="1" applyBorder="1"/>
    <xf numFmtId="167" fontId="0" fillId="0" borderId="9" xfId="0" applyNumberFormat="1" applyBorder="1"/>
    <xf numFmtId="167" fontId="0" fillId="0" borderId="10" xfId="0" applyNumberFormat="1" applyBorder="1"/>
    <xf numFmtId="167" fontId="0" fillId="0" borderId="11" xfId="0" applyNumberFormat="1" applyBorder="1"/>
    <xf numFmtId="167" fontId="0" fillId="0" borderId="12" xfId="0" applyNumberFormat="1" applyBorder="1"/>
    <xf numFmtId="164" fontId="0" fillId="0" borderId="13" xfId="1" applyNumberFormat="1" applyFont="1" applyBorder="1"/>
    <xf numFmtId="164" fontId="0" fillId="0" borderId="5" xfId="1" applyNumberFormat="1" applyFont="1" applyBorder="1"/>
    <xf numFmtId="164" fontId="0" fillId="0" borderId="14" xfId="1" applyNumberFormat="1" applyFont="1" applyBorder="1"/>
    <xf numFmtId="166" fontId="0" fillId="0" borderId="13" xfId="0" applyNumberFormat="1" applyBorder="1"/>
    <xf numFmtId="166" fontId="0" fillId="0" borderId="14" xfId="0" applyNumberFormat="1" applyBorder="1"/>
    <xf numFmtId="166" fontId="3" fillId="0" borderId="15" xfId="2" applyNumberFormat="1" applyFont="1" applyBorder="1" applyAlignment="1">
      <alignment wrapText="1"/>
    </xf>
    <xf numFmtId="166" fontId="3" fillId="0" borderId="16" xfId="2" applyNumberFormat="1" applyFont="1" applyBorder="1" applyAlignment="1">
      <alignment wrapText="1"/>
    </xf>
    <xf numFmtId="166" fontId="3" fillId="0" borderId="17" xfId="2" applyNumberFormat="1" applyFont="1" applyBorder="1" applyAlignment="1">
      <alignment wrapText="1"/>
    </xf>
    <xf numFmtId="167" fontId="0" fillId="0" borderId="13" xfId="0" applyNumberFormat="1" applyBorder="1"/>
    <xf numFmtId="167" fontId="0" fillId="0" borderId="5" xfId="0" applyNumberFormat="1" applyBorder="1"/>
    <xf numFmtId="167" fontId="0" fillId="0" borderId="14" xfId="0" applyNumberFormat="1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/>
    <xf numFmtId="0" fontId="3" fillId="0" borderId="17" xfId="0" applyFont="1" applyBorder="1"/>
    <xf numFmtId="0" fontId="3" fillId="2" borderId="15" xfId="0" applyFont="1" applyFill="1" applyBorder="1"/>
    <xf numFmtId="0" fontId="0" fillId="0" borderId="2" xfId="0" applyBorder="1"/>
    <xf numFmtId="10" fontId="0" fillId="0" borderId="4" xfId="0" applyNumberFormat="1" applyBorder="1"/>
    <xf numFmtId="0" fontId="0" fillId="0" borderId="4" xfId="0" applyBorder="1"/>
    <xf numFmtId="10" fontId="3" fillId="2" borderId="17" xfId="0" applyNumberFormat="1" applyFont="1" applyFill="1" applyBorder="1"/>
    <xf numFmtId="10" fontId="0" fillId="0" borderId="7" xfId="0" applyNumberFormat="1" applyBorder="1"/>
    <xf numFmtId="43" fontId="0" fillId="0" borderId="9" xfId="0" applyNumberFormat="1" applyBorder="1"/>
    <xf numFmtId="166" fontId="0" fillId="0" borderId="11" xfId="1" applyNumberFormat="1" applyFont="1" applyBorder="1"/>
    <xf numFmtId="43" fontId="0" fillId="0" borderId="12" xfId="0" applyNumberFormat="1" applyBorder="1"/>
    <xf numFmtId="166" fontId="0" fillId="0" borderId="5" xfId="1" applyNumberFormat="1" applyFont="1" applyBorder="1"/>
    <xf numFmtId="43" fontId="0" fillId="0" borderId="14" xfId="0" applyNumberFormat="1" applyBorder="1"/>
    <xf numFmtId="0" fontId="3" fillId="3" borderId="2" xfId="0" applyFont="1" applyFill="1" applyBorder="1"/>
    <xf numFmtId="10" fontId="3" fillId="3" borderId="4" xfId="0" applyNumberFormat="1" applyFont="1" applyFill="1" applyBorder="1"/>
    <xf numFmtId="166" fontId="1" fillId="0" borderId="4" xfId="1" applyNumberFormat="1" applyFont="1" applyBorder="1"/>
    <xf numFmtId="9" fontId="0" fillId="0" borderId="9" xfId="0" applyNumberFormat="1" applyBorder="1"/>
    <xf numFmtId="43" fontId="3" fillId="2" borderId="17" xfId="0" applyNumberFormat="1" applyFont="1" applyFill="1" applyBorder="1"/>
    <xf numFmtId="170" fontId="0" fillId="0" borderId="9" xfId="1" applyNumberFormat="1" applyFont="1" applyBorder="1"/>
    <xf numFmtId="171" fontId="0" fillId="0" borderId="11" xfId="0" applyNumberFormat="1" applyBorder="1"/>
    <xf numFmtId="164" fontId="0" fillId="0" borderId="11" xfId="0" applyNumberFormat="1" applyBorder="1"/>
    <xf numFmtId="169" fontId="0" fillId="0" borderId="11" xfId="1" applyNumberFormat="1" applyFont="1" applyBorder="1"/>
    <xf numFmtId="170" fontId="0" fillId="0" borderId="12" xfId="1" applyNumberFormat="1" applyFont="1" applyBorder="1"/>
    <xf numFmtId="171" fontId="0" fillId="0" borderId="5" xfId="0" applyNumberFormat="1" applyBorder="1"/>
    <xf numFmtId="164" fontId="0" fillId="0" borderId="5" xfId="0" applyNumberFormat="1" applyBorder="1"/>
    <xf numFmtId="169" fontId="0" fillId="0" borderId="5" xfId="1" applyNumberFormat="1" applyFont="1" applyBorder="1"/>
    <xf numFmtId="170" fontId="0" fillId="0" borderId="14" xfId="1" applyNumberFormat="1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0" borderId="3" xfId="0" applyFont="1" applyBorder="1"/>
    <xf numFmtId="0" fontId="3" fillId="0" borderId="16" xfId="0" applyFont="1" applyBorder="1"/>
    <xf numFmtId="166" fontId="0" fillId="0" borderId="9" xfId="1" applyNumberFormat="1" applyFont="1" applyBorder="1"/>
    <xf numFmtId="166" fontId="0" fillId="0" borderId="12" xfId="1" applyNumberFormat="1" applyFont="1" applyBorder="1"/>
    <xf numFmtId="0" fontId="3" fillId="0" borderId="23" xfId="0" applyFont="1" applyBorder="1"/>
    <xf numFmtId="9" fontId="0" fillId="0" borderId="0" xfId="0" applyNumberFormat="1"/>
    <xf numFmtId="0" fontId="3" fillId="2" borderId="24" xfId="0" applyFont="1" applyFill="1" applyBorder="1"/>
    <xf numFmtId="168" fontId="3" fillId="2" borderId="25" xfId="0" applyNumberFormat="1" applyFont="1" applyFill="1" applyBorder="1"/>
    <xf numFmtId="166" fontId="3" fillId="0" borderId="4" xfId="0" applyNumberFormat="1" applyFont="1" applyBorder="1"/>
    <xf numFmtId="0" fontId="3" fillId="0" borderId="10" xfId="0" applyFont="1" applyBorder="1"/>
    <xf numFmtId="166" fontId="3" fillId="0" borderId="12" xfId="0" applyNumberFormat="1" applyFont="1" applyBorder="1"/>
    <xf numFmtId="166" fontId="0" fillId="0" borderId="20" xfId="1" applyNumberFormat="1" applyFont="1" applyBorder="1"/>
    <xf numFmtId="166" fontId="0" fillId="0" borderId="21" xfId="1" applyNumberFormat="1" applyFont="1" applyBorder="1"/>
    <xf numFmtId="166" fontId="0" fillId="0" borderId="22" xfId="1" applyNumberFormat="1" applyFont="1" applyBorder="1"/>
  </cellXfs>
  <cellStyles count="3">
    <cellStyle name="Comma" xfId="1" builtinId="3"/>
    <cellStyle name="Comma 2" xfId="2" xr:uid="{3304B790-3F33-4605-AB0F-3A06564CE04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BF1B-3EEA-472F-82C1-B3820EAC72A4}">
  <dimension ref="B2:J47"/>
  <sheetViews>
    <sheetView showGridLines="0" tabSelected="1" workbookViewId="0"/>
  </sheetViews>
  <sheetFormatPr defaultRowHeight="14.5" x14ac:dyDescent="0.35"/>
  <cols>
    <col min="7" max="7" width="20.453125" bestFit="1" customWidth="1"/>
  </cols>
  <sheetData>
    <row r="2" spans="2:10" x14ac:dyDescent="0.35">
      <c r="G2" s="1" t="s">
        <v>3</v>
      </c>
      <c r="J2" s="1"/>
    </row>
    <row r="3" spans="2:10" x14ac:dyDescent="0.35">
      <c r="B3" s="1" t="s">
        <v>0</v>
      </c>
    </row>
    <row r="4" spans="2:10" x14ac:dyDescent="0.35">
      <c r="G4" s="26" t="s">
        <v>4</v>
      </c>
      <c r="H4" s="43">
        <v>0.5</v>
      </c>
    </row>
    <row r="5" spans="2:10" x14ac:dyDescent="0.35">
      <c r="B5" s="2" t="s">
        <v>1</v>
      </c>
      <c r="C5" s="2" t="s">
        <v>2</v>
      </c>
      <c r="G5" s="26" t="s">
        <v>5</v>
      </c>
      <c r="H5" s="26">
        <v>1000</v>
      </c>
    </row>
    <row r="6" spans="2:10" x14ac:dyDescent="0.35">
      <c r="B6" s="3">
        <v>18</v>
      </c>
      <c r="C6" s="3">
        <v>6.5900000000000008E-4</v>
      </c>
      <c r="G6" s="26" t="s">
        <v>6</v>
      </c>
      <c r="H6" s="43">
        <v>0.05</v>
      </c>
    </row>
    <row r="7" spans="2:10" x14ac:dyDescent="0.35">
      <c r="B7" s="3">
        <v>19</v>
      </c>
      <c r="C7" s="3">
        <v>6.9420000000000007E-4</v>
      </c>
    </row>
    <row r="8" spans="2:10" x14ac:dyDescent="0.35">
      <c r="B8" s="3">
        <v>20</v>
      </c>
      <c r="C8" s="3">
        <v>7.224000000000001E-4</v>
      </c>
      <c r="G8" s="26" t="s">
        <v>7</v>
      </c>
      <c r="H8" s="43">
        <v>7.0000000000000007E-2</v>
      </c>
    </row>
    <row r="9" spans="2:10" x14ac:dyDescent="0.35">
      <c r="B9" s="3">
        <v>21</v>
      </c>
      <c r="C9" s="3">
        <v>7.444000000000001E-4</v>
      </c>
      <c r="G9" s="26" t="s">
        <v>8</v>
      </c>
      <c r="H9" s="43">
        <v>0.13</v>
      </c>
    </row>
    <row r="10" spans="2:10" x14ac:dyDescent="0.35">
      <c r="B10" s="3">
        <v>22</v>
      </c>
      <c r="C10" s="3">
        <v>7.6120000000000007E-4</v>
      </c>
    </row>
    <row r="11" spans="2:10" x14ac:dyDescent="0.35">
      <c r="B11" s="3">
        <v>23</v>
      </c>
      <c r="C11" s="3">
        <v>7.7360000000000005E-4</v>
      </c>
    </row>
    <row r="12" spans="2:10" x14ac:dyDescent="0.35">
      <c r="B12" s="3">
        <v>24</v>
      </c>
      <c r="C12" s="3">
        <v>7.8300000000000006E-4</v>
      </c>
    </row>
    <row r="13" spans="2:10" x14ac:dyDescent="0.35">
      <c r="B13" s="3">
        <v>25</v>
      </c>
      <c r="C13" s="3">
        <v>7.9100000000000004E-4</v>
      </c>
    </row>
    <row r="14" spans="2:10" x14ac:dyDescent="0.35">
      <c r="B14" s="3">
        <v>26</v>
      </c>
      <c r="C14" s="3">
        <v>7.9880000000000012E-4</v>
      </c>
    </row>
    <row r="15" spans="2:10" x14ac:dyDescent="0.35">
      <c r="B15" s="3">
        <v>27</v>
      </c>
      <c r="C15" s="3">
        <v>8.0800000000000012E-4</v>
      </c>
    </row>
    <row r="16" spans="2:10" x14ac:dyDescent="0.35">
      <c r="B16" s="3">
        <v>28</v>
      </c>
      <c r="C16" s="3">
        <v>8.2000000000000009E-4</v>
      </c>
    </row>
    <row r="17" spans="2:3" x14ac:dyDescent="0.35">
      <c r="B17" s="3">
        <v>29</v>
      </c>
      <c r="C17" s="3">
        <v>8.3560000000000014E-4</v>
      </c>
    </row>
    <row r="18" spans="2:3" x14ac:dyDescent="0.35">
      <c r="B18" s="3">
        <v>30</v>
      </c>
      <c r="C18" s="3">
        <v>8.5559999999999998E-4</v>
      </c>
    </row>
    <row r="19" spans="2:3" x14ac:dyDescent="0.35">
      <c r="B19" s="3">
        <v>31</v>
      </c>
      <c r="C19" s="3">
        <v>8.8100000000000006E-4</v>
      </c>
    </row>
    <row r="20" spans="2:3" x14ac:dyDescent="0.35">
      <c r="B20" s="3">
        <v>32</v>
      </c>
      <c r="C20" s="3">
        <v>9.1299999999999997E-4</v>
      </c>
    </row>
    <row r="21" spans="2:3" x14ac:dyDescent="0.35">
      <c r="B21" s="3">
        <v>33</v>
      </c>
      <c r="C21" s="3">
        <v>9.5239999999999995E-4</v>
      </c>
    </row>
    <row r="22" spans="2:3" x14ac:dyDescent="0.35">
      <c r="B22" s="3">
        <v>34</v>
      </c>
      <c r="C22" s="3">
        <v>9.9980000000000012E-4</v>
      </c>
    </row>
    <row r="23" spans="2:3" x14ac:dyDescent="0.35">
      <c r="B23" s="3">
        <v>35</v>
      </c>
      <c r="C23" s="3">
        <v>1.0560000000000001E-3</v>
      </c>
    </row>
    <row r="24" spans="2:3" x14ac:dyDescent="0.35">
      <c r="B24" s="3">
        <v>36</v>
      </c>
      <c r="C24" s="3">
        <v>1.1218000000000001E-3</v>
      </c>
    </row>
    <row r="25" spans="2:3" x14ac:dyDescent="0.35">
      <c r="B25" s="3">
        <v>37</v>
      </c>
      <c r="C25" s="3">
        <v>1.1982E-3</v>
      </c>
    </row>
    <row r="26" spans="2:3" x14ac:dyDescent="0.35">
      <c r="B26" s="3">
        <v>38</v>
      </c>
      <c r="C26" s="3">
        <v>1.2864E-3</v>
      </c>
    </row>
    <row r="27" spans="2:3" x14ac:dyDescent="0.35">
      <c r="B27" s="3">
        <v>39</v>
      </c>
      <c r="C27" s="3">
        <v>1.3878E-3</v>
      </c>
    </row>
    <row r="28" spans="2:3" x14ac:dyDescent="0.35">
      <c r="B28" s="3">
        <v>40</v>
      </c>
      <c r="C28" s="3">
        <v>1.5046E-3</v>
      </c>
    </row>
    <row r="29" spans="2:3" x14ac:dyDescent="0.35">
      <c r="B29" s="3">
        <v>41</v>
      </c>
      <c r="C29" s="3">
        <v>1.6396000000000002E-3</v>
      </c>
    </row>
    <row r="30" spans="2:3" x14ac:dyDescent="0.35">
      <c r="B30" s="3">
        <v>42</v>
      </c>
      <c r="C30" s="3">
        <v>1.7958E-3</v>
      </c>
    </row>
    <row r="31" spans="2:3" x14ac:dyDescent="0.35">
      <c r="B31" s="3">
        <v>43</v>
      </c>
      <c r="C31" s="3">
        <v>1.9768000000000003E-3</v>
      </c>
    </row>
    <row r="32" spans="2:3" x14ac:dyDescent="0.35">
      <c r="B32" s="3">
        <v>44</v>
      </c>
      <c r="C32" s="3">
        <v>2.1864000000000002E-3</v>
      </c>
    </row>
    <row r="33" spans="2:3" x14ac:dyDescent="0.35">
      <c r="B33" s="3">
        <v>45</v>
      </c>
      <c r="C33" s="3">
        <v>2.4282000000000001E-3</v>
      </c>
    </row>
    <row r="34" spans="2:3" x14ac:dyDescent="0.35">
      <c r="B34" s="3">
        <v>46</v>
      </c>
      <c r="C34" s="3">
        <v>2.7054000000000002E-3</v>
      </c>
    </row>
    <row r="35" spans="2:3" x14ac:dyDescent="0.35">
      <c r="B35" s="3">
        <v>47</v>
      </c>
      <c r="C35" s="3">
        <v>3.0196000000000003E-3</v>
      </c>
    </row>
    <row r="36" spans="2:3" x14ac:dyDescent="0.35">
      <c r="B36" s="3">
        <v>48</v>
      </c>
      <c r="C36" s="3">
        <v>3.3704E-3</v>
      </c>
    </row>
    <row r="37" spans="2:3" x14ac:dyDescent="0.35">
      <c r="B37" s="3">
        <v>49</v>
      </c>
      <c r="C37" s="3">
        <v>3.7556E-3</v>
      </c>
    </row>
    <row r="38" spans="2:3" x14ac:dyDescent="0.35">
      <c r="B38" s="3">
        <v>50</v>
      </c>
      <c r="C38" s="3">
        <v>4.1714000000000005E-3</v>
      </c>
    </row>
    <row r="39" spans="2:3" x14ac:dyDescent="0.35">
      <c r="B39" s="3">
        <v>51</v>
      </c>
      <c r="C39" s="3">
        <v>4.6134000000000001E-3</v>
      </c>
    </row>
    <row r="40" spans="2:3" x14ac:dyDescent="0.35">
      <c r="B40" s="3">
        <v>52</v>
      </c>
      <c r="C40" s="3">
        <v>5.0772000000000005E-3</v>
      </c>
    </row>
    <row r="41" spans="2:3" x14ac:dyDescent="0.35">
      <c r="B41" s="3">
        <v>53</v>
      </c>
      <c r="C41" s="3">
        <v>5.5592000000000003E-3</v>
      </c>
    </row>
    <row r="42" spans="2:3" x14ac:dyDescent="0.35">
      <c r="B42" s="3">
        <v>54</v>
      </c>
      <c r="C42" s="3">
        <v>6.057400000000001E-3</v>
      </c>
    </row>
    <row r="43" spans="2:3" x14ac:dyDescent="0.35">
      <c r="B43" s="3">
        <v>55</v>
      </c>
      <c r="C43" s="3">
        <v>6.5722000000000003E-3</v>
      </c>
    </row>
    <row r="44" spans="2:3" x14ac:dyDescent="0.35">
      <c r="B44" s="3">
        <v>56</v>
      </c>
      <c r="C44" s="3">
        <v>7.1069999999999996E-3</v>
      </c>
    </row>
    <row r="45" spans="2:3" x14ac:dyDescent="0.35">
      <c r="B45" s="3">
        <v>57</v>
      </c>
      <c r="C45" s="3">
        <v>7.6674000000000013E-3</v>
      </c>
    </row>
    <row r="46" spans="2:3" x14ac:dyDescent="0.35">
      <c r="B46" s="3">
        <v>58</v>
      </c>
      <c r="C46" s="3">
        <v>8.261000000000001E-3</v>
      </c>
    </row>
    <row r="47" spans="2:3" x14ac:dyDescent="0.35">
      <c r="B47" s="3">
        <v>59</v>
      </c>
      <c r="C47" s="3">
        <v>8.8970000000000004E-3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387C7-12AB-46EE-9875-5DD3DE948057}">
  <dimension ref="A1:J24"/>
  <sheetViews>
    <sheetView showGridLines="0" zoomScale="85" zoomScaleNormal="85" workbookViewId="0">
      <selection activeCell="J3" sqref="J3"/>
    </sheetView>
  </sheetViews>
  <sheetFormatPr defaultRowHeight="14.5" x14ac:dyDescent="0.35"/>
  <cols>
    <col min="1" max="1" width="15.08984375" bestFit="1" customWidth="1"/>
    <col min="4" max="4" width="17" bestFit="1" customWidth="1"/>
    <col min="5" max="5" width="13.81640625" bestFit="1" customWidth="1"/>
    <col min="6" max="6" width="13.1796875" bestFit="1" customWidth="1"/>
    <col min="7" max="7" width="13.90625" bestFit="1" customWidth="1"/>
    <col min="8" max="8" width="11.1796875" bestFit="1" customWidth="1"/>
  </cols>
  <sheetData>
    <row r="1" spans="1:10" x14ac:dyDescent="0.35">
      <c r="A1" t="s">
        <v>94</v>
      </c>
      <c r="B1" s="135">
        <v>7.0000000000000007E-2</v>
      </c>
    </row>
    <row r="2" spans="1:10" x14ac:dyDescent="0.35">
      <c r="A2" t="s">
        <v>128</v>
      </c>
      <c r="B2">
        <v>20</v>
      </c>
    </row>
    <row r="3" spans="1:10" ht="15" thickBot="1" x14ac:dyDescent="0.4">
      <c r="D3" s="23"/>
      <c r="E3" s="23"/>
      <c r="F3" s="23"/>
      <c r="G3" s="23"/>
      <c r="H3" s="23"/>
      <c r="J3" s="60"/>
    </row>
    <row r="4" spans="1:10" ht="29" x14ac:dyDescent="0.35">
      <c r="C4" s="4" t="s">
        <v>66</v>
      </c>
      <c r="D4" s="7" t="s">
        <v>123</v>
      </c>
      <c r="E4" s="7" t="s">
        <v>124</v>
      </c>
      <c r="F4" s="7" t="s">
        <v>125</v>
      </c>
      <c r="G4" s="7" t="s">
        <v>126</v>
      </c>
      <c r="H4" s="8" t="s">
        <v>127</v>
      </c>
    </row>
    <row r="5" spans="1:10" x14ac:dyDescent="0.35">
      <c r="C5" s="67">
        <v>1</v>
      </c>
      <c r="D5" s="61">
        <f>10000000</f>
        <v>10000000</v>
      </c>
      <c r="E5" s="36">
        <f t="shared" ref="E5:E24" si="0">-PMT($B$1,$B$2,$D$5)</f>
        <v>943929.25743255694</v>
      </c>
      <c r="F5" s="62">
        <f>D5*$B$1</f>
        <v>700000.00000000012</v>
      </c>
      <c r="G5" s="62">
        <f>E5-F5</f>
        <v>243929.25743255683</v>
      </c>
      <c r="H5" s="77">
        <f>D5-G5</f>
        <v>9756070.7425674424</v>
      </c>
    </row>
    <row r="6" spans="1:10" x14ac:dyDescent="0.35">
      <c r="C6" s="67">
        <f>C5+1</f>
        <v>2</v>
      </c>
      <c r="D6" s="62">
        <f>H5</f>
        <v>9756070.7425674424</v>
      </c>
      <c r="E6" s="36">
        <f t="shared" si="0"/>
        <v>943929.25743255694</v>
      </c>
      <c r="F6" s="62">
        <f>D6*$B$1</f>
        <v>682924.95197972108</v>
      </c>
      <c r="G6" s="62">
        <f>E6-F6</f>
        <v>261004.30545283586</v>
      </c>
      <c r="H6" s="77">
        <f t="shared" ref="H6:H24" si="1">D6-G6</f>
        <v>9495066.4371146057</v>
      </c>
    </row>
    <row r="7" spans="1:10" x14ac:dyDescent="0.35">
      <c r="C7" s="67">
        <f t="shared" ref="C7:C24" si="2">C6+1</f>
        <v>3</v>
      </c>
      <c r="D7" s="62">
        <f t="shared" ref="D7:D24" si="3">H6</f>
        <v>9495066.4371146057</v>
      </c>
      <c r="E7" s="36">
        <f t="shared" si="0"/>
        <v>943929.25743255694</v>
      </c>
      <c r="F7" s="62">
        <f t="shared" ref="F7:F24" si="4">D7*$B$1</f>
        <v>664654.6505980225</v>
      </c>
      <c r="G7" s="62">
        <f t="shared" ref="G7:G24" si="5">E7-F7</f>
        <v>279274.60683453444</v>
      </c>
      <c r="H7" s="77">
        <f t="shared" si="1"/>
        <v>9215791.8302800711</v>
      </c>
    </row>
    <row r="8" spans="1:10" x14ac:dyDescent="0.35">
      <c r="C8" s="67">
        <f t="shared" si="2"/>
        <v>4</v>
      </c>
      <c r="D8" s="62">
        <f t="shared" si="3"/>
        <v>9215791.8302800711</v>
      </c>
      <c r="E8" s="36">
        <f t="shared" si="0"/>
        <v>943929.25743255694</v>
      </c>
      <c r="F8" s="62">
        <f t="shared" si="4"/>
        <v>645105.42811960506</v>
      </c>
      <c r="G8" s="62">
        <f t="shared" si="5"/>
        <v>298823.82931295189</v>
      </c>
      <c r="H8" s="77">
        <f t="shared" si="1"/>
        <v>8916968.0009671189</v>
      </c>
    </row>
    <row r="9" spans="1:10" x14ac:dyDescent="0.35">
      <c r="C9" s="67">
        <f t="shared" si="2"/>
        <v>5</v>
      </c>
      <c r="D9" s="62">
        <f t="shared" si="3"/>
        <v>8916968.0009671189</v>
      </c>
      <c r="E9" s="36">
        <f t="shared" si="0"/>
        <v>943929.25743255694</v>
      </c>
      <c r="F9" s="62">
        <f t="shared" si="4"/>
        <v>624187.76006769843</v>
      </c>
      <c r="G9" s="62">
        <f t="shared" si="5"/>
        <v>319741.49736485851</v>
      </c>
      <c r="H9" s="77">
        <f t="shared" si="1"/>
        <v>8597226.5036022607</v>
      </c>
    </row>
    <row r="10" spans="1:10" x14ac:dyDescent="0.35">
      <c r="C10" s="67">
        <f t="shared" si="2"/>
        <v>6</v>
      </c>
      <c r="D10" s="62">
        <f t="shared" si="3"/>
        <v>8597226.5036022607</v>
      </c>
      <c r="E10" s="36">
        <f t="shared" si="0"/>
        <v>943929.25743255694</v>
      </c>
      <c r="F10" s="62">
        <f t="shared" si="4"/>
        <v>601805.85525215836</v>
      </c>
      <c r="G10" s="62">
        <f t="shared" si="5"/>
        <v>342123.40218039858</v>
      </c>
      <c r="H10" s="77">
        <f t="shared" si="1"/>
        <v>8255103.1014218619</v>
      </c>
    </row>
    <row r="11" spans="1:10" x14ac:dyDescent="0.35">
      <c r="C11" s="67">
        <f t="shared" si="2"/>
        <v>7</v>
      </c>
      <c r="D11" s="62">
        <f t="shared" si="3"/>
        <v>8255103.1014218619</v>
      </c>
      <c r="E11" s="36">
        <f t="shared" si="0"/>
        <v>943929.25743255694</v>
      </c>
      <c r="F11" s="62">
        <f t="shared" si="4"/>
        <v>577857.21709953039</v>
      </c>
      <c r="G11" s="62">
        <f t="shared" si="5"/>
        <v>366072.04033302655</v>
      </c>
      <c r="H11" s="77">
        <f t="shared" si="1"/>
        <v>7889031.0610888358</v>
      </c>
    </row>
    <row r="12" spans="1:10" x14ac:dyDescent="0.35">
      <c r="C12" s="67">
        <f t="shared" si="2"/>
        <v>8</v>
      </c>
      <c r="D12" s="62">
        <f t="shared" si="3"/>
        <v>7889031.0610888358</v>
      </c>
      <c r="E12" s="36">
        <f t="shared" si="0"/>
        <v>943929.25743255694</v>
      </c>
      <c r="F12" s="62">
        <f t="shared" si="4"/>
        <v>552232.17427621852</v>
      </c>
      <c r="G12" s="62">
        <f t="shared" si="5"/>
        <v>391697.08315633843</v>
      </c>
      <c r="H12" s="77">
        <f t="shared" si="1"/>
        <v>7497333.9779324979</v>
      </c>
    </row>
    <row r="13" spans="1:10" x14ac:dyDescent="0.35">
      <c r="C13" s="67">
        <f t="shared" si="2"/>
        <v>9</v>
      </c>
      <c r="D13" s="62">
        <f t="shared" si="3"/>
        <v>7497333.9779324979</v>
      </c>
      <c r="E13" s="36">
        <f t="shared" si="0"/>
        <v>943929.25743255694</v>
      </c>
      <c r="F13" s="62">
        <f t="shared" si="4"/>
        <v>524813.37845527485</v>
      </c>
      <c r="G13" s="62">
        <f t="shared" si="5"/>
        <v>419115.87897728209</v>
      </c>
      <c r="H13" s="77">
        <f t="shared" si="1"/>
        <v>7078218.0989552159</v>
      </c>
    </row>
    <row r="14" spans="1:10" x14ac:dyDescent="0.35">
      <c r="C14" s="67">
        <f t="shared" si="2"/>
        <v>10</v>
      </c>
      <c r="D14" s="62">
        <f t="shared" si="3"/>
        <v>7078218.0989552159</v>
      </c>
      <c r="E14" s="36">
        <f t="shared" si="0"/>
        <v>943929.25743255694</v>
      </c>
      <c r="F14" s="62">
        <f t="shared" si="4"/>
        <v>495475.26692686515</v>
      </c>
      <c r="G14" s="62">
        <f t="shared" si="5"/>
        <v>448453.99050569179</v>
      </c>
      <c r="H14" s="77">
        <f t="shared" si="1"/>
        <v>6629764.1084495243</v>
      </c>
    </row>
    <row r="15" spans="1:10" x14ac:dyDescent="0.35">
      <c r="C15" s="67">
        <f t="shared" si="2"/>
        <v>11</v>
      </c>
      <c r="D15" s="62">
        <f t="shared" si="3"/>
        <v>6629764.1084495243</v>
      </c>
      <c r="E15" s="36">
        <f t="shared" si="0"/>
        <v>943929.25743255694</v>
      </c>
      <c r="F15" s="62">
        <f t="shared" si="4"/>
        <v>464083.48759146675</v>
      </c>
      <c r="G15" s="62">
        <f t="shared" si="5"/>
        <v>479845.76984109019</v>
      </c>
      <c r="H15" s="77">
        <f t="shared" si="1"/>
        <v>6149918.3386084344</v>
      </c>
    </row>
    <row r="16" spans="1:10" x14ac:dyDescent="0.35">
      <c r="C16" s="67">
        <f t="shared" si="2"/>
        <v>12</v>
      </c>
      <c r="D16" s="62">
        <f t="shared" si="3"/>
        <v>6149918.3386084344</v>
      </c>
      <c r="E16" s="36">
        <f t="shared" si="0"/>
        <v>943929.25743255694</v>
      </c>
      <c r="F16" s="62">
        <f t="shared" si="4"/>
        <v>430494.28370259044</v>
      </c>
      <c r="G16" s="62">
        <f t="shared" si="5"/>
        <v>513434.9737299665</v>
      </c>
      <c r="H16" s="77">
        <f t="shared" si="1"/>
        <v>5636483.3648784682</v>
      </c>
    </row>
    <row r="17" spans="3:8" x14ac:dyDescent="0.35">
      <c r="C17" s="67">
        <f t="shared" si="2"/>
        <v>13</v>
      </c>
      <c r="D17" s="62">
        <f t="shared" si="3"/>
        <v>5636483.3648784682</v>
      </c>
      <c r="E17" s="36">
        <f t="shared" si="0"/>
        <v>943929.25743255694</v>
      </c>
      <c r="F17" s="62">
        <f t="shared" si="4"/>
        <v>394553.83554149279</v>
      </c>
      <c r="G17" s="62">
        <f t="shared" si="5"/>
        <v>549375.42189106415</v>
      </c>
      <c r="H17" s="77">
        <f t="shared" si="1"/>
        <v>5087107.9429874038</v>
      </c>
    </row>
    <row r="18" spans="3:8" x14ac:dyDescent="0.35">
      <c r="C18" s="67">
        <f t="shared" si="2"/>
        <v>14</v>
      </c>
      <c r="D18" s="62">
        <f t="shared" si="3"/>
        <v>5087107.9429874038</v>
      </c>
      <c r="E18" s="36">
        <f t="shared" si="0"/>
        <v>943929.25743255694</v>
      </c>
      <c r="F18" s="62">
        <f t="shared" si="4"/>
        <v>356097.55600911833</v>
      </c>
      <c r="G18" s="62">
        <f t="shared" si="5"/>
        <v>587831.70142343862</v>
      </c>
      <c r="H18" s="77">
        <f t="shared" si="1"/>
        <v>4499276.2415639656</v>
      </c>
    </row>
    <row r="19" spans="3:8" x14ac:dyDescent="0.35">
      <c r="C19" s="67">
        <f t="shared" si="2"/>
        <v>15</v>
      </c>
      <c r="D19" s="62">
        <f t="shared" si="3"/>
        <v>4499276.2415639656</v>
      </c>
      <c r="E19" s="36">
        <f t="shared" si="0"/>
        <v>943929.25743255694</v>
      </c>
      <c r="F19" s="62">
        <f t="shared" si="4"/>
        <v>314949.3369094776</v>
      </c>
      <c r="G19" s="62">
        <f t="shared" si="5"/>
        <v>628979.92052307935</v>
      </c>
      <c r="H19" s="77">
        <f t="shared" si="1"/>
        <v>3870296.3210408865</v>
      </c>
    </row>
    <row r="20" spans="3:8" x14ac:dyDescent="0.35">
      <c r="C20" s="67">
        <f t="shared" si="2"/>
        <v>16</v>
      </c>
      <c r="D20" s="62">
        <f t="shared" si="3"/>
        <v>3870296.3210408865</v>
      </c>
      <c r="E20" s="36">
        <f t="shared" si="0"/>
        <v>943929.25743255694</v>
      </c>
      <c r="F20" s="62">
        <f t="shared" si="4"/>
        <v>270920.74247286207</v>
      </c>
      <c r="G20" s="62">
        <f t="shared" si="5"/>
        <v>673008.51495969482</v>
      </c>
      <c r="H20" s="77">
        <f t="shared" si="1"/>
        <v>3197287.8060811916</v>
      </c>
    </row>
    <row r="21" spans="3:8" x14ac:dyDescent="0.35">
      <c r="C21" s="67">
        <f t="shared" si="2"/>
        <v>17</v>
      </c>
      <c r="D21" s="62">
        <f t="shared" si="3"/>
        <v>3197287.8060811916</v>
      </c>
      <c r="E21" s="36">
        <f t="shared" si="0"/>
        <v>943929.25743255694</v>
      </c>
      <c r="F21" s="62">
        <f t="shared" si="4"/>
        <v>223810.14642568343</v>
      </c>
      <c r="G21" s="62">
        <f t="shared" si="5"/>
        <v>720119.11100687354</v>
      </c>
      <c r="H21" s="77">
        <f t="shared" si="1"/>
        <v>2477168.695074318</v>
      </c>
    </row>
    <row r="22" spans="3:8" x14ac:dyDescent="0.35">
      <c r="C22" s="67">
        <f t="shared" si="2"/>
        <v>18</v>
      </c>
      <c r="D22" s="62">
        <f t="shared" si="3"/>
        <v>2477168.695074318</v>
      </c>
      <c r="E22" s="36">
        <f t="shared" si="0"/>
        <v>943929.25743255694</v>
      </c>
      <c r="F22" s="62">
        <f t="shared" si="4"/>
        <v>173401.80865520227</v>
      </c>
      <c r="G22" s="62">
        <f t="shared" si="5"/>
        <v>770527.44877735467</v>
      </c>
      <c r="H22" s="77">
        <f t="shared" si="1"/>
        <v>1706641.2462969632</v>
      </c>
    </row>
    <row r="23" spans="3:8" x14ac:dyDescent="0.35">
      <c r="C23" s="67">
        <f t="shared" si="2"/>
        <v>19</v>
      </c>
      <c r="D23" s="62">
        <f t="shared" si="3"/>
        <v>1706641.2462969632</v>
      </c>
      <c r="E23" s="36">
        <f t="shared" si="0"/>
        <v>943929.25743255694</v>
      </c>
      <c r="F23" s="62">
        <f t="shared" si="4"/>
        <v>119464.88724078743</v>
      </c>
      <c r="G23" s="62">
        <f t="shared" si="5"/>
        <v>824464.37019176956</v>
      </c>
      <c r="H23" s="77">
        <f t="shared" si="1"/>
        <v>882176.87610519363</v>
      </c>
    </row>
    <row r="24" spans="3:8" ht="15" thickBot="1" x14ac:dyDescent="0.4">
      <c r="C24" s="69">
        <f t="shared" si="2"/>
        <v>20</v>
      </c>
      <c r="D24" s="79">
        <f t="shared" si="3"/>
        <v>882176.87610519363</v>
      </c>
      <c r="E24" s="41">
        <f t="shared" si="0"/>
        <v>943929.25743255694</v>
      </c>
      <c r="F24" s="79">
        <f t="shared" si="4"/>
        <v>61752.381327363561</v>
      </c>
      <c r="G24" s="79">
        <f t="shared" si="5"/>
        <v>882176.8761051934</v>
      </c>
      <c r="H24" s="80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1795-18CE-498A-A577-BE04A7047173}">
  <dimension ref="B2:AB24"/>
  <sheetViews>
    <sheetView showGridLines="0" zoomScaleNormal="100" workbookViewId="0"/>
  </sheetViews>
  <sheetFormatPr defaultRowHeight="14.5" x14ac:dyDescent="0.35"/>
  <cols>
    <col min="2" max="2" width="10" bestFit="1" customWidth="1"/>
    <col min="5" max="5" width="19.08984375" customWidth="1"/>
    <col min="6" max="6" width="14.90625" customWidth="1"/>
    <col min="7" max="7" width="12.6328125" customWidth="1"/>
    <col min="8" max="8" width="13.08984375" customWidth="1"/>
    <col min="13" max="13" width="13.81640625" bestFit="1" customWidth="1"/>
    <col min="15" max="15" width="13.81640625" bestFit="1" customWidth="1"/>
    <col min="19" max="20" width="9.1796875" bestFit="1" customWidth="1"/>
    <col min="23" max="23" width="25.1796875" bestFit="1" customWidth="1"/>
    <col min="24" max="24" width="9.6328125" bestFit="1" customWidth="1"/>
  </cols>
  <sheetData>
    <row r="2" spans="2:28" s="23" customFormat="1" x14ac:dyDescent="0.35"/>
    <row r="3" spans="2:28" ht="15" thickBot="1" x14ac:dyDescent="0.4">
      <c r="J3" s="1" t="s">
        <v>16</v>
      </c>
      <c r="O3" s="1" t="s">
        <v>19</v>
      </c>
    </row>
    <row r="4" spans="2:28" ht="37" customHeight="1" thickBot="1" x14ac:dyDescent="0.4">
      <c r="B4" s="4" t="s">
        <v>9</v>
      </c>
      <c r="C4" s="5" t="s">
        <v>1</v>
      </c>
      <c r="E4" s="46" t="s">
        <v>10</v>
      </c>
      <c r="F4" s="47" t="s">
        <v>11</v>
      </c>
      <c r="G4" s="47" t="s">
        <v>12</v>
      </c>
      <c r="H4" s="48" t="s">
        <v>13</v>
      </c>
      <c r="J4" s="92" t="s">
        <v>14</v>
      </c>
      <c r="K4" s="93" t="s">
        <v>18</v>
      </c>
      <c r="L4" s="93" t="s">
        <v>15</v>
      </c>
      <c r="M4" s="94" t="s">
        <v>17</v>
      </c>
      <c r="O4" s="92" t="s">
        <v>14</v>
      </c>
      <c r="P4" s="93" t="s">
        <v>15</v>
      </c>
      <c r="Q4" s="93" t="s">
        <v>20</v>
      </c>
      <c r="R4" s="93" t="s">
        <v>21</v>
      </c>
      <c r="S4" s="93" t="s">
        <v>22</v>
      </c>
      <c r="T4" s="93" t="s">
        <v>23</v>
      </c>
      <c r="U4" s="94" t="s">
        <v>36</v>
      </c>
      <c r="W4" s="15" t="s">
        <v>24</v>
      </c>
      <c r="X4" s="16">
        <f>SUM(T5:T24)</f>
        <v>3848.0668566166596</v>
      </c>
      <c r="AB4" s="23"/>
    </row>
    <row r="5" spans="2:28" x14ac:dyDescent="0.35">
      <c r="B5" s="67">
        <v>1</v>
      </c>
      <c r="C5" s="68">
        <v>35</v>
      </c>
      <c r="E5" s="87">
        <f>VLOOKUP(C5,'Q.1.Input'!$B$5:$C$47,2,FALSE)*'Q.1.Input'!$H$4</f>
        <v>5.2800000000000004E-4</v>
      </c>
      <c r="F5" s="88">
        <v>1</v>
      </c>
      <c r="G5" s="88">
        <f>F5*E5</f>
        <v>5.2800000000000004E-4</v>
      </c>
      <c r="H5" s="89">
        <f>F5-G5</f>
        <v>0.99947200000000003</v>
      </c>
      <c r="J5" s="90">
        <v>7500</v>
      </c>
      <c r="K5" s="20">
        <v>1</v>
      </c>
      <c r="L5" s="20">
        <f>'Q.1.Input'!$H$5*K5</f>
        <v>1000</v>
      </c>
      <c r="M5" s="91">
        <f>'Q.1.i'!H5</f>
        <v>9756070.7425674424</v>
      </c>
      <c r="O5" s="95">
        <f t="shared" ref="O5:O24" si="0">J5*F5</f>
        <v>7500</v>
      </c>
      <c r="P5" s="96">
        <f t="shared" ref="P5:P24" si="1">L5*$F5</f>
        <v>1000</v>
      </c>
      <c r="Q5" s="96">
        <f>(O5-P5)*'Q.1.Input'!$H$8</f>
        <v>455.00000000000006</v>
      </c>
      <c r="R5" s="96">
        <f t="shared" ref="R5:R24" si="2">M5*G5</f>
        <v>5151.2053520756099</v>
      </c>
      <c r="S5" s="96">
        <f t="shared" ref="S5:S24" si="3">SUM(O5,Q5)-SUM(P5:P5,R5)</f>
        <v>1803.7946479243901</v>
      </c>
      <c r="T5" s="96">
        <f>S5*(1+'Q.1.Input'!$H$9)^(-B5)</f>
        <v>1596.2784494906109</v>
      </c>
      <c r="U5" s="97">
        <f>O5*(1+'Q.1.Input'!$H$9)^-(B5-1)</f>
        <v>7500</v>
      </c>
      <c r="W5" s="15" t="s">
        <v>36</v>
      </c>
      <c r="X5" s="17">
        <f>SUM(U5:U24)</f>
        <v>59255.358733241184</v>
      </c>
      <c r="AB5" s="23"/>
    </row>
    <row r="6" spans="2:28" x14ac:dyDescent="0.35">
      <c r="B6" s="67">
        <f>B5+1</f>
        <v>2</v>
      </c>
      <c r="C6" s="68">
        <f>C5+1</f>
        <v>36</v>
      </c>
      <c r="E6" s="71">
        <f>VLOOKUP(C6,'Q.1.Input'!$B$5:$C$47,2,FALSE)*'Q.1.Input'!$H$4</f>
        <v>5.6090000000000003E-4</v>
      </c>
      <c r="F6" s="63">
        <f>H5</f>
        <v>0.99947200000000003</v>
      </c>
      <c r="G6" s="63">
        <f>F6*E6</f>
        <v>5.6060384480000004E-4</v>
      </c>
      <c r="H6" s="72">
        <f>F6-G6</f>
        <v>0.99891139615520008</v>
      </c>
      <c r="J6" s="76">
        <v>7500</v>
      </c>
      <c r="K6" s="62">
        <f>K5*(1+'Q.1.Input'!$H$6)</f>
        <v>1.05</v>
      </c>
      <c r="L6" s="62">
        <f>'Q.1.Input'!$H$5*K6</f>
        <v>1050</v>
      </c>
      <c r="M6" s="77">
        <f>'Q.1.i'!H6</f>
        <v>9495066.4371146057</v>
      </c>
      <c r="O6" s="82">
        <f t="shared" si="0"/>
        <v>7496.04</v>
      </c>
      <c r="P6" s="81">
        <f t="shared" si="1"/>
        <v>1049.4456</v>
      </c>
      <c r="Q6" s="81">
        <f>(O6-P6)*'Q.1.Input'!$H$8</f>
        <v>451.26160800000002</v>
      </c>
      <c r="R6" s="81">
        <f t="shared" si="2"/>
        <v>5322.9707512778859</v>
      </c>
      <c r="S6" s="81">
        <f t="shared" si="3"/>
        <v>1574.8852567221138</v>
      </c>
      <c r="T6" s="81">
        <f>S6*(1+'Q.1.Input'!$H$9)^(-B6)</f>
        <v>1233.3661654962129</v>
      </c>
      <c r="U6" s="83">
        <f>O6*(1+'Q.1.Input'!$H$9)^-(B6-1)</f>
        <v>6633.6637168141597</v>
      </c>
      <c r="W6" s="2" t="s">
        <v>129</v>
      </c>
      <c r="X6" s="58">
        <f>X4/X5</f>
        <v>6.4940402672104047E-2</v>
      </c>
      <c r="Y6" s="18"/>
      <c r="AB6" s="23"/>
    </row>
    <row r="7" spans="2:28" x14ac:dyDescent="0.35">
      <c r="B7" s="67">
        <f t="shared" ref="B7:B24" si="4">B6+1</f>
        <v>3</v>
      </c>
      <c r="C7" s="68">
        <f t="shared" ref="C7:C24" si="5">C6+1</f>
        <v>37</v>
      </c>
      <c r="E7" s="71">
        <f>VLOOKUP(C7,'Q.1.Input'!$B$5:$C$47,2,FALSE)*'Q.1.Input'!$H$4</f>
        <v>5.9909999999999998E-4</v>
      </c>
      <c r="F7" s="63">
        <f t="shared" ref="F7:F24" si="6">H6</f>
        <v>0.99891139615520008</v>
      </c>
      <c r="G7" s="63">
        <f t="shared" ref="G7:G24" si="7">F7*E7</f>
        <v>5.9844781743658034E-4</v>
      </c>
      <c r="H7" s="72">
        <f t="shared" ref="H7:H24" si="8">F7-G7</f>
        <v>0.99831294833776352</v>
      </c>
      <c r="J7" s="76">
        <v>7500</v>
      </c>
      <c r="K7" s="62">
        <f>K6*(1+'Q.1.Input'!$H$6)</f>
        <v>1.1025</v>
      </c>
      <c r="L7" s="62">
        <f>'Q.1.Input'!$H$5*K7</f>
        <v>1102.5</v>
      </c>
      <c r="M7" s="77">
        <f>'Q.1.i'!H7</f>
        <v>9215791.8302800711</v>
      </c>
      <c r="O7" s="82">
        <f t="shared" si="0"/>
        <v>7491.8354711640004</v>
      </c>
      <c r="P7" s="81">
        <f t="shared" si="1"/>
        <v>1101.2998142611082</v>
      </c>
      <c r="Q7" s="81">
        <f>(O7-P7)*'Q.1.Input'!$H$8</f>
        <v>447.33749598320247</v>
      </c>
      <c r="R7" s="81">
        <f t="shared" si="2"/>
        <v>5515.1705067809762</v>
      </c>
      <c r="S7" s="81">
        <f t="shared" si="3"/>
        <v>1322.7026461051182</v>
      </c>
      <c r="T7" s="81">
        <f>S7*(1+'Q.1.Input'!$H$9)^(-B7)</f>
        <v>916.69928352828981</v>
      </c>
      <c r="U7" s="83">
        <f>O7*(1+'Q.1.Input'!$H$9)^-(B7-1)</f>
        <v>5867.2061016242478</v>
      </c>
      <c r="Y7" s="18"/>
      <c r="AB7" s="23"/>
    </row>
    <row r="8" spans="2:28" x14ac:dyDescent="0.35">
      <c r="B8" s="67">
        <f t="shared" si="4"/>
        <v>4</v>
      </c>
      <c r="C8" s="68">
        <f t="shared" si="5"/>
        <v>38</v>
      </c>
      <c r="E8" s="71">
        <f>VLOOKUP(C8,'Q.1.Input'!$B$5:$C$47,2,FALSE)*'Q.1.Input'!$H$4</f>
        <v>6.4320000000000002E-4</v>
      </c>
      <c r="F8" s="63">
        <f t="shared" si="6"/>
        <v>0.99831294833776352</v>
      </c>
      <c r="G8" s="63">
        <f t="shared" si="7"/>
        <v>6.4211488837084948E-4</v>
      </c>
      <c r="H8" s="72">
        <f t="shared" si="8"/>
        <v>0.99767083344939267</v>
      </c>
      <c r="J8" s="76">
        <v>7500</v>
      </c>
      <c r="K8" s="62">
        <f>K7*(1+'Q.1.Input'!$H$6)</f>
        <v>1.1576250000000001</v>
      </c>
      <c r="L8" s="62">
        <f>'Q.1.Input'!$H$5*K8</f>
        <v>1157.6250000000002</v>
      </c>
      <c r="M8" s="77">
        <f>'Q.1.i'!H8</f>
        <v>8916968.0009671189</v>
      </c>
      <c r="O8" s="82">
        <f t="shared" si="0"/>
        <v>7487.3471125332262</v>
      </c>
      <c r="P8" s="81">
        <f t="shared" si="1"/>
        <v>1155.6720268195038</v>
      </c>
      <c r="Q8" s="81">
        <f>(O8-P8)*'Q.1.Input'!$H$8</f>
        <v>443.21725599996057</v>
      </c>
      <c r="R8" s="81">
        <f t="shared" si="2"/>
        <v>5725.7179125474386</v>
      </c>
      <c r="S8" s="81">
        <f t="shared" si="3"/>
        <v>1049.1744291662444</v>
      </c>
      <c r="T8" s="81">
        <f>S8*(1+'Q.1.Input'!$H$9)^(-B8)</f>
        <v>643.47832600997742</v>
      </c>
      <c r="U8" s="83">
        <f>O8*(1+'Q.1.Input'!$H$9)^-(B8-1)</f>
        <v>5189.1071313705897</v>
      </c>
    </row>
    <row r="9" spans="2:28" x14ac:dyDescent="0.35">
      <c r="B9" s="67">
        <f t="shared" si="4"/>
        <v>5</v>
      </c>
      <c r="C9" s="68">
        <f t="shared" si="5"/>
        <v>39</v>
      </c>
      <c r="E9" s="71">
        <f>VLOOKUP(C9,'Q.1.Input'!$B$5:$C$47,2,FALSE)*'Q.1.Input'!$H$4</f>
        <v>6.9390000000000001E-4</v>
      </c>
      <c r="F9" s="63">
        <f t="shared" si="6"/>
        <v>0.99767083344939267</v>
      </c>
      <c r="G9" s="63">
        <f t="shared" si="7"/>
        <v>6.9228379133053357E-4</v>
      </c>
      <c r="H9" s="72">
        <f t="shared" si="8"/>
        <v>0.9969785496580621</v>
      </c>
      <c r="J9" s="76">
        <v>7500</v>
      </c>
      <c r="K9" s="62">
        <f>K8*(1+'Q.1.Input'!$H$6)</f>
        <v>1.2155062500000002</v>
      </c>
      <c r="L9" s="62">
        <f>'Q.1.Input'!$H$5*K9</f>
        <v>1215.5062500000001</v>
      </c>
      <c r="M9" s="77">
        <f>'Q.1.i'!H9</f>
        <v>8597226.5036022607</v>
      </c>
      <c r="O9" s="82">
        <f t="shared" si="0"/>
        <v>7482.5312508704446</v>
      </c>
      <c r="P9" s="81">
        <f t="shared" si="1"/>
        <v>1212.675133500446</v>
      </c>
      <c r="Q9" s="81">
        <f>(O9-P9)*'Q.1.Input'!$H$8</f>
        <v>438.88992821589989</v>
      </c>
      <c r="R9" s="81">
        <f t="shared" si="2"/>
        <v>5951.7205588411198</v>
      </c>
      <c r="S9" s="81">
        <f t="shared" si="3"/>
        <v>757.02548674477839</v>
      </c>
      <c r="T9" s="81">
        <f>S9*(1+'Q.1.Input'!$H$9)^(-B9)</f>
        <v>410.88310473554736</v>
      </c>
      <c r="U9" s="83">
        <f>O9*(1+'Q.1.Input'!$H$9)^-(B9-1)</f>
        <v>4589.1765466050365</v>
      </c>
      <c r="X9" s="13"/>
    </row>
    <row r="10" spans="2:28" x14ac:dyDescent="0.35">
      <c r="B10" s="67">
        <f t="shared" si="4"/>
        <v>6</v>
      </c>
      <c r="C10" s="68">
        <f t="shared" si="5"/>
        <v>40</v>
      </c>
      <c r="E10" s="71">
        <f>VLOOKUP(C10,'Q.1.Input'!$B$5:$C$47,2,FALSE)*'Q.1.Input'!$H$4</f>
        <v>7.5230000000000002E-4</v>
      </c>
      <c r="F10" s="63">
        <f t="shared" si="6"/>
        <v>0.9969785496580621</v>
      </c>
      <c r="G10" s="63">
        <f t="shared" si="7"/>
        <v>7.5002696290776014E-4</v>
      </c>
      <c r="H10" s="72">
        <f t="shared" si="8"/>
        <v>0.99622852269515438</v>
      </c>
      <c r="J10" s="76">
        <v>7500</v>
      </c>
      <c r="K10" s="62">
        <f>K9*(1+'Q.1.Input'!$H$6)</f>
        <v>1.2762815625000004</v>
      </c>
      <c r="L10" s="62">
        <f>'Q.1.Input'!$H$5*K10</f>
        <v>1276.2815625000003</v>
      </c>
      <c r="M10" s="77">
        <f>'Q.1.i'!H10</f>
        <v>8255103.1014218619</v>
      </c>
      <c r="O10" s="82">
        <f t="shared" si="0"/>
        <v>7477.3391224354655</v>
      </c>
      <c r="P10" s="81">
        <f t="shared" si="1"/>
        <v>1272.4253411365755</v>
      </c>
      <c r="Q10" s="81">
        <f>(O10-P10)*'Q.1.Input'!$H$8</f>
        <v>434.34396469092235</v>
      </c>
      <c r="R10" s="81">
        <f t="shared" si="2"/>
        <v>6191.5499076498709</v>
      </c>
      <c r="S10" s="81">
        <f t="shared" si="3"/>
        <v>447.7078383399421</v>
      </c>
      <c r="T10" s="81">
        <f>S10*(1+'Q.1.Input'!$H$9)^(-B10)</f>
        <v>215.0423696317155</v>
      </c>
      <c r="U10" s="83">
        <f>O10*(1+'Q.1.Input'!$H$9)^-(B10-1)</f>
        <v>4058.4001035392466</v>
      </c>
    </row>
    <row r="11" spans="2:28" x14ac:dyDescent="0.35">
      <c r="B11" s="67">
        <f t="shared" si="4"/>
        <v>7</v>
      </c>
      <c r="C11" s="68">
        <f t="shared" si="5"/>
        <v>41</v>
      </c>
      <c r="E11" s="71">
        <f>VLOOKUP(C11,'Q.1.Input'!$B$5:$C$47,2,FALSE)*'Q.1.Input'!$H$4</f>
        <v>8.1980000000000009E-4</v>
      </c>
      <c r="F11" s="63">
        <f t="shared" si="6"/>
        <v>0.99622852269515438</v>
      </c>
      <c r="G11" s="63">
        <f t="shared" si="7"/>
        <v>8.1670814290548766E-4</v>
      </c>
      <c r="H11" s="72">
        <f t="shared" si="8"/>
        <v>0.99541181455224892</v>
      </c>
      <c r="J11" s="76">
        <v>7500</v>
      </c>
      <c r="K11" s="62">
        <f>K10*(1+'Q.1.Input'!$H$6)</f>
        <v>1.3400956406250004</v>
      </c>
      <c r="L11" s="62">
        <f>'Q.1.Input'!$H$5*K11</f>
        <v>1340.0956406250004</v>
      </c>
      <c r="M11" s="77">
        <f>'Q.1.i'!H11</f>
        <v>7889031.0610888358</v>
      </c>
      <c r="O11" s="82">
        <f t="shared" si="0"/>
        <v>7471.7139202136577</v>
      </c>
      <c r="P11" s="81">
        <f t="shared" si="1"/>
        <v>1335.0415003300607</v>
      </c>
      <c r="Q11" s="81">
        <f>(O11-P11)*'Q.1.Input'!$H$8</f>
        <v>429.56706939185187</v>
      </c>
      <c r="R11" s="81">
        <f t="shared" si="2"/>
        <v>6443.0359072255715</v>
      </c>
      <c r="S11" s="81">
        <f t="shared" si="3"/>
        <v>123.2035820498777</v>
      </c>
      <c r="T11" s="81">
        <f>S11*(1+'Q.1.Input'!$H$9)^(-B11)</f>
        <v>52.36899389795164</v>
      </c>
      <c r="U11" s="83">
        <f>O11*(1+'Q.1.Input'!$H$9)^-(B11-1)</f>
        <v>3588.8026275587213</v>
      </c>
    </row>
    <row r="12" spans="2:28" x14ac:dyDescent="0.35">
      <c r="B12" s="67">
        <f t="shared" si="4"/>
        <v>8</v>
      </c>
      <c r="C12" s="68">
        <f t="shared" si="5"/>
        <v>42</v>
      </c>
      <c r="E12" s="71">
        <f>VLOOKUP(C12,'Q.1.Input'!$B$5:$C$47,2,FALSE)*'Q.1.Input'!$H$4</f>
        <v>8.9789999999999998E-4</v>
      </c>
      <c r="F12" s="63">
        <f t="shared" si="6"/>
        <v>0.99541181455224892</v>
      </c>
      <c r="G12" s="63">
        <f t="shared" si="7"/>
        <v>8.9378026828646428E-4</v>
      </c>
      <c r="H12" s="72">
        <f t="shared" si="8"/>
        <v>0.99451803428396246</v>
      </c>
      <c r="J12" s="76">
        <v>7500</v>
      </c>
      <c r="K12" s="62">
        <f>K11*(1+'Q.1.Input'!$H$6)</f>
        <v>1.4071004226562505</v>
      </c>
      <c r="L12" s="62">
        <f>'Q.1.Input'!$H$5*K12</f>
        <v>1407.1004226562504</v>
      </c>
      <c r="M12" s="77">
        <f>'Q.1.i'!H12</f>
        <v>7497333.9779324979</v>
      </c>
      <c r="O12" s="82">
        <f t="shared" si="0"/>
        <v>7465.588609141867</v>
      </c>
      <c r="P12" s="81">
        <f t="shared" si="1"/>
        <v>1400.6443849734947</v>
      </c>
      <c r="Q12" s="81">
        <f>(O12-P12)*'Q.1.Input'!$H$8</f>
        <v>424.54609569178609</v>
      </c>
      <c r="R12" s="81">
        <f t="shared" si="2"/>
        <v>6700.9691742297327</v>
      </c>
      <c r="S12" s="81">
        <f t="shared" si="3"/>
        <v>-211.47885436957495</v>
      </c>
      <c r="T12" s="81">
        <f>S12*(1+'Q.1.Input'!$H$9)^(-B12)</f>
        <v>-79.549856616839065</v>
      </c>
      <c r="U12" s="83">
        <f>O12*(1+'Q.1.Input'!$H$9)^-(B12-1)</f>
        <v>3173.3279001457067</v>
      </c>
    </row>
    <row r="13" spans="2:28" x14ac:dyDescent="0.35">
      <c r="B13" s="67">
        <f t="shared" si="4"/>
        <v>9</v>
      </c>
      <c r="C13" s="68">
        <f t="shared" si="5"/>
        <v>43</v>
      </c>
      <c r="E13" s="71">
        <f>VLOOKUP(C13,'Q.1.Input'!$B$5:$C$47,2,FALSE)*'Q.1.Input'!$H$4</f>
        <v>9.8840000000000017E-4</v>
      </c>
      <c r="F13" s="63">
        <f t="shared" si="6"/>
        <v>0.99451803428396246</v>
      </c>
      <c r="G13" s="63">
        <f t="shared" si="7"/>
        <v>9.8298162508626873E-4</v>
      </c>
      <c r="H13" s="72">
        <f t="shared" si="8"/>
        <v>0.99353505265887621</v>
      </c>
      <c r="J13" s="76">
        <v>7500</v>
      </c>
      <c r="K13" s="62">
        <f>K12*(1+'Q.1.Input'!$H$6)</f>
        <v>1.477455443789063</v>
      </c>
      <c r="L13" s="62">
        <f>'Q.1.Input'!$H$5*K13</f>
        <v>1477.4554437890631</v>
      </c>
      <c r="M13" s="77">
        <f>'Q.1.i'!H13</f>
        <v>7078218.0989552159</v>
      </c>
      <c r="O13" s="82">
        <f t="shared" si="0"/>
        <v>7458.8852571297184</v>
      </c>
      <c r="P13" s="81">
        <f t="shared" si="1"/>
        <v>1469.3560836992385</v>
      </c>
      <c r="Q13" s="81">
        <f>(O13-P13)*'Q.1.Input'!$H$8</f>
        <v>419.26704214013364</v>
      </c>
      <c r="R13" s="81">
        <f t="shared" si="2"/>
        <v>6957.7583296260382</v>
      </c>
      <c r="S13" s="81">
        <f t="shared" si="3"/>
        <v>-548.96211405542454</v>
      </c>
      <c r="T13" s="81">
        <f>S13*(1+'Q.1.Input'!$H$9)^(-B13)</f>
        <v>-182.74116187065692</v>
      </c>
      <c r="U13" s="83">
        <f>O13*(1+'Q.1.Input'!$H$9)^-(B13-1)</f>
        <v>2805.7332469240409</v>
      </c>
    </row>
    <row r="14" spans="2:28" x14ac:dyDescent="0.35">
      <c r="B14" s="67">
        <f t="shared" si="4"/>
        <v>10</v>
      </c>
      <c r="C14" s="68">
        <f t="shared" si="5"/>
        <v>44</v>
      </c>
      <c r="E14" s="71">
        <f>VLOOKUP(C14,'Q.1.Input'!$B$5:$C$47,2,FALSE)*'Q.1.Input'!$H$4</f>
        <v>1.0932000000000001E-3</v>
      </c>
      <c r="F14" s="63">
        <f t="shared" si="6"/>
        <v>0.99353505265887621</v>
      </c>
      <c r="G14" s="63">
        <f t="shared" si="7"/>
        <v>1.0861325195666836E-3</v>
      </c>
      <c r="H14" s="72">
        <f t="shared" si="8"/>
        <v>0.99244892013930952</v>
      </c>
      <c r="J14" s="76">
        <v>7500</v>
      </c>
      <c r="K14" s="62">
        <f>K13*(1+'Q.1.Input'!$H$6)</f>
        <v>1.5513282159785162</v>
      </c>
      <c r="L14" s="62">
        <f>'Q.1.Input'!$H$5*K14</f>
        <v>1551.3282159785163</v>
      </c>
      <c r="M14" s="77">
        <f>'Q.1.i'!H14</f>
        <v>6629764.1084495243</v>
      </c>
      <c r="O14" s="82">
        <f t="shared" si="0"/>
        <v>7451.5128949415712</v>
      </c>
      <c r="P14" s="81">
        <f t="shared" si="1"/>
        <v>1541.2989607534157</v>
      </c>
      <c r="Q14" s="81">
        <f>(O14-P14)*'Q.1.Input'!$H$8</f>
        <v>413.71497539317096</v>
      </c>
      <c r="R14" s="81">
        <f t="shared" si="2"/>
        <v>7200.8023952430494</v>
      </c>
      <c r="S14" s="81">
        <f t="shared" si="3"/>
        <v>-876.87348566172295</v>
      </c>
      <c r="T14" s="81">
        <f>S14*(1+'Q.1.Input'!$H$9)^(-B14)</f>
        <v>-258.31671165668473</v>
      </c>
      <c r="U14" s="83">
        <f>O14*(1+'Q.1.Input'!$H$9)^-(B14-1)</f>
        <v>2480.4956284803375</v>
      </c>
    </row>
    <row r="15" spans="2:28" x14ac:dyDescent="0.35">
      <c r="B15" s="67">
        <f t="shared" si="4"/>
        <v>11</v>
      </c>
      <c r="C15" s="68">
        <f t="shared" si="5"/>
        <v>45</v>
      </c>
      <c r="E15" s="71">
        <f>VLOOKUP(C15,'Q.1.Input'!$B$5:$C$47,2,FALSE)*'Q.1.Input'!$H$4</f>
        <v>1.2141000000000001E-3</v>
      </c>
      <c r="F15" s="63">
        <f t="shared" si="6"/>
        <v>0.99244892013930952</v>
      </c>
      <c r="G15" s="63">
        <f t="shared" si="7"/>
        <v>1.2049322339411357E-3</v>
      </c>
      <c r="H15" s="72">
        <f t="shared" si="8"/>
        <v>0.99124398790536838</v>
      </c>
      <c r="J15" s="76">
        <v>7500</v>
      </c>
      <c r="K15" s="62">
        <f>K14*(1+'Q.1.Input'!$H$6)</f>
        <v>1.628894626777442</v>
      </c>
      <c r="L15" s="62">
        <f>'Q.1.Input'!$H$5*K15</f>
        <v>1628.894626777442</v>
      </c>
      <c r="M15" s="77">
        <f>'Q.1.i'!H15</f>
        <v>6149918.3386084344</v>
      </c>
      <c r="O15" s="82">
        <f t="shared" si="0"/>
        <v>7443.3669010448211</v>
      </c>
      <c r="P15" s="81">
        <f t="shared" si="1"/>
        <v>1616.5947133659959</v>
      </c>
      <c r="Q15" s="81">
        <f>(O15-P15)*'Q.1.Input'!$H$8</f>
        <v>407.87405313751782</v>
      </c>
      <c r="R15" s="81">
        <f t="shared" si="2"/>
        <v>7410.234842295019</v>
      </c>
      <c r="S15" s="81">
        <f t="shared" si="3"/>
        <v>-1175.5886014786765</v>
      </c>
      <c r="T15" s="81">
        <f>S15*(1+'Q.1.Input'!$H$9)^(-B15)</f>
        <v>-306.47318954469506</v>
      </c>
      <c r="U15" s="83">
        <f>O15*(1+'Q.1.Input'!$H$9)^-(B15-1)</f>
        <v>2192.7291598754719</v>
      </c>
    </row>
    <row r="16" spans="2:28" x14ac:dyDescent="0.35">
      <c r="B16" s="67">
        <f t="shared" si="4"/>
        <v>12</v>
      </c>
      <c r="C16" s="68">
        <f t="shared" si="5"/>
        <v>46</v>
      </c>
      <c r="E16" s="71">
        <f>VLOOKUP(C16,'Q.1.Input'!$B$5:$C$47,2,FALSE)*'Q.1.Input'!$H$4</f>
        <v>1.3527000000000001E-3</v>
      </c>
      <c r="F16" s="63">
        <f t="shared" si="6"/>
        <v>0.99124398790536838</v>
      </c>
      <c r="G16" s="63">
        <f t="shared" si="7"/>
        <v>1.340855742439592E-3</v>
      </c>
      <c r="H16" s="72">
        <f t="shared" si="8"/>
        <v>0.9899031321629288</v>
      </c>
      <c r="J16" s="76">
        <v>7500</v>
      </c>
      <c r="K16" s="62">
        <f>K15*(1+'Q.1.Input'!$H$6)</f>
        <v>1.7103393581163142</v>
      </c>
      <c r="L16" s="62">
        <f>'Q.1.Input'!$H$5*K16</f>
        <v>1710.3393581163143</v>
      </c>
      <c r="M16" s="77">
        <f>'Q.1.i'!H16</f>
        <v>5636483.3648784682</v>
      </c>
      <c r="O16" s="82">
        <f t="shared" si="0"/>
        <v>7434.3299092902625</v>
      </c>
      <c r="P16" s="81">
        <f t="shared" si="1"/>
        <v>1695.3636060107233</v>
      </c>
      <c r="Q16" s="81">
        <f>(O16-P16)*'Q.1.Input'!$H$8</f>
        <v>401.72764122956784</v>
      </c>
      <c r="R16" s="81">
        <f t="shared" si="2"/>
        <v>7557.7110869625276</v>
      </c>
      <c r="S16" s="81">
        <f t="shared" si="3"/>
        <v>-1417.0171424534201</v>
      </c>
      <c r="T16" s="81">
        <f>S16*(1+'Q.1.Input'!$H$9)^(-B16)</f>
        <v>-326.91419787121606</v>
      </c>
      <c r="U16" s="83">
        <f>O16*(1+'Q.1.Input'!$H$9)^-(B16-1)</f>
        <v>1938.1123605331568</v>
      </c>
    </row>
    <row r="17" spans="2:21" x14ac:dyDescent="0.35">
      <c r="B17" s="67">
        <f t="shared" si="4"/>
        <v>13</v>
      </c>
      <c r="C17" s="68">
        <f t="shared" si="5"/>
        <v>47</v>
      </c>
      <c r="E17" s="71">
        <f>VLOOKUP(C17,'Q.1.Input'!$B$5:$C$47,2,FALSE)*'Q.1.Input'!$H$4</f>
        <v>1.5098000000000002E-3</v>
      </c>
      <c r="F17" s="63">
        <f t="shared" si="6"/>
        <v>0.9899031321629288</v>
      </c>
      <c r="G17" s="63">
        <f t="shared" si="7"/>
        <v>1.4945557489395901E-3</v>
      </c>
      <c r="H17" s="72">
        <f t="shared" si="8"/>
        <v>0.98840857641398916</v>
      </c>
      <c r="J17" s="76">
        <v>7500</v>
      </c>
      <c r="K17" s="62">
        <f>K16*(1+'Q.1.Input'!$H$6)</f>
        <v>1.7958563260221301</v>
      </c>
      <c r="L17" s="62">
        <f>'Q.1.Input'!$H$5*K17</f>
        <v>1795.8563260221301</v>
      </c>
      <c r="M17" s="77">
        <f>'Q.1.i'!H17</f>
        <v>5087107.9429874038</v>
      </c>
      <c r="O17" s="82">
        <f t="shared" si="0"/>
        <v>7424.2734912219657</v>
      </c>
      <c r="P17" s="81">
        <f t="shared" si="1"/>
        <v>1777.7238020439165</v>
      </c>
      <c r="Q17" s="81">
        <f>(O17-P17)*'Q.1.Input'!$H$8</f>
        <v>395.25847824246353</v>
      </c>
      <c r="R17" s="81">
        <f t="shared" si="2"/>
        <v>7602.9664216680767</v>
      </c>
      <c r="S17" s="81">
        <f t="shared" si="3"/>
        <v>-1561.1582542475644</v>
      </c>
      <c r="T17" s="81">
        <f>S17*(1+'Q.1.Input'!$H$9)^(-B17)</f>
        <v>-318.73309826152246</v>
      </c>
      <c r="U17" s="83">
        <f>O17*(1+'Q.1.Input'!$H$9)^-(B17-1)</f>
        <v>1712.8236070292601</v>
      </c>
    </row>
    <row r="18" spans="2:21" x14ac:dyDescent="0.35">
      <c r="B18" s="67">
        <f t="shared" si="4"/>
        <v>14</v>
      </c>
      <c r="C18" s="68">
        <f t="shared" si="5"/>
        <v>48</v>
      </c>
      <c r="E18" s="71">
        <f>VLOOKUP(C18,'Q.1.Input'!$B$5:$C$47,2,FALSE)*'Q.1.Input'!$H$4</f>
        <v>1.6852E-3</v>
      </c>
      <c r="F18" s="63">
        <f t="shared" si="6"/>
        <v>0.98840857641398916</v>
      </c>
      <c r="G18" s="63">
        <f t="shared" si="7"/>
        <v>1.6656661329728544E-3</v>
      </c>
      <c r="H18" s="72">
        <f t="shared" si="8"/>
        <v>0.98674291028101635</v>
      </c>
      <c r="J18" s="76">
        <v>7500</v>
      </c>
      <c r="K18" s="62">
        <f>K17*(1+'Q.1.Input'!$H$6)</f>
        <v>1.8856491423232367</v>
      </c>
      <c r="L18" s="62">
        <f>'Q.1.Input'!$H$5*K18</f>
        <v>1885.6491423232367</v>
      </c>
      <c r="M18" s="77">
        <f>'Q.1.i'!H18</f>
        <v>4499276.2415639656</v>
      </c>
      <c r="O18" s="82">
        <f t="shared" si="0"/>
        <v>7413.0643231049189</v>
      </c>
      <c r="P18" s="81">
        <f t="shared" si="1"/>
        <v>1863.7917843799701</v>
      </c>
      <c r="Q18" s="81">
        <f>(O18-P18)*'Q.1.Input'!$H$8</f>
        <v>388.44907771074645</v>
      </c>
      <c r="R18" s="81">
        <f t="shared" si="2"/>
        <v>7494.292058462489</v>
      </c>
      <c r="S18" s="81">
        <f t="shared" si="3"/>
        <v>-1556.5704420267939</v>
      </c>
      <c r="T18" s="81">
        <f>S18*(1+'Q.1.Input'!$H$9)^(-B18)</f>
        <v>-281.23577863896031</v>
      </c>
      <c r="U18" s="83">
        <f>O18*(1+'Q.1.Input'!$H$9)^-(B18-1)</f>
        <v>1513.4845893339534</v>
      </c>
    </row>
    <row r="19" spans="2:21" x14ac:dyDescent="0.35">
      <c r="B19" s="67">
        <f t="shared" si="4"/>
        <v>15</v>
      </c>
      <c r="C19" s="68">
        <f t="shared" si="5"/>
        <v>49</v>
      </c>
      <c r="E19" s="71">
        <f>VLOOKUP(C19,'Q.1.Input'!$B$5:$C$47,2,FALSE)*'Q.1.Input'!$H$4</f>
        <v>1.8778E-3</v>
      </c>
      <c r="F19" s="63">
        <f t="shared" si="6"/>
        <v>0.98674291028101635</v>
      </c>
      <c r="G19" s="63">
        <f t="shared" si="7"/>
        <v>1.8529058369256926E-3</v>
      </c>
      <c r="H19" s="72">
        <f t="shared" si="8"/>
        <v>0.98489000444409069</v>
      </c>
      <c r="J19" s="76">
        <v>7500</v>
      </c>
      <c r="K19" s="62">
        <f>K18*(1+'Q.1.Input'!$H$6)</f>
        <v>1.9799315994393987</v>
      </c>
      <c r="L19" s="62">
        <f>'Q.1.Input'!$H$5*K19</f>
        <v>1979.9315994393987</v>
      </c>
      <c r="M19" s="77">
        <f>'Q.1.i'!H19</f>
        <v>3870296.3210408865</v>
      </c>
      <c r="O19" s="82">
        <f t="shared" si="0"/>
        <v>7400.571827107623</v>
      </c>
      <c r="P19" s="81">
        <f t="shared" si="1"/>
        <v>1953.6834685881797</v>
      </c>
      <c r="Q19" s="81">
        <f>(O19-P19)*'Q.1.Input'!$H$8</f>
        <v>381.2821850963611</v>
      </c>
      <c r="R19" s="81">
        <f t="shared" si="2"/>
        <v>7171.2946438886929</v>
      </c>
      <c r="S19" s="81">
        <f t="shared" si="3"/>
        <v>-1343.1241002728884</v>
      </c>
      <c r="T19" s="81">
        <f>S19*(1+'Q.1.Input'!$H$9)^(-B19)</f>
        <v>-214.75312373166162</v>
      </c>
      <c r="U19" s="83">
        <f>O19*(1+'Q.1.Input'!$H$9)^-(B19-1)</f>
        <v>1337.1097921274411</v>
      </c>
    </row>
    <row r="20" spans="2:21" x14ac:dyDescent="0.35">
      <c r="B20" s="67">
        <f t="shared" si="4"/>
        <v>16</v>
      </c>
      <c r="C20" s="68">
        <f t="shared" si="5"/>
        <v>50</v>
      </c>
      <c r="E20" s="71">
        <f>VLOOKUP(C20,'Q.1.Input'!$B$5:$C$47,2,FALSE)*'Q.1.Input'!$H$4</f>
        <v>2.0857000000000002E-3</v>
      </c>
      <c r="F20" s="63">
        <f t="shared" si="6"/>
        <v>0.98489000444409069</v>
      </c>
      <c r="G20" s="63">
        <f t="shared" si="7"/>
        <v>2.0541850822690401E-3</v>
      </c>
      <c r="H20" s="72">
        <f t="shared" si="8"/>
        <v>0.98283581936182163</v>
      </c>
      <c r="J20" s="76">
        <v>7500</v>
      </c>
      <c r="K20" s="62">
        <f>K19*(1+'Q.1.Input'!$H$6)</f>
        <v>2.0789281794113688</v>
      </c>
      <c r="L20" s="62">
        <f>'Q.1.Input'!$H$5*K20</f>
        <v>2078.9281794113685</v>
      </c>
      <c r="M20" s="77">
        <f>'Q.1.i'!H20</f>
        <v>3197287.8060811916</v>
      </c>
      <c r="O20" s="82">
        <f t="shared" si="0"/>
        <v>7386.67503333068</v>
      </c>
      <c r="P20" s="81">
        <f t="shared" si="1"/>
        <v>2047.5155838594083</v>
      </c>
      <c r="Q20" s="81">
        <f>(O20-P20)*'Q.1.Input'!$H$8</f>
        <v>373.74116146298906</v>
      </c>
      <c r="R20" s="81">
        <f t="shared" si="2"/>
        <v>6567.8209149726918</v>
      </c>
      <c r="S20" s="81">
        <f t="shared" si="3"/>
        <v>-854.92030403843182</v>
      </c>
      <c r="T20" s="81">
        <f>S20*(1+'Q.1.Input'!$H$9)^(-B20)</f>
        <v>-120.96800986409087</v>
      </c>
      <c r="U20" s="83">
        <f>O20*(1+'Q.1.Input'!$H$9)^-(B20-1)</f>
        <v>1181.061033061756</v>
      </c>
    </row>
    <row r="21" spans="2:21" x14ac:dyDescent="0.35">
      <c r="B21" s="67">
        <f t="shared" si="4"/>
        <v>17</v>
      </c>
      <c r="C21" s="68">
        <f t="shared" si="5"/>
        <v>51</v>
      </c>
      <c r="E21" s="71">
        <f>VLOOKUP(C21,'Q.1.Input'!$B$5:$C$47,2,FALSE)*'Q.1.Input'!$H$4</f>
        <v>2.3067000000000001E-3</v>
      </c>
      <c r="F21" s="63">
        <f t="shared" si="6"/>
        <v>0.98283581936182163</v>
      </c>
      <c r="G21" s="63">
        <f t="shared" si="7"/>
        <v>2.2671073845219139E-3</v>
      </c>
      <c r="H21" s="72">
        <f t="shared" si="8"/>
        <v>0.98056871197729967</v>
      </c>
      <c r="J21" s="76">
        <v>7500</v>
      </c>
      <c r="K21" s="62">
        <f>K20*(1+'Q.1.Input'!$H$6)</f>
        <v>2.1828745883819374</v>
      </c>
      <c r="L21" s="62">
        <f>'Q.1.Input'!$H$5*K21</f>
        <v>2182.8745883819374</v>
      </c>
      <c r="M21" s="77">
        <f>'Q.1.i'!H21</f>
        <v>2477168.695074318</v>
      </c>
      <c r="O21" s="82">
        <f t="shared" si="0"/>
        <v>7371.2686452136622</v>
      </c>
      <c r="P21" s="81">
        <f t="shared" si="1"/>
        <v>2145.4073346364607</v>
      </c>
      <c r="Q21" s="81">
        <f>(O21-P21)*'Q.1.Input'!$H$8</f>
        <v>365.81029174040418</v>
      </c>
      <c r="R21" s="81">
        <f t="shared" si="2"/>
        <v>5616.007441309499</v>
      </c>
      <c r="S21" s="81">
        <f t="shared" si="3"/>
        <v>-24.33583899189307</v>
      </c>
      <c r="T21" s="81">
        <f>S21*(1+'Q.1.Input'!$H$9)^(-B21)</f>
        <v>-3.0472829671039614</v>
      </c>
      <c r="U21" s="83">
        <f>O21*(1+'Q.1.Input'!$H$9)^-(B21-1)</f>
        <v>1043.0068089071674</v>
      </c>
    </row>
    <row r="22" spans="2:21" x14ac:dyDescent="0.35">
      <c r="B22" s="67">
        <f t="shared" si="4"/>
        <v>18</v>
      </c>
      <c r="C22" s="68">
        <f t="shared" si="5"/>
        <v>52</v>
      </c>
      <c r="E22" s="71">
        <f>VLOOKUP(C22,'Q.1.Input'!$B$5:$C$47,2,FALSE)*'Q.1.Input'!$H$4</f>
        <v>2.5386000000000002E-3</v>
      </c>
      <c r="F22" s="63">
        <f t="shared" si="6"/>
        <v>0.98056871197729967</v>
      </c>
      <c r="G22" s="63">
        <f t="shared" si="7"/>
        <v>2.4892717322255731E-3</v>
      </c>
      <c r="H22" s="72">
        <f t="shared" si="8"/>
        <v>0.97807944024507409</v>
      </c>
      <c r="J22" s="76">
        <v>7500</v>
      </c>
      <c r="K22" s="62">
        <f>K21*(1+'Q.1.Input'!$H$6)</f>
        <v>2.2920183178010345</v>
      </c>
      <c r="L22" s="62">
        <f>'Q.1.Input'!$H$5*K22</f>
        <v>2292.0183178010343</v>
      </c>
      <c r="M22" s="77">
        <f>'Q.1.i'!H22</f>
        <v>1706641.2462969632</v>
      </c>
      <c r="O22" s="82">
        <f t="shared" si="0"/>
        <v>7354.2653398297471</v>
      </c>
      <c r="P22" s="81">
        <f t="shared" si="1"/>
        <v>2247.4814497145371</v>
      </c>
      <c r="Q22" s="81">
        <f>(O22-P22)*'Q.1.Input'!$H$8</f>
        <v>357.47487230806473</v>
      </c>
      <c r="R22" s="81">
        <f t="shared" si="2"/>
        <v>4248.2938114572526</v>
      </c>
      <c r="S22" s="81">
        <f t="shared" si="3"/>
        <v>1215.9649509660221</v>
      </c>
      <c r="T22" s="81">
        <f>S22*(1+'Q.1.Input'!$H$9)^(-B22)</f>
        <v>134.74388788757008</v>
      </c>
      <c r="U22" s="83">
        <f>O22*(1+'Q.1.Input'!$H$9)^-(B22-1)</f>
        <v>920.88575672660284</v>
      </c>
    </row>
    <row r="23" spans="2:21" x14ac:dyDescent="0.35">
      <c r="B23" s="67">
        <f t="shared" si="4"/>
        <v>19</v>
      </c>
      <c r="C23" s="68">
        <f t="shared" si="5"/>
        <v>53</v>
      </c>
      <c r="E23" s="71">
        <f>VLOOKUP(C23,'Q.1.Input'!$B$5:$C$47,2,FALSE)*'Q.1.Input'!$H$4</f>
        <v>2.7796000000000001E-3</v>
      </c>
      <c r="F23" s="63">
        <f t="shared" si="6"/>
        <v>0.97807944024507409</v>
      </c>
      <c r="G23" s="63">
        <f t="shared" si="7"/>
        <v>2.718669612105208E-3</v>
      </c>
      <c r="H23" s="72">
        <f t="shared" si="8"/>
        <v>0.97536077063296889</v>
      </c>
      <c r="J23" s="76">
        <v>7500</v>
      </c>
      <c r="K23" s="62">
        <f>K22*(1+'Q.1.Input'!$H$6)</f>
        <v>2.4066192336910861</v>
      </c>
      <c r="L23" s="62">
        <f>'Q.1.Input'!$H$5*K23</f>
        <v>2406.6192336910863</v>
      </c>
      <c r="M23" s="77">
        <f>'Q.1.i'!H23</f>
        <v>882176.87610519363</v>
      </c>
      <c r="O23" s="82">
        <f t="shared" si="0"/>
        <v>7335.5958018380561</v>
      </c>
      <c r="P23" s="81">
        <f t="shared" si="1"/>
        <v>2353.8647929716067</v>
      </c>
      <c r="Q23" s="81">
        <f>(O23-P23)*'Q.1.Input'!$H$8</f>
        <v>348.72117062065144</v>
      </c>
      <c r="R23" s="81">
        <f t="shared" si="2"/>
        <v>2398.3474655690911</v>
      </c>
      <c r="S23" s="81">
        <f t="shared" si="3"/>
        <v>2932.10471391801</v>
      </c>
      <c r="T23" s="81">
        <f>S23*(1+'Q.1.Input'!$H$9)^(-B23)</f>
        <v>287.53389667573168</v>
      </c>
      <c r="U23" s="83">
        <f>O23*(1+'Q.1.Input'!$H$9)^-(B23-1)</f>
        <v>812.87433287130693</v>
      </c>
    </row>
    <row r="24" spans="2:21" ht="15" thickBot="1" x14ac:dyDescent="0.4">
      <c r="B24" s="69">
        <f t="shared" si="4"/>
        <v>20</v>
      </c>
      <c r="C24" s="70">
        <f t="shared" si="5"/>
        <v>54</v>
      </c>
      <c r="E24" s="73">
        <f>VLOOKUP(C24,'Q.1.Input'!$B$5:$C$47,2,FALSE)*'Q.1.Input'!$H$4</f>
        <v>3.0287000000000005E-3</v>
      </c>
      <c r="F24" s="74">
        <f t="shared" si="6"/>
        <v>0.97536077063296889</v>
      </c>
      <c r="G24" s="74">
        <f t="shared" si="7"/>
        <v>2.9540751660160733E-3</v>
      </c>
      <c r="H24" s="75">
        <f t="shared" si="8"/>
        <v>0.9724066954669528</v>
      </c>
      <c r="J24" s="78">
        <v>7500</v>
      </c>
      <c r="K24" s="79">
        <f>K23*(1+'Q.1.Input'!$H$6)</f>
        <v>2.5269501953756404</v>
      </c>
      <c r="L24" s="79">
        <f>'Q.1.Input'!$H$5*K24</f>
        <v>2526.9501953756403</v>
      </c>
      <c r="M24" s="80">
        <f>'Q.1.i'!H24</f>
        <v>0</v>
      </c>
      <c r="O24" s="84">
        <f t="shared" si="0"/>
        <v>7315.2057797472662</v>
      </c>
      <c r="P24" s="85">
        <f t="shared" si="1"/>
        <v>2464.6880899127159</v>
      </c>
      <c r="Q24" s="85">
        <f>(O24-P24)*'Q.1.Input'!$H$8</f>
        <v>339.53623828841859</v>
      </c>
      <c r="R24" s="85">
        <f t="shared" si="2"/>
        <v>0</v>
      </c>
      <c r="S24" s="85">
        <f t="shared" si="3"/>
        <v>5190.0539281229685</v>
      </c>
      <c r="T24" s="85">
        <f>S24*(1+'Q.1.Input'!$H$9)^(-B24)</f>
        <v>450.40479028648394</v>
      </c>
      <c r="U24" s="86">
        <f>O24*(1+'Q.1.Input'!$H$9)^-(B24-1)</f>
        <v>717.35828971297167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ECF4-170E-4311-89B8-D8B88251CDA3}">
  <dimension ref="B2:AA24"/>
  <sheetViews>
    <sheetView showGridLines="0" zoomScale="85" zoomScaleNormal="85" workbookViewId="0"/>
  </sheetViews>
  <sheetFormatPr defaultRowHeight="14.5" x14ac:dyDescent="0.35"/>
  <cols>
    <col min="2" max="2" width="10" bestFit="1" customWidth="1"/>
    <col min="5" max="5" width="19.08984375" customWidth="1"/>
    <col min="6" max="6" width="14.90625" customWidth="1"/>
    <col min="7" max="7" width="12.6328125" customWidth="1"/>
    <col min="8" max="8" width="13.08984375" customWidth="1"/>
    <col min="13" max="13" width="13.81640625" bestFit="1" customWidth="1"/>
    <col min="15" max="15" width="13.81640625" bestFit="1" customWidth="1"/>
    <col min="19" max="19" width="9.6328125" bestFit="1" customWidth="1"/>
    <col min="21" max="22" width="14.1796875" customWidth="1"/>
    <col min="23" max="23" width="9.6328125" bestFit="1" customWidth="1"/>
    <col min="24" max="24" width="10.1796875" bestFit="1" customWidth="1"/>
    <col min="25" max="25" width="9.6328125" bestFit="1" customWidth="1"/>
  </cols>
  <sheetData>
    <row r="2" spans="2:27" s="23" customFormat="1" x14ac:dyDescent="0.35"/>
    <row r="3" spans="2:27" ht="16" thickBot="1" x14ac:dyDescent="0.4">
      <c r="J3" s="1" t="s">
        <v>16</v>
      </c>
      <c r="O3" s="1" t="s">
        <v>19</v>
      </c>
      <c r="AA3" s="24"/>
    </row>
    <row r="4" spans="2:27" ht="49.5" customHeight="1" thickBot="1" x14ac:dyDescent="0.4">
      <c r="B4" s="100" t="s">
        <v>9</v>
      </c>
      <c r="C4" s="101" t="s">
        <v>1</v>
      </c>
      <c r="E4" s="46" t="s">
        <v>10</v>
      </c>
      <c r="F4" s="47" t="s">
        <v>11</v>
      </c>
      <c r="G4" s="47" t="s">
        <v>12</v>
      </c>
      <c r="H4" s="48" t="s">
        <v>13</v>
      </c>
      <c r="J4" s="11" t="s">
        <v>14</v>
      </c>
      <c r="K4" s="12" t="s">
        <v>18</v>
      </c>
      <c r="L4" s="12" t="s">
        <v>15</v>
      </c>
      <c r="M4" s="14" t="s">
        <v>17</v>
      </c>
      <c r="O4" s="11" t="s">
        <v>14</v>
      </c>
      <c r="P4" s="12" t="s">
        <v>15</v>
      </c>
      <c r="Q4" s="12" t="s">
        <v>20</v>
      </c>
      <c r="R4" s="12" t="s">
        <v>21</v>
      </c>
      <c r="S4" s="21" t="s">
        <v>25</v>
      </c>
      <c r="T4" s="21" t="s">
        <v>26</v>
      </c>
      <c r="U4" s="21" t="s">
        <v>27</v>
      </c>
      <c r="V4" s="21" t="s">
        <v>28</v>
      </c>
      <c r="W4" s="22" t="s">
        <v>29</v>
      </c>
    </row>
    <row r="5" spans="2:27" x14ac:dyDescent="0.35">
      <c r="B5" s="98">
        <v>1</v>
      </c>
      <c r="C5" s="99">
        <v>35</v>
      </c>
      <c r="E5" s="87">
        <f>VLOOKUP(C5,'Q.1.Input'!$B$5:$C$47,2,FALSE)*'Q.1.Input'!$H$4</f>
        <v>5.2800000000000004E-4</v>
      </c>
      <c r="F5" s="88">
        <v>1</v>
      </c>
      <c r="G5" s="88">
        <f>F5*E5</f>
        <v>5.2800000000000004E-4</v>
      </c>
      <c r="H5" s="89">
        <f>F5-G5</f>
        <v>0.99947200000000003</v>
      </c>
      <c r="J5" s="76">
        <f>'Q.1.ii'!J5</f>
        <v>7500</v>
      </c>
      <c r="K5" s="62">
        <v>1</v>
      </c>
      <c r="L5" s="62">
        <f>'Q.1.Input'!$H$5*K5*1.1</f>
        <v>1100</v>
      </c>
      <c r="M5" s="77">
        <f>'Q.1.ii'!M5</f>
        <v>9756070.7425674424</v>
      </c>
      <c r="O5" s="82">
        <f t="shared" ref="O5:O24" si="0">J5*F5</f>
        <v>7500</v>
      </c>
      <c r="P5" s="81">
        <f t="shared" ref="P5:P24" si="1">L5*$F5</f>
        <v>1100</v>
      </c>
      <c r="Q5" s="81">
        <f>(O5-P5)*6%</f>
        <v>384</v>
      </c>
      <c r="R5" s="81">
        <f t="shared" ref="R5:R24" si="2">M5*G5</f>
        <v>5151.2053520756099</v>
      </c>
      <c r="S5" s="81">
        <f t="shared" ref="S5:S24" si="3">O5+Q5</f>
        <v>7884</v>
      </c>
      <c r="T5" s="81">
        <f t="shared" ref="T5:T24" si="4">SUM(R5,P5:P5)</f>
        <v>6251.2053520756099</v>
      </c>
      <c r="U5" s="81">
        <f t="shared" ref="U5:U23" si="5">(S6+U6)/(1+6%)</f>
        <v>86929.603048084813</v>
      </c>
      <c r="V5" s="81">
        <f t="shared" ref="V5:V23" si="6">(T6+V6)/(1+6%)</f>
        <v>86520.571772778028</v>
      </c>
      <c r="W5" s="83">
        <f>V5-U5</f>
        <v>-409.03127530678466</v>
      </c>
      <c r="X5" s="19"/>
      <c r="Y5" s="13"/>
      <c r="Z5" s="19"/>
    </row>
    <row r="6" spans="2:27" x14ac:dyDescent="0.35">
      <c r="B6" s="67">
        <f>B5+1</f>
        <v>2</v>
      </c>
      <c r="C6" s="68">
        <f>C5+1</f>
        <v>36</v>
      </c>
      <c r="E6" s="71">
        <f>VLOOKUP(C6,'Q.1.Input'!$B$5:$C$47,2,FALSE)*'Q.1.Input'!$H$4</f>
        <v>5.6090000000000003E-4</v>
      </c>
      <c r="F6" s="63">
        <f>H5</f>
        <v>0.99947200000000003</v>
      </c>
      <c r="G6" s="63">
        <f>F6*E6</f>
        <v>5.6060384480000004E-4</v>
      </c>
      <c r="H6" s="72">
        <f>F6-G6</f>
        <v>0.99891139615520008</v>
      </c>
      <c r="J6" s="76">
        <f>'Q.1.ii'!J6</f>
        <v>7500</v>
      </c>
      <c r="K6" s="62">
        <f>K5*(1+'Q.1.Input'!$H$6)</f>
        <v>1.05</v>
      </c>
      <c r="L6" s="62">
        <f>'Q.1.Input'!$H$5*K6*1.1</f>
        <v>1155</v>
      </c>
      <c r="M6" s="77">
        <f>'Q.1.ii'!M6</f>
        <v>9495066.4371146057</v>
      </c>
      <c r="O6" s="82">
        <f t="shared" si="0"/>
        <v>7496.04</v>
      </c>
      <c r="P6" s="81">
        <f t="shared" si="1"/>
        <v>1154.3901599999999</v>
      </c>
      <c r="Q6" s="81">
        <f t="shared" ref="Q6:Q24" si="7">(O6-P6)*6%</f>
        <v>380.49899039999997</v>
      </c>
      <c r="R6" s="81">
        <f t="shared" si="2"/>
        <v>5322.9707512778859</v>
      </c>
      <c r="S6" s="81">
        <f t="shared" si="3"/>
        <v>7876.5389904000003</v>
      </c>
      <c r="T6" s="81">
        <f t="shared" si="4"/>
        <v>6477.3609112778859</v>
      </c>
      <c r="U6" s="81">
        <f t="shared" si="5"/>
        <v>84268.840240569902</v>
      </c>
      <c r="V6" s="81">
        <f t="shared" si="6"/>
        <v>85234.445167866841</v>
      </c>
      <c r="W6" s="83">
        <f t="shared" ref="W6:W24" si="8">V6-U6</f>
        <v>965.60492729693942</v>
      </c>
      <c r="X6" s="19"/>
      <c r="Y6" s="13"/>
      <c r="Z6" s="19"/>
    </row>
    <row r="7" spans="2:27" x14ac:dyDescent="0.35">
      <c r="B7" s="67">
        <f t="shared" ref="B7:C24" si="9">B6+1</f>
        <v>3</v>
      </c>
      <c r="C7" s="68">
        <f t="shared" si="9"/>
        <v>37</v>
      </c>
      <c r="E7" s="71">
        <f>VLOOKUP(C7,'Q.1.Input'!$B$5:$C$47,2,FALSE)*'Q.1.Input'!$H$4</f>
        <v>5.9909999999999998E-4</v>
      </c>
      <c r="F7" s="63">
        <f t="shared" ref="F7:F24" si="10">H6</f>
        <v>0.99891139615520008</v>
      </c>
      <c r="G7" s="63">
        <f t="shared" ref="G7:G24" si="11">F7*E7</f>
        <v>5.9844781743658034E-4</v>
      </c>
      <c r="H7" s="72">
        <f t="shared" ref="H7:H24" si="12">F7-G7</f>
        <v>0.99831294833776352</v>
      </c>
      <c r="J7" s="76">
        <f>'Q.1.ii'!J7</f>
        <v>7500</v>
      </c>
      <c r="K7" s="62">
        <f>K6*(1+'Q.1.Input'!$H$6)</f>
        <v>1.1025</v>
      </c>
      <c r="L7" s="62">
        <f>'Q.1.Input'!$H$5*K7*1.1</f>
        <v>1212.75</v>
      </c>
      <c r="M7" s="77">
        <f>'Q.1.ii'!M7</f>
        <v>9215791.8302800711</v>
      </c>
      <c r="O7" s="82">
        <f t="shared" si="0"/>
        <v>7491.8354711640004</v>
      </c>
      <c r="P7" s="81">
        <f t="shared" si="1"/>
        <v>1211.429795687219</v>
      </c>
      <c r="Q7" s="81">
        <f t="shared" si="7"/>
        <v>376.82434052860691</v>
      </c>
      <c r="R7" s="81">
        <f t="shared" si="2"/>
        <v>5515.1705067809762</v>
      </c>
      <c r="S7" s="81">
        <f t="shared" si="3"/>
        <v>7868.659811692607</v>
      </c>
      <c r="T7" s="81">
        <f t="shared" si="4"/>
        <v>6726.600302468195</v>
      </c>
      <c r="U7" s="81">
        <f t="shared" si="5"/>
        <v>81456.310843311498</v>
      </c>
      <c r="V7" s="81">
        <f t="shared" si="6"/>
        <v>83621.911575470658</v>
      </c>
      <c r="W7" s="83">
        <f t="shared" si="8"/>
        <v>2165.6007321591605</v>
      </c>
      <c r="X7" s="19"/>
      <c r="Y7" s="13"/>
      <c r="Z7" s="19"/>
    </row>
    <row r="8" spans="2:27" x14ac:dyDescent="0.35">
      <c r="B8" s="67">
        <f t="shared" si="9"/>
        <v>4</v>
      </c>
      <c r="C8" s="68">
        <f t="shared" si="9"/>
        <v>38</v>
      </c>
      <c r="E8" s="71">
        <f>VLOOKUP(C8,'Q.1.Input'!$B$5:$C$47,2,FALSE)*'Q.1.Input'!$H$4</f>
        <v>6.4320000000000002E-4</v>
      </c>
      <c r="F8" s="63">
        <f t="shared" si="10"/>
        <v>0.99831294833776352</v>
      </c>
      <c r="G8" s="63">
        <f t="shared" si="11"/>
        <v>6.4211488837084948E-4</v>
      </c>
      <c r="H8" s="72">
        <f t="shared" si="12"/>
        <v>0.99767083344939267</v>
      </c>
      <c r="J8" s="76">
        <f>'Q.1.ii'!J8</f>
        <v>7500</v>
      </c>
      <c r="K8" s="62">
        <f>K7*(1+'Q.1.Input'!$H$6)</f>
        <v>1.1576250000000001</v>
      </c>
      <c r="L8" s="62">
        <f>'Q.1.Input'!$H$5*K8*1.1</f>
        <v>1273.3875000000003</v>
      </c>
      <c r="M8" s="77">
        <f>'Q.1.ii'!M8</f>
        <v>8916968.0009671189</v>
      </c>
      <c r="O8" s="82">
        <f t="shared" si="0"/>
        <v>7487.3471125332262</v>
      </c>
      <c r="P8" s="81">
        <f t="shared" si="1"/>
        <v>1271.239229501454</v>
      </c>
      <c r="Q8" s="81">
        <f t="shared" si="7"/>
        <v>372.96647298190629</v>
      </c>
      <c r="R8" s="81">
        <f t="shared" si="2"/>
        <v>5725.7179125474386</v>
      </c>
      <c r="S8" s="81">
        <f t="shared" si="3"/>
        <v>7860.3135855151322</v>
      </c>
      <c r="T8" s="81">
        <f t="shared" si="4"/>
        <v>6996.9571420488928</v>
      </c>
      <c r="U8" s="81">
        <f t="shared" si="5"/>
        <v>78483.375908395057</v>
      </c>
      <c r="V8" s="81">
        <f t="shared" si="6"/>
        <v>81642.269127950014</v>
      </c>
      <c r="W8" s="83">
        <f t="shared" si="8"/>
        <v>3158.8932195549569</v>
      </c>
      <c r="X8" s="19"/>
      <c r="Y8" s="13"/>
      <c r="Z8" s="25"/>
    </row>
    <row r="9" spans="2:27" x14ac:dyDescent="0.35">
      <c r="B9" s="67">
        <f t="shared" si="9"/>
        <v>5</v>
      </c>
      <c r="C9" s="68">
        <f t="shared" si="9"/>
        <v>39</v>
      </c>
      <c r="E9" s="71">
        <f>VLOOKUP(C9,'Q.1.Input'!$B$5:$C$47,2,FALSE)*'Q.1.Input'!$H$4</f>
        <v>6.9390000000000001E-4</v>
      </c>
      <c r="F9" s="63">
        <f t="shared" si="10"/>
        <v>0.99767083344939267</v>
      </c>
      <c r="G9" s="63">
        <f t="shared" si="11"/>
        <v>6.9228379133053357E-4</v>
      </c>
      <c r="H9" s="72">
        <f t="shared" si="12"/>
        <v>0.9969785496580621</v>
      </c>
      <c r="J9" s="76">
        <f>'Q.1.ii'!J9</f>
        <v>7500</v>
      </c>
      <c r="K9" s="62">
        <f>K8*(1+'Q.1.Input'!$H$6)</f>
        <v>1.2155062500000002</v>
      </c>
      <c r="L9" s="62">
        <f>'Q.1.Input'!$H$5*K9*1.1</f>
        <v>1337.0568750000002</v>
      </c>
      <c r="M9" s="77">
        <f>'Q.1.ii'!M9</f>
        <v>8597226.5036022607</v>
      </c>
      <c r="O9" s="82">
        <f t="shared" si="0"/>
        <v>7482.5312508704446</v>
      </c>
      <c r="P9" s="81">
        <f t="shared" si="1"/>
        <v>1333.9426468504907</v>
      </c>
      <c r="Q9" s="81">
        <f t="shared" si="7"/>
        <v>368.91531624119722</v>
      </c>
      <c r="R9" s="81">
        <f t="shared" si="2"/>
        <v>5951.7205588411198</v>
      </c>
      <c r="S9" s="81">
        <f t="shared" si="3"/>
        <v>7851.4465671116423</v>
      </c>
      <c r="T9" s="81">
        <f t="shared" si="4"/>
        <v>7285.6632056916105</v>
      </c>
      <c r="U9" s="81">
        <f t="shared" si="5"/>
        <v>75340.931895787115</v>
      </c>
      <c r="V9" s="81">
        <f t="shared" si="6"/>
        <v>79255.142069935406</v>
      </c>
      <c r="W9" s="83">
        <f t="shared" si="8"/>
        <v>3914.2101741482911</v>
      </c>
      <c r="X9" s="19"/>
      <c r="Y9" s="13"/>
      <c r="Z9" s="19"/>
    </row>
    <row r="10" spans="2:27" x14ac:dyDescent="0.35">
      <c r="B10" s="67">
        <f t="shared" si="9"/>
        <v>6</v>
      </c>
      <c r="C10" s="68">
        <f t="shared" si="9"/>
        <v>40</v>
      </c>
      <c r="E10" s="71">
        <f>VLOOKUP(C10,'Q.1.Input'!$B$5:$C$47,2,FALSE)*'Q.1.Input'!$H$4</f>
        <v>7.5230000000000002E-4</v>
      </c>
      <c r="F10" s="63">
        <f t="shared" si="10"/>
        <v>0.9969785496580621</v>
      </c>
      <c r="G10" s="63">
        <f t="shared" si="11"/>
        <v>7.5002696290776014E-4</v>
      </c>
      <c r="H10" s="72">
        <f t="shared" si="12"/>
        <v>0.99622852269515438</v>
      </c>
      <c r="J10" s="76">
        <f>'Q.1.ii'!J10</f>
        <v>7500</v>
      </c>
      <c r="K10" s="62">
        <f>K9*(1+'Q.1.Input'!$H$6)</f>
        <v>1.2762815625000004</v>
      </c>
      <c r="L10" s="62">
        <f>'Q.1.Input'!$H$5*K10*1.1</f>
        <v>1403.9097187500004</v>
      </c>
      <c r="M10" s="77">
        <f>'Q.1.ii'!M10</f>
        <v>8255103.1014218619</v>
      </c>
      <c r="O10" s="82">
        <f t="shared" si="0"/>
        <v>7477.3391224354655</v>
      </c>
      <c r="P10" s="81">
        <f t="shared" si="1"/>
        <v>1399.6678752502332</v>
      </c>
      <c r="Q10" s="81">
        <f t="shared" si="7"/>
        <v>364.66027483111395</v>
      </c>
      <c r="R10" s="81">
        <f t="shared" si="2"/>
        <v>6191.5499076498709</v>
      </c>
      <c r="S10" s="81">
        <f t="shared" si="3"/>
        <v>7841.9993972665798</v>
      </c>
      <c r="T10" s="81">
        <f t="shared" si="4"/>
        <v>7591.2177829001039</v>
      </c>
      <c r="U10" s="81">
        <f t="shared" si="5"/>
        <v>72019.388412267755</v>
      </c>
      <c r="V10" s="81">
        <f t="shared" si="6"/>
        <v>76419.232811231428</v>
      </c>
      <c r="W10" s="83">
        <f t="shared" si="8"/>
        <v>4399.8443989636726</v>
      </c>
      <c r="X10" s="19"/>
      <c r="Y10" s="13"/>
      <c r="Z10" s="19"/>
    </row>
    <row r="11" spans="2:27" x14ac:dyDescent="0.35">
      <c r="B11" s="67">
        <f t="shared" si="9"/>
        <v>7</v>
      </c>
      <c r="C11" s="68">
        <f t="shared" si="9"/>
        <v>41</v>
      </c>
      <c r="E11" s="71">
        <f>VLOOKUP(C11,'Q.1.Input'!$B$5:$C$47,2,FALSE)*'Q.1.Input'!$H$4</f>
        <v>8.1980000000000009E-4</v>
      </c>
      <c r="F11" s="63">
        <f t="shared" si="10"/>
        <v>0.99622852269515438</v>
      </c>
      <c r="G11" s="63">
        <f t="shared" si="11"/>
        <v>8.1670814290548766E-4</v>
      </c>
      <c r="H11" s="72">
        <f t="shared" si="12"/>
        <v>0.99541181455224892</v>
      </c>
      <c r="J11" s="76">
        <f>'Q.1.ii'!J11</f>
        <v>7500</v>
      </c>
      <c r="K11" s="62">
        <f>K10*(1+'Q.1.Input'!$H$6)</f>
        <v>1.3400956406250004</v>
      </c>
      <c r="L11" s="62">
        <f>'Q.1.Input'!$H$5*K11*1.1</f>
        <v>1474.1052046875006</v>
      </c>
      <c r="M11" s="77">
        <f>'Q.1.ii'!M11</f>
        <v>7889031.0610888358</v>
      </c>
      <c r="O11" s="82">
        <f t="shared" si="0"/>
        <v>7471.7139202136577</v>
      </c>
      <c r="P11" s="81">
        <f t="shared" si="1"/>
        <v>1468.5456503630669</v>
      </c>
      <c r="Q11" s="81">
        <f t="shared" si="7"/>
        <v>360.19009619103542</v>
      </c>
      <c r="R11" s="81">
        <f t="shared" si="2"/>
        <v>6443.0359072255715</v>
      </c>
      <c r="S11" s="81">
        <f t="shared" si="3"/>
        <v>7831.9040164046928</v>
      </c>
      <c r="T11" s="81">
        <f t="shared" si="4"/>
        <v>7911.5815575886381</v>
      </c>
      <c r="U11" s="81">
        <f t="shared" si="5"/>
        <v>68508.647700599133</v>
      </c>
      <c r="V11" s="81">
        <f t="shared" si="6"/>
        <v>73092.805222316674</v>
      </c>
      <c r="W11" s="83">
        <f t="shared" si="8"/>
        <v>4584.1575217175414</v>
      </c>
      <c r="X11" s="19"/>
      <c r="Y11" s="13"/>
      <c r="Z11" s="19"/>
    </row>
    <row r="12" spans="2:27" x14ac:dyDescent="0.35">
      <c r="B12" s="67">
        <f t="shared" si="9"/>
        <v>8</v>
      </c>
      <c r="C12" s="68">
        <f t="shared" si="9"/>
        <v>42</v>
      </c>
      <c r="E12" s="71">
        <f>VLOOKUP(C12,'Q.1.Input'!$B$5:$C$47,2,FALSE)*'Q.1.Input'!$H$4</f>
        <v>8.9789999999999998E-4</v>
      </c>
      <c r="F12" s="63">
        <f t="shared" si="10"/>
        <v>0.99541181455224892</v>
      </c>
      <c r="G12" s="63">
        <f t="shared" si="11"/>
        <v>8.9378026828646428E-4</v>
      </c>
      <c r="H12" s="72">
        <f t="shared" si="12"/>
        <v>0.99451803428396246</v>
      </c>
      <c r="J12" s="76">
        <f>'Q.1.ii'!J12</f>
        <v>7500</v>
      </c>
      <c r="K12" s="62">
        <f>K11*(1+'Q.1.Input'!$H$6)</f>
        <v>1.4071004226562505</v>
      </c>
      <c r="L12" s="62">
        <f>'Q.1.Input'!$H$5*K12*1.1</f>
        <v>1547.8104649218756</v>
      </c>
      <c r="M12" s="77">
        <f>'Q.1.ii'!M12</f>
        <v>7497333.9779324979</v>
      </c>
      <c r="O12" s="82">
        <f t="shared" si="0"/>
        <v>7465.588609141867</v>
      </c>
      <c r="P12" s="81">
        <f t="shared" si="1"/>
        <v>1540.7088234708442</v>
      </c>
      <c r="Q12" s="81">
        <f t="shared" si="7"/>
        <v>355.49278714026133</v>
      </c>
      <c r="R12" s="81">
        <f t="shared" si="2"/>
        <v>6700.9691742297327</v>
      </c>
      <c r="S12" s="81">
        <f t="shared" si="3"/>
        <v>7821.0813962821285</v>
      </c>
      <c r="T12" s="81">
        <f t="shared" si="4"/>
        <v>8241.6779977005772</v>
      </c>
      <c r="U12" s="81">
        <f t="shared" si="5"/>
        <v>64798.085166352954</v>
      </c>
      <c r="V12" s="81">
        <f t="shared" si="6"/>
        <v>69236.695537955093</v>
      </c>
      <c r="W12" s="83">
        <f t="shared" si="8"/>
        <v>4438.6103716021389</v>
      </c>
      <c r="X12" s="19"/>
      <c r="Y12" s="13"/>
      <c r="Z12" s="19"/>
    </row>
    <row r="13" spans="2:27" x14ac:dyDescent="0.35">
      <c r="B13" s="67">
        <f t="shared" si="9"/>
        <v>9</v>
      </c>
      <c r="C13" s="68">
        <f t="shared" si="9"/>
        <v>43</v>
      </c>
      <c r="E13" s="71">
        <f>VLOOKUP(C13,'Q.1.Input'!$B$5:$C$47,2,FALSE)*'Q.1.Input'!$H$4</f>
        <v>9.8840000000000017E-4</v>
      </c>
      <c r="F13" s="63">
        <f t="shared" si="10"/>
        <v>0.99451803428396246</v>
      </c>
      <c r="G13" s="63">
        <f t="shared" si="11"/>
        <v>9.8298162508626873E-4</v>
      </c>
      <c r="H13" s="72">
        <f t="shared" si="12"/>
        <v>0.99353505265887621</v>
      </c>
      <c r="J13" s="76">
        <f>'Q.1.ii'!J13</f>
        <v>7500</v>
      </c>
      <c r="K13" s="62">
        <f>K12*(1+'Q.1.Input'!$H$6)</f>
        <v>1.477455443789063</v>
      </c>
      <c r="L13" s="62">
        <f>'Q.1.Input'!$H$5*K13*1.1</f>
        <v>1625.2009881679696</v>
      </c>
      <c r="M13" s="77">
        <f>'Q.1.ii'!M13</f>
        <v>7078218.0989552159</v>
      </c>
      <c r="O13" s="82">
        <f t="shared" si="0"/>
        <v>7458.8852571297184</v>
      </c>
      <c r="P13" s="81">
        <f t="shared" si="1"/>
        <v>1616.2916920691625</v>
      </c>
      <c r="Q13" s="81">
        <f t="shared" si="7"/>
        <v>350.55561390363334</v>
      </c>
      <c r="R13" s="81">
        <f t="shared" si="2"/>
        <v>6957.7583296260382</v>
      </c>
      <c r="S13" s="81">
        <f t="shared" si="3"/>
        <v>7809.4408710333519</v>
      </c>
      <c r="T13" s="81">
        <f t="shared" si="4"/>
        <v>8574.0500216952005</v>
      </c>
      <c r="U13" s="81">
        <f t="shared" si="5"/>
        <v>60876.529405300782</v>
      </c>
      <c r="V13" s="81">
        <f t="shared" si="6"/>
        <v>64816.847248537189</v>
      </c>
      <c r="W13" s="83">
        <f t="shared" si="8"/>
        <v>3940.3178432364075</v>
      </c>
      <c r="X13" s="19"/>
      <c r="Y13" s="13"/>
      <c r="Z13" s="19"/>
    </row>
    <row r="14" spans="2:27" x14ac:dyDescent="0.35">
      <c r="B14" s="67">
        <f t="shared" si="9"/>
        <v>10</v>
      </c>
      <c r="C14" s="68">
        <f t="shared" si="9"/>
        <v>44</v>
      </c>
      <c r="E14" s="71">
        <f>VLOOKUP(C14,'Q.1.Input'!$B$5:$C$47,2,FALSE)*'Q.1.Input'!$H$4</f>
        <v>1.0932000000000001E-3</v>
      </c>
      <c r="F14" s="63">
        <f t="shared" si="10"/>
        <v>0.99353505265887621</v>
      </c>
      <c r="G14" s="63">
        <f t="shared" si="11"/>
        <v>1.0861325195666836E-3</v>
      </c>
      <c r="H14" s="72">
        <f t="shared" si="12"/>
        <v>0.99244892013930952</v>
      </c>
      <c r="J14" s="76">
        <f>'Q.1.ii'!J14</f>
        <v>7500</v>
      </c>
      <c r="K14" s="62">
        <f>K13*(1+'Q.1.Input'!$H$6)</f>
        <v>1.5513282159785162</v>
      </c>
      <c r="L14" s="62">
        <f>'Q.1.Input'!$H$5*K14*1.1</f>
        <v>1706.461037576368</v>
      </c>
      <c r="M14" s="77">
        <f>'Q.1.ii'!M14</f>
        <v>6629764.1084495243</v>
      </c>
      <c r="O14" s="82">
        <f t="shared" si="0"/>
        <v>7451.5128949415712</v>
      </c>
      <c r="P14" s="81">
        <f t="shared" si="1"/>
        <v>1695.4288568287573</v>
      </c>
      <c r="Q14" s="81">
        <f t="shared" si="7"/>
        <v>345.36504228676881</v>
      </c>
      <c r="R14" s="81">
        <f t="shared" si="2"/>
        <v>7200.8023952430494</v>
      </c>
      <c r="S14" s="81">
        <f t="shared" si="3"/>
        <v>7796.8779372283398</v>
      </c>
      <c r="T14" s="81">
        <f t="shared" si="4"/>
        <v>8896.231252071806</v>
      </c>
      <c r="U14" s="81">
        <f t="shared" si="5"/>
        <v>56732.243232390494</v>
      </c>
      <c r="V14" s="81">
        <f t="shared" si="6"/>
        <v>59809.626831377609</v>
      </c>
      <c r="W14" s="83">
        <f t="shared" si="8"/>
        <v>3077.383598987115</v>
      </c>
      <c r="X14" s="19"/>
      <c r="Y14" s="13"/>
      <c r="Z14" s="19"/>
    </row>
    <row r="15" spans="2:27" x14ac:dyDescent="0.35">
      <c r="B15" s="67">
        <f t="shared" si="9"/>
        <v>11</v>
      </c>
      <c r="C15" s="68">
        <f t="shared" si="9"/>
        <v>45</v>
      </c>
      <c r="E15" s="71">
        <f>VLOOKUP(C15,'Q.1.Input'!$B$5:$C$47,2,FALSE)*'Q.1.Input'!$H$4</f>
        <v>1.2141000000000001E-3</v>
      </c>
      <c r="F15" s="63">
        <f t="shared" si="10"/>
        <v>0.99244892013930952</v>
      </c>
      <c r="G15" s="63">
        <f t="shared" si="11"/>
        <v>1.2049322339411357E-3</v>
      </c>
      <c r="H15" s="72">
        <f t="shared" si="12"/>
        <v>0.99124398790536838</v>
      </c>
      <c r="J15" s="76">
        <f>'Q.1.ii'!J15</f>
        <v>7500</v>
      </c>
      <c r="K15" s="62">
        <f>K14*(1+'Q.1.Input'!$H$6)</f>
        <v>1.628894626777442</v>
      </c>
      <c r="L15" s="62">
        <f>'Q.1.Input'!$H$5*K15*1.1</f>
        <v>1791.7840894551864</v>
      </c>
      <c r="M15" s="77">
        <f>'Q.1.ii'!M15</f>
        <v>6149918.3386084344</v>
      </c>
      <c r="O15" s="82">
        <f t="shared" si="0"/>
        <v>7443.3669010448211</v>
      </c>
      <c r="P15" s="81">
        <f t="shared" si="1"/>
        <v>1778.2541847025957</v>
      </c>
      <c r="Q15" s="81">
        <f t="shared" si="7"/>
        <v>339.90676298053347</v>
      </c>
      <c r="R15" s="81">
        <f t="shared" si="2"/>
        <v>7410.234842295019</v>
      </c>
      <c r="S15" s="81">
        <f t="shared" si="3"/>
        <v>7783.2736640253543</v>
      </c>
      <c r="T15" s="81">
        <f t="shared" si="4"/>
        <v>9188.4890269976149</v>
      </c>
      <c r="U15" s="81">
        <f t="shared" si="5"/>
        <v>52352.904162308572</v>
      </c>
      <c r="V15" s="81">
        <f t="shared" si="6"/>
        <v>54209.715414262653</v>
      </c>
      <c r="W15" s="83">
        <f t="shared" si="8"/>
        <v>1856.8112519540809</v>
      </c>
      <c r="X15" s="19"/>
      <c r="Y15" s="13"/>
      <c r="Z15" s="19"/>
    </row>
    <row r="16" spans="2:27" x14ac:dyDescent="0.35">
      <c r="B16" s="67">
        <f t="shared" si="9"/>
        <v>12</v>
      </c>
      <c r="C16" s="68">
        <f t="shared" si="9"/>
        <v>46</v>
      </c>
      <c r="E16" s="71">
        <f>VLOOKUP(C16,'Q.1.Input'!$B$5:$C$47,2,FALSE)*'Q.1.Input'!$H$4</f>
        <v>1.3527000000000001E-3</v>
      </c>
      <c r="F16" s="63">
        <f t="shared" si="10"/>
        <v>0.99124398790536838</v>
      </c>
      <c r="G16" s="63">
        <f t="shared" si="11"/>
        <v>1.340855742439592E-3</v>
      </c>
      <c r="H16" s="72">
        <f t="shared" si="12"/>
        <v>0.9899031321629288</v>
      </c>
      <c r="J16" s="76">
        <f>'Q.1.ii'!J16</f>
        <v>7500</v>
      </c>
      <c r="K16" s="62">
        <f>K15*(1+'Q.1.Input'!$H$6)</f>
        <v>1.7103393581163142</v>
      </c>
      <c r="L16" s="62">
        <f>'Q.1.Input'!$H$5*K16*1.1</f>
        <v>1881.373293927946</v>
      </c>
      <c r="M16" s="77">
        <f>'Q.1.ii'!M16</f>
        <v>5636483.3648784682</v>
      </c>
      <c r="O16" s="82">
        <f t="shared" si="0"/>
        <v>7434.3299092902625</v>
      </c>
      <c r="P16" s="81">
        <f t="shared" si="1"/>
        <v>1864.8999666117959</v>
      </c>
      <c r="Q16" s="81">
        <f t="shared" si="7"/>
        <v>334.16579656070797</v>
      </c>
      <c r="R16" s="81">
        <f t="shared" si="2"/>
        <v>7557.7110869625276</v>
      </c>
      <c r="S16" s="81">
        <f t="shared" si="3"/>
        <v>7768.4957058509708</v>
      </c>
      <c r="T16" s="81">
        <f t="shared" si="4"/>
        <v>9422.6110535743228</v>
      </c>
      <c r="U16" s="81">
        <f t="shared" si="5"/>
        <v>47725.582706196124</v>
      </c>
      <c r="V16" s="81">
        <f t="shared" si="6"/>
        <v>48039.687285544096</v>
      </c>
      <c r="W16" s="83">
        <f t="shared" si="8"/>
        <v>314.10457934797159</v>
      </c>
      <c r="X16" s="19"/>
      <c r="Y16" s="13"/>
      <c r="Z16" s="19"/>
    </row>
    <row r="17" spans="2:26" x14ac:dyDescent="0.35">
      <c r="B17" s="67">
        <f t="shared" si="9"/>
        <v>13</v>
      </c>
      <c r="C17" s="68">
        <f t="shared" si="9"/>
        <v>47</v>
      </c>
      <c r="E17" s="71">
        <f>VLOOKUP(C17,'Q.1.Input'!$B$5:$C$47,2,FALSE)*'Q.1.Input'!$H$4</f>
        <v>1.5098000000000002E-3</v>
      </c>
      <c r="F17" s="63">
        <f t="shared" si="10"/>
        <v>0.9899031321629288</v>
      </c>
      <c r="G17" s="63">
        <f t="shared" si="11"/>
        <v>1.4945557489395901E-3</v>
      </c>
      <c r="H17" s="72">
        <f t="shared" si="12"/>
        <v>0.98840857641398916</v>
      </c>
      <c r="J17" s="76">
        <f>'Q.1.ii'!J17</f>
        <v>7500</v>
      </c>
      <c r="K17" s="62">
        <f>K16*(1+'Q.1.Input'!$H$6)</f>
        <v>1.7958563260221301</v>
      </c>
      <c r="L17" s="62">
        <f>'Q.1.Input'!$H$5*K17*1.1</f>
        <v>1975.4419586243432</v>
      </c>
      <c r="M17" s="77">
        <f>'Q.1.ii'!M17</f>
        <v>5087107.9429874038</v>
      </c>
      <c r="O17" s="82">
        <f t="shared" si="0"/>
        <v>7424.2734912219657</v>
      </c>
      <c r="P17" s="81">
        <f t="shared" si="1"/>
        <v>1955.4961822483081</v>
      </c>
      <c r="Q17" s="81">
        <f t="shared" si="7"/>
        <v>328.12663853841946</v>
      </c>
      <c r="R17" s="81">
        <f t="shared" si="2"/>
        <v>7602.9664216680767</v>
      </c>
      <c r="S17" s="81">
        <f t="shared" si="3"/>
        <v>7752.4001297603854</v>
      </c>
      <c r="T17" s="81">
        <f t="shared" si="4"/>
        <v>9558.462603916385</v>
      </c>
      <c r="U17" s="81">
        <f t="shared" si="5"/>
        <v>42836.717538807512</v>
      </c>
      <c r="V17" s="81">
        <f t="shared" si="6"/>
        <v>41363.605918760361</v>
      </c>
      <c r="W17" s="83">
        <f t="shared" si="8"/>
        <v>-1473.1116200471515</v>
      </c>
      <c r="X17" s="19"/>
      <c r="Y17" s="13"/>
      <c r="Z17" s="19"/>
    </row>
    <row r="18" spans="2:26" x14ac:dyDescent="0.35">
      <c r="B18" s="67">
        <f t="shared" si="9"/>
        <v>14</v>
      </c>
      <c r="C18" s="68">
        <f t="shared" si="9"/>
        <v>48</v>
      </c>
      <c r="E18" s="71">
        <f>VLOOKUP(C18,'Q.1.Input'!$B$5:$C$47,2,FALSE)*'Q.1.Input'!$H$4</f>
        <v>1.6852E-3</v>
      </c>
      <c r="F18" s="63">
        <f t="shared" si="10"/>
        <v>0.98840857641398916</v>
      </c>
      <c r="G18" s="63">
        <f t="shared" si="11"/>
        <v>1.6656661329728544E-3</v>
      </c>
      <c r="H18" s="72">
        <f t="shared" si="12"/>
        <v>0.98674291028101635</v>
      </c>
      <c r="J18" s="76">
        <f>'Q.1.ii'!J18</f>
        <v>7500</v>
      </c>
      <c r="K18" s="62">
        <f>K17*(1+'Q.1.Input'!$H$6)</f>
        <v>1.8856491423232367</v>
      </c>
      <c r="L18" s="62">
        <f>'Q.1.Input'!$H$5*K18*1.1</f>
        <v>2074.2140565555605</v>
      </c>
      <c r="M18" s="77">
        <f>'Q.1.ii'!M18</f>
        <v>4499276.2415639656</v>
      </c>
      <c r="O18" s="82">
        <f t="shared" si="0"/>
        <v>7413.0643231049189</v>
      </c>
      <c r="P18" s="81">
        <f t="shared" si="1"/>
        <v>2050.1709628179674</v>
      </c>
      <c r="Q18" s="81">
        <f t="shared" si="7"/>
        <v>321.77360161721703</v>
      </c>
      <c r="R18" s="81">
        <f t="shared" si="2"/>
        <v>7494.292058462489</v>
      </c>
      <c r="S18" s="81">
        <f t="shared" si="3"/>
        <v>7734.8379247221355</v>
      </c>
      <c r="T18" s="81">
        <f t="shared" si="4"/>
        <v>9544.4630212804568</v>
      </c>
      <c r="U18" s="81">
        <f t="shared" si="5"/>
        <v>37672.082666413829</v>
      </c>
      <c r="V18" s="81">
        <f t="shared" si="6"/>
        <v>34300.959252605528</v>
      </c>
      <c r="W18" s="83">
        <f t="shared" si="8"/>
        <v>-3371.1234138083018</v>
      </c>
      <c r="X18" s="19"/>
      <c r="Y18" s="13"/>
      <c r="Z18" s="19"/>
    </row>
    <row r="19" spans="2:26" x14ac:dyDescent="0.35">
      <c r="B19" s="67">
        <f t="shared" si="9"/>
        <v>15</v>
      </c>
      <c r="C19" s="68">
        <f t="shared" si="9"/>
        <v>49</v>
      </c>
      <c r="E19" s="71">
        <f>VLOOKUP(C19,'Q.1.Input'!$B$5:$C$47,2,FALSE)*'Q.1.Input'!$H$4</f>
        <v>1.8778E-3</v>
      </c>
      <c r="F19" s="63">
        <f t="shared" si="10"/>
        <v>0.98674291028101635</v>
      </c>
      <c r="G19" s="63">
        <f t="shared" si="11"/>
        <v>1.8529058369256926E-3</v>
      </c>
      <c r="H19" s="72">
        <f t="shared" si="12"/>
        <v>0.98489000444409069</v>
      </c>
      <c r="J19" s="76">
        <f>'Q.1.ii'!J19</f>
        <v>7500</v>
      </c>
      <c r="K19" s="62">
        <f>K18*(1+'Q.1.Input'!$H$6)</f>
        <v>1.9799315994393987</v>
      </c>
      <c r="L19" s="62">
        <f>'Q.1.Input'!$H$5*K19*1.1</f>
        <v>2177.9247593833388</v>
      </c>
      <c r="M19" s="77">
        <f>'Q.1.ii'!M19</f>
        <v>3870296.3210408865</v>
      </c>
      <c r="O19" s="82">
        <f t="shared" si="0"/>
        <v>7400.571827107623</v>
      </c>
      <c r="P19" s="81">
        <f t="shared" si="1"/>
        <v>2149.0518154469978</v>
      </c>
      <c r="Q19" s="81">
        <f t="shared" si="7"/>
        <v>315.09120069963745</v>
      </c>
      <c r="R19" s="81">
        <f t="shared" si="2"/>
        <v>7171.2946438886929</v>
      </c>
      <c r="S19" s="81">
        <f t="shared" si="3"/>
        <v>7715.6630278072607</v>
      </c>
      <c r="T19" s="81">
        <f t="shared" si="4"/>
        <v>9320.3464593356912</v>
      </c>
      <c r="U19" s="81">
        <f t="shared" si="5"/>
        <v>32216.744598591402</v>
      </c>
      <c r="V19" s="81">
        <f t="shared" si="6"/>
        <v>27038.670348426163</v>
      </c>
      <c r="W19" s="83">
        <f t="shared" si="8"/>
        <v>-5178.0742501652385</v>
      </c>
      <c r="X19" s="19"/>
      <c r="Y19" s="13"/>
      <c r="Z19" s="19"/>
    </row>
    <row r="20" spans="2:26" x14ac:dyDescent="0.35">
      <c r="B20" s="67">
        <f t="shared" si="9"/>
        <v>16</v>
      </c>
      <c r="C20" s="68">
        <f t="shared" si="9"/>
        <v>50</v>
      </c>
      <c r="E20" s="71">
        <f>VLOOKUP(C20,'Q.1.Input'!$B$5:$C$47,2,FALSE)*'Q.1.Input'!$H$4</f>
        <v>2.0857000000000002E-3</v>
      </c>
      <c r="F20" s="63">
        <f t="shared" si="10"/>
        <v>0.98489000444409069</v>
      </c>
      <c r="G20" s="63">
        <f t="shared" si="11"/>
        <v>2.0541850822690401E-3</v>
      </c>
      <c r="H20" s="72">
        <f t="shared" si="12"/>
        <v>0.98283581936182163</v>
      </c>
      <c r="J20" s="76">
        <f>'Q.1.ii'!J20</f>
        <v>7500</v>
      </c>
      <c r="K20" s="62">
        <f>K19*(1+'Q.1.Input'!$H$6)</f>
        <v>2.0789281794113688</v>
      </c>
      <c r="L20" s="62">
        <f>'Q.1.Input'!$H$5*K20*1.1</f>
        <v>2286.8209973525054</v>
      </c>
      <c r="M20" s="77">
        <f>'Q.1.ii'!M20</f>
        <v>3197287.8060811916</v>
      </c>
      <c r="O20" s="82">
        <f t="shared" si="0"/>
        <v>7386.67503333068</v>
      </c>
      <c r="P20" s="81">
        <f t="shared" si="1"/>
        <v>2252.2671422453491</v>
      </c>
      <c r="Q20" s="81">
        <f t="shared" si="7"/>
        <v>308.06447346511987</v>
      </c>
      <c r="R20" s="81">
        <f t="shared" si="2"/>
        <v>6567.8209149726918</v>
      </c>
      <c r="S20" s="81">
        <f t="shared" si="3"/>
        <v>7694.7395067957996</v>
      </c>
      <c r="T20" s="81">
        <f t="shared" si="4"/>
        <v>8820.0880572180413</v>
      </c>
      <c r="U20" s="81">
        <f t="shared" si="5"/>
        <v>26455.00976771109</v>
      </c>
      <c r="V20" s="81">
        <f t="shared" si="6"/>
        <v>19840.902512113691</v>
      </c>
      <c r="W20" s="83">
        <f t="shared" si="8"/>
        <v>-6614.1072555973988</v>
      </c>
      <c r="X20" s="19"/>
      <c r="Y20" s="13"/>
      <c r="Z20" s="19"/>
    </row>
    <row r="21" spans="2:26" x14ac:dyDescent="0.35">
      <c r="B21" s="67">
        <f t="shared" si="9"/>
        <v>17</v>
      </c>
      <c r="C21" s="68">
        <f t="shared" si="9"/>
        <v>51</v>
      </c>
      <c r="E21" s="71">
        <f>VLOOKUP(C21,'Q.1.Input'!$B$5:$C$47,2,FALSE)*'Q.1.Input'!$H$4</f>
        <v>2.3067000000000001E-3</v>
      </c>
      <c r="F21" s="63">
        <f t="shared" si="10"/>
        <v>0.98283581936182163</v>
      </c>
      <c r="G21" s="63">
        <f t="shared" si="11"/>
        <v>2.2671073845219139E-3</v>
      </c>
      <c r="H21" s="72">
        <f t="shared" si="12"/>
        <v>0.98056871197729967</v>
      </c>
      <c r="J21" s="76">
        <f>'Q.1.ii'!J21</f>
        <v>7500</v>
      </c>
      <c r="K21" s="62">
        <f>K20*(1+'Q.1.Input'!$H$6)</f>
        <v>2.1828745883819374</v>
      </c>
      <c r="L21" s="62">
        <f>'Q.1.Input'!$H$5*K21*1.1</f>
        <v>2401.1620472201312</v>
      </c>
      <c r="M21" s="77">
        <f>'Q.1.ii'!M21</f>
        <v>2477168.695074318</v>
      </c>
      <c r="O21" s="82">
        <f t="shared" si="0"/>
        <v>7371.2686452136622</v>
      </c>
      <c r="P21" s="81">
        <f t="shared" si="1"/>
        <v>2359.9480681001069</v>
      </c>
      <c r="Q21" s="81">
        <f t="shared" si="7"/>
        <v>300.6792346268133</v>
      </c>
      <c r="R21" s="81">
        <f t="shared" si="2"/>
        <v>5616.007441309499</v>
      </c>
      <c r="S21" s="81">
        <f t="shared" si="3"/>
        <v>7671.9478798404753</v>
      </c>
      <c r="T21" s="81">
        <f t="shared" si="4"/>
        <v>7975.9555094096058</v>
      </c>
      <c r="U21" s="81">
        <f t="shared" si="5"/>
        <v>20370.362473933281</v>
      </c>
      <c r="V21" s="81">
        <f t="shared" si="6"/>
        <v>13055.401153430908</v>
      </c>
      <c r="W21" s="83">
        <f t="shared" si="8"/>
        <v>-7314.9613205023725</v>
      </c>
      <c r="X21" s="19"/>
      <c r="Y21" s="13"/>
      <c r="Z21" s="19"/>
    </row>
    <row r="22" spans="2:26" x14ac:dyDescent="0.35">
      <c r="B22" s="67">
        <f t="shared" si="9"/>
        <v>18</v>
      </c>
      <c r="C22" s="68">
        <f t="shared" si="9"/>
        <v>52</v>
      </c>
      <c r="E22" s="71">
        <f>VLOOKUP(C22,'Q.1.Input'!$B$5:$C$47,2,FALSE)*'Q.1.Input'!$H$4</f>
        <v>2.5386000000000002E-3</v>
      </c>
      <c r="F22" s="63">
        <f t="shared" si="10"/>
        <v>0.98056871197729967</v>
      </c>
      <c r="G22" s="63">
        <f t="shared" si="11"/>
        <v>2.4892717322255731E-3</v>
      </c>
      <c r="H22" s="72">
        <f t="shared" si="12"/>
        <v>0.97807944024507409</v>
      </c>
      <c r="J22" s="76">
        <f>'Q.1.ii'!J22</f>
        <v>7500</v>
      </c>
      <c r="K22" s="62">
        <f>K21*(1+'Q.1.Input'!$H$6)</f>
        <v>2.2920183178010345</v>
      </c>
      <c r="L22" s="62">
        <f>'Q.1.Input'!$H$5*K22*1.1</f>
        <v>2521.2201495811378</v>
      </c>
      <c r="M22" s="77">
        <f>'Q.1.ii'!M22</f>
        <v>1706641.2462969632</v>
      </c>
      <c r="O22" s="82">
        <f t="shared" si="0"/>
        <v>7354.2653398297471</v>
      </c>
      <c r="P22" s="81">
        <f t="shared" si="1"/>
        <v>2472.2295946859913</v>
      </c>
      <c r="Q22" s="81">
        <f t="shared" si="7"/>
        <v>292.92214470862535</v>
      </c>
      <c r="R22" s="81">
        <f t="shared" si="2"/>
        <v>4248.2938114572526</v>
      </c>
      <c r="S22" s="81">
        <f t="shared" si="3"/>
        <v>7647.1874845383727</v>
      </c>
      <c r="T22" s="81">
        <f t="shared" si="4"/>
        <v>6720.5234061432438</v>
      </c>
      <c r="U22" s="81">
        <f t="shared" si="5"/>
        <v>13945.396737830906</v>
      </c>
      <c r="V22" s="81">
        <f t="shared" si="6"/>
        <v>7118.2018164935189</v>
      </c>
      <c r="W22" s="83">
        <f t="shared" si="8"/>
        <v>-6827.1949213373873</v>
      </c>
      <c r="X22" s="19"/>
      <c r="Y22" s="13"/>
      <c r="Z22" s="19"/>
    </row>
    <row r="23" spans="2:26" x14ac:dyDescent="0.35">
      <c r="B23" s="67">
        <f t="shared" si="9"/>
        <v>19</v>
      </c>
      <c r="C23" s="68">
        <f t="shared" si="9"/>
        <v>53</v>
      </c>
      <c r="E23" s="71">
        <f>VLOOKUP(C23,'Q.1.Input'!$B$5:$C$47,2,FALSE)*'Q.1.Input'!$H$4</f>
        <v>2.7796000000000001E-3</v>
      </c>
      <c r="F23" s="63">
        <f t="shared" si="10"/>
        <v>0.97807944024507409</v>
      </c>
      <c r="G23" s="63">
        <f t="shared" si="11"/>
        <v>2.718669612105208E-3</v>
      </c>
      <c r="H23" s="72">
        <f t="shared" si="12"/>
        <v>0.97536077063296889</v>
      </c>
      <c r="J23" s="76">
        <f>'Q.1.ii'!J23</f>
        <v>7500</v>
      </c>
      <c r="K23" s="62">
        <f>K22*(1+'Q.1.Input'!$H$6)</f>
        <v>2.4066192336910861</v>
      </c>
      <c r="L23" s="62">
        <f>'Q.1.Input'!$H$5*K23*1.1</f>
        <v>2647.2811570601953</v>
      </c>
      <c r="M23" s="77">
        <f>'Q.1.ii'!M23</f>
        <v>882176.87610519363</v>
      </c>
      <c r="O23" s="82">
        <f t="shared" si="0"/>
        <v>7335.5958018380561</v>
      </c>
      <c r="P23" s="81">
        <f t="shared" si="1"/>
        <v>2589.2512722687679</v>
      </c>
      <c r="Q23" s="81">
        <f t="shared" si="7"/>
        <v>284.78067177415727</v>
      </c>
      <c r="R23" s="81">
        <f t="shared" si="2"/>
        <v>2398.3474655690911</v>
      </c>
      <c r="S23" s="81">
        <f t="shared" si="3"/>
        <v>7620.376473612213</v>
      </c>
      <c r="T23" s="81">
        <f t="shared" si="4"/>
        <v>4987.5987378378595</v>
      </c>
      <c r="U23" s="81">
        <f t="shared" si="5"/>
        <v>7161.7440684885496</v>
      </c>
      <c r="V23" s="81">
        <f t="shared" si="6"/>
        <v>2557.6951876452713</v>
      </c>
      <c r="W23" s="83">
        <f t="shared" si="8"/>
        <v>-4604.0488808432783</v>
      </c>
      <c r="X23" s="19"/>
      <c r="Y23" s="13"/>
      <c r="Z23" s="19"/>
    </row>
    <row r="24" spans="2:26" ht="15" thickBot="1" x14ac:dyDescent="0.4">
      <c r="B24" s="69">
        <f t="shared" si="9"/>
        <v>20</v>
      </c>
      <c r="C24" s="70">
        <f t="shared" si="9"/>
        <v>54</v>
      </c>
      <c r="E24" s="73">
        <f>VLOOKUP(C24,'Q.1.Input'!$B$5:$C$47,2,FALSE)*'Q.1.Input'!$H$4</f>
        <v>3.0287000000000005E-3</v>
      </c>
      <c r="F24" s="74">
        <f t="shared" si="10"/>
        <v>0.97536077063296889</v>
      </c>
      <c r="G24" s="74">
        <f t="shared" si="11"/>
        <v>2.9540751660160733E-3</v>
      </c>
      <c r="H24" s="75">
        <f t="shared" si="12"/>
        <v>0.9724066954669528</v>
      </c>
      <c r="J24" s="78">
        <f>'Q.1.ii'!J24</f>
        <v>7500</v>
      </c>
      <c r="K24" s="79">
        <f>K23*(1+'Q.1.Input'!$H$6)</f>
        <v>2.5269501953756404</v>
      </c>
      <c r="L24" s="79">
        <f>'Q.1.Input'!$H$5*K24*1.1</f>
        <v>2779.6452149132047</v>
      </c>
      <c r="M24" s="80">
        <f>'Q.1.ii'!M24</f>
        <v>0</v>
      </c>
      <c r="O24" s="84">
        <f t="shared" si="0"/>
        <v>7315.2057797472662</v>
      </c>
      <c r="P24" s="85">
        <f t="shared" si="1"/>
        <v>2711.1568989039879</v>
      </c>
      <c r="Q24" s="85">
        <f t="shared" si="7"/>
        <v>276.24293285059667</v>
      </c>
      <c r="R24" s="85">
        <f t="shared" si="2"/>
        <v>0</v>
      </c>
      <c r="S24" s="85">
        <f t="shared" si="3"/>
        <v>7591.4487125978631</v>
      </c>
      <c r="T24" s="85">
        <f t="shared" si="4"/>
        <v>2711.1568989039879</v>
      </c>
      <c r="U24" s="85">
        <f>(S25+V25)/(1+6%)</f>
        <v>0</v>
      </c>
      <c r="V24" s="85">
        <f>(T25+W25)/(1+6%)</f>
        <v>0</v>
      </c>
      <c r="W24" s="86">
        <f t="shared" si="8"/>
        <v>0</v>
      </c>
      <c r="X24" s="19"/>
      <c r="Y24" s="13"/>
      <c r="Z24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7C5DC-76B8-4399-819B-B8BAB308E147}">
  <dimension ref="B2:M24"/>
  <sheetViews>
    <sheetView showGridLines="0" zoomScale="85" zoomScaleNormal="85" workbookViewId="0"/>
  </sheetViews>
  <sheetFormatPr defaultRowHeight="14.5" x14ac:dyDescent="0.35"/>
  <cols>
    <col min="2" max="2" width="10" bestFit="1" customWidth="1"/>
    <col min="5" max="5" width="9.1796875" bestFit="1" customWidth="1"/>
    <col min="6" max="8" width="9.1796875" customWidth="1"/>
    <col min="9" max="10" width="9.1796875" bestFit="1" customWidth="1"/>
    <col min="12" max="12" width="25.1796875" bestFit="1" customWidth="1"/>
    <col min="13" max="13" width="7.81640625" customWidth="1"/>
  </cols>
  <sheetData>
    <row r="2" spans="2:13" s="23" customFormat="1" x14ac:dyDescent="0.35"/>
    <row r="3" spans="2:13" ht="15" thickBot="1" x14ac:dyDescent="0.4"/>
    <row r="4" spans="2:13" ht="52" customHeight="1" x14ac:dyDescent="0.35">
      <c r="B4" s="4" t="s">
        <v>9</v>
      </c>
      <c r="C4" s="5" t="s">
        <v>1</v>
      </c>
      <c r="E4" s="11" t="s">
        <v>30</v>
      </c>
      <c r="F4" s="12" t="s">
        <v>31</v>
      </c>
      <c r="G4" s="12" t="s">
        <v>32</v>
      </c>
      <c r="H4" s="12" t="s">
        <v>33</v>
      </c>
      <c r="I4" s="12" t="s">
        <v>34</v>
      </c>
      <c r="J4" s="22" t="s">
        <v>35</v>
      </c>
      <c r="L4" s="4" t="s">
        <v>24</v>
      </c>
      <c r="M4" s="138">
        <f>SUM(J5:J24)</f>
        <v>2780.224866295353</v>
      </c>
    </row>
    <row r="5" spans="2:13" ht="15" thickBot="1" x14ac:dyDescent="0.4">
      <c r="B5" s="67">
        <v>1</v>
      </c>
      <c r="C5" s="68">
        <v>35</v>
      </c>
      <c r="E5" s="82">
        <f>'Q.1.ii'!S5</f>
        <v>1803.7946479243901</v>
      </c>
      <c r="F5" s="81">
        <f>'Q.1.iii'!W5</f>
        <v>-409.03127530678466</v>
      </c>
      <c r="G5" s="81">
        <f>F5</f>
        <v>-409.03127530678466</v>
      </c>
      <c r="H5" s="81">
        <v>0</v>
      </c>
      <c r="I5" s="81">
        <f>E5-G5+H5</f>
        <v>2212.8259232311748</v>
      </c>
      <c r="J5" s="83">
        <f>I5*(1+'Q.1.Input'!$H$9)^(-B5)</f>
        <v>1958.2530294081193</v>
      </c>
      <c r="L5" s="139" t="s">
        <v>36</v>
      </c>
      <c r="M5" s="140">
        <f>'Q.1.ii'!X5</f>
        <v>59255.358733241184</v>
      </c>
    </row>
    <row r="6" spans="2:13" ht="15" thickBot="1" x14ac:dyDescent="0.4">
      <c r="B6" s="67">
        <f>B5+1</f>
        <v>2</v>
      </c>
      <c r="C6" s="68">
        <f>C5+1</f>
        <v>36</v>
      </c>
      <c r="E6" s="82">
        <f>'Q.1.ii'!S6</f>
        <v>1574.8852567221138</v>
      </c>
      <c r="F6" s="81">
        <f>'Q.1.iii'!W6</f>
        <v>965.60492729693942</v>
      </c>
      <c r="G6" s="81">
        <f>F6-F5</f>
        <v>1374.6362026037241</v>
      </c>
      <c r="H6" s="81">
        <f>G5*'Q.1.Input'!$H$8</f>
        <v>-28.632189271474928</v>
      </c>
      <c r="I6" s="81">
        <f t="shared" ref="I6:I24" si="0">E6-G6+H6</f>
        <v>171.61686484691478</v>
      </c>
      <c r="J6" s="83">
        <f>I6*(1+'Q.1.Input'!$H$9)^(-B6)</f>
        <v>134.40117851587033</v>
      </c>
      <c r="L6" s="136" t="s">
        <v>129</v>
      </c>
      <c r="M6" s="137">
        <f>M4/M5</f>
        <v>4.6919382917104797E-2</v>
      </c>
    </row>
    <row r="7" spans="2:13" x14ac:dyDescent="0.35">
      <c r="B7" s="67">
        <f t="shared" ref="B7:C24" si="1">B6+1</f>
        <v>3</v>
      </c>
      <c r="C7" s="68">
        <f t="shared" si="1"/>
        <v>37</v>
      </c>
      <c r="E7" s="82">
        <f>'Q.1.ii'!S7</f>
        <v>1322.7026461051182</v>
      </c>
      <c r="F7" s="81">
        <f>'Q.1.iii'!W7</f>
        <v>2165.6007321591605</v>
      </c>
      <c r="G7" s="81">
        <f t="shared" ref="G7:G24" si="2">F7-F6</f>
        <v>1199.9958048622211</v>
      </c>
      <c r="H7" s="81">
        <f>G6*'Q.1.Input'!$H$8</f>
        <v>96.224534182260697</v>
      </c>
      <c r="I7" s="81">
        <f t="shared" si="0"/>
        <v>218.9313754251578</v>
      </c>
      <c r="J7" s="83">
        <f>I7*(1+'Q.1.Input'!$H$9)^(-B7)</f>
        <v>151.73042526608475</v>
      </c>
    </row>
    <row r="8" spans="2:13" x14ac:dyDescent="0.35">
      <c r="B8" s="67">
        <f t="shared" si="1"/>
        <v>4</v>
      </c>
      <c r="C8" s="68">
        <f t="shared" si="1"/>
        <v>38</v>
      </c>
      <c r="E8" s="82">
        <f>'Q.1.ii'!S8</f>
        <v>1049.1744291662444</v>
      </c>
      <c r="F8" s="81">
        <f>'Q.1.iii'!W8</f>
        <v>3158.8932195549569</v>
      </c>
      <c r="G8" s="81">
        <f t="shared" si="2"/>
        <v>993.29248739579634</v>
      </c>
      <c r="H8" s="81">
        <f>G7*'Q.1.Input'!$H$8</f>
        <v>83.999706340355488</v>
      </c>
      <c r="I8" s="81">
        <f t="shared" si="0"/>
        <v>139.88164811080355</v>
      </c>
      <c r="J8" s="83">
        <f>I8*(1+'Q.1.Input'!$H$9)^(-B8)</f>
        <v>85.792034445012334</v>
      </c>
    </row>
    <row r="9" spans="2:13" x14ac:dyDescent="0.35">
      <c r="B9" s="67">
        <f t="shared" si="1"/>
        <v>5</v>
      </c>
      <c r="C9" s="68">
        <f t="shared" si="1"/>
        <v>39</v>
      </c>
      <c r="E9" s="82">
        <f>'Q.1.ii'!S9</f>
        <v>757.02548674477839</v>
      </c>
      <c r="F9" s="81">
        <f>'Q.1.iii'!W9</f>
        <v>3914.2101741482911</v>
      </c>
      <c r="G9" s="81">
        <f t="shared" si="2"/>
        <v>755.31695459333423</v>
      </c>
      <c r="H9" s="81">
        <f>G8*'Q.1.Input'!$H$8</f>
        <v>69.530474117705751</v>
      </c>
      <c r="I9" s="81">
        <f t="shared" si="0"/>
        <v>71.239006269149911</v>
      </c>
      <c r="J9" s="83">
        <f>I9*(1+'Q.1.Input'!$H$9)^(-B9)</f>
        <v>38.66567848330812</v>
      </c>
    </row>
    <row r="10" spans="2:13" x14ac:dyDescent="0.35">
      <c r="B10" s="67">
        <f t="shared" si="1"/>
        <v>6</v>
      </c>
      <c r="C10" s="68">
        <f t="shared" si="1"/>
        <v>40</v>
      </c>
      <c r="E10" s="82">
        <f>'Q.1.ii'!S10</f>
        <v>447.7078383399421</v>
      </c>
      <c r="F10" s="81">
        <f>'Q.1.iii'!W10</f>
        <v>4399.8443989636726</v>
      </c>
      <c r="G10" s="81">
        <f t="shared" si="2"/>
        <v>485.63422481538146</v>
      </c>
      <c r="H10" s="81">
        <f>G9*'Q.1.Input'!$H$8</f>
        <v>52.872186821533404</v>
      </c>
      <c r="I10" s="81">
        <f t="shared" si="0"/>
        <v>14.945800346094046</v>
      </c>
      <c r="J10" s="83">
        <f>I10*(1+'Q.1.Input'!$H$9)^(-B10)</f>
        <v>7.1787448135456131</v>
      </c>
    </row>
    <row r="11" spans="2:13" x14ac:dyDescent="0.35">
      <c r="B11" s="67">
        <f t="shared" si="1"/>
        <v>7</v>
      </c>
      <c r="C11" s="68">
        <f t="shared" si="1"/>
        <v>41</v>
      </c>
      <c r="E11" s="82">
        <f>'Q.1.ii'!S11</f>
        <v>123.2035820498777</v>
      </c>
      <c r="F11" s="81">
        <f>'Q.1.iii'!W11</f>
        <v>4584.1575217175414</v>
      </c>
      <c r="G11" s="81">
        <f t="shared" si="2"/>
        <v>184.31312275386881</v>
      </c>
      <c r="H11" s="81">
        <f>G10*'Q.1.Input'!$H$8</f>
        <v>33.994395737076708</v>
      </c>
      <c r="I11" s="81">
        <f t="shared" si="0"/>
        <v>-27.115144966914407</v>
      </c>
      <c r="J11" s="83">
        <f>I11*(1+'Q.1.Input'!$H$9)^(-B11)</f>
        <v>-11.5255809749066</v>
      </c>
    </row>
    <row r="12" spans="2:13" x14ac:dyDescent="0.35">
      <c r="B12" s="67">
        <f t="shared" si="1"/>
        <v>8</v>
      </c>
      <c r="C12" s="68">
        <f t="shared" si="1"/>
        <v>42</v>
      </c>
      <c r="E12" s="82">
        <f>'Q.1.ii'!S12</f>
        <v>-211.47885436957495</v>
      </c>
      <c r="F12" s="81">
        <f>'Q.1.iii'!W12</f>
        <v>4438.6103716021389</v>
      </c>
      <c r="G12" s="81">
        <f t="shared" si="2"/>
        <v>-145.54715011540247</v>
      </c>
      <c r="H12" s="81">
        <f>G11*'Q.1.Input'!$H$8</f>
        <v>12.901918592770818</v>
      </c>
      <c r="I12" s="81">
        <f t="shared" si="0"/>
        <v>-53.029785661401654</v>
      </c>
      <c r="J12" s="83">
        <f>I12*(1+'Q.1.Input'!$H$9)^(-B12)</f>
        <v>-19.947676841553381</v>
      </c>
    </row>
    <row r="13" spans="2:13" x14ac:dyDescent="0.35">
      <c r="B13" s="67">
        <f t="shared" si="1"/>
        <v>9</v>
      </c>
      <c r="C13" s="68">
        <f t="shared" si="1"/>
        <v>43</v>
      </c>
      <c r="E13" s="82">
        <f>'Q.1.ii'!S13</f>
        <v>-548.96211405542454</v>
      </c>
      <c r="F13" s="81">
        <f>'Q.1.iii'!W13</f>
        <v>3940.3178432364075</v>
      </c>
      <c r="G13" s="81">
        <f t="shared" si="2"/>
        <v>-498.29252836573141</v>
      </c>
      <c r="H13" s="81">
        <f>G12*'Q.1.Input'!$H$8</f>
        <v>-10.188300508078175</v>
      </c>
      <c r="I13" s="81">
        <f t="shared" si="0"/>
        <v>-60.857886197771293</v>
      </c>
      <c r="J13" s="83">
        <f>I13*(1+'Q.1.Input'!$H$9)^(-B13)</f>
        <v>-20.25866730695757</v>
      </c>
    </row>
    <row r="14" spans="2:13" x14ac:dyDescent="0.35">
      <c r="B14" s="67">
        <f t="shared" si="1"/>
        <v>10</v>
      </c>
      <c r="C14" s="68">
        <f t="shared" si="1"/>
        <v>44</v>
      </c>
      <c r="E14" s="82">
        <f>'Q.1.ii'!S14</f>
        <v>-876.87348566172295</v>
      </c>
      <c r="F14" s="81">
        <f>'Q.1.iii'!W14</f>
        <v>3077.383598987115</v>
      </c>
      <c r="G14" s="81">
        <f t="shared" si="2"/>
        <v>-862.93424424929253</v>
      </c>
      <c r="H14" s="81">
        <f>G13*'Q.1.Input'!$H$8</f>
        <v>-34.880476985601206</v>
      </c>
      <c r="I14" s="81">
        <f t="shared" si="0"/>
        <v>-48.819718398031625</v>
      </c>
      <c r="J14" s="83">
        <f>I14*(1+'Q.1.Input'!$H$9)^(-B14)</f>
        <v>-14.381720198858755</v>
      </c>
    </row>
    <row r="15" spans="2:13" x14ac:dyDescent="0.35">
      <c r="B15" s="67">
        <f t="shared" si="1"/>
        <v>11</v>
      </c>
      <c r="C15" s="68">
        <f t="shared" si="1"/>
        <v>45</v>
      </c>
      <c r="E15" s="82">
        <f>'Q.1.ii'!S15</f>
        <v>-1175.5886014786765</v>
      </c>
      <c r="F15" s="81">
        <f>'Q.1.iii'!W15</f>
        <v>1856.8112519540809</v>
      </c>
      <c r="G15" s="81">
        <f t="shared" si="2"/>
        <v>-1220.572347033034</v>
      </c>
      <c r="H15" s="81">
        <f>G14*'Q.1.Input'!$H$8</f>
        <v>-60.405397097450482</v>
      </c>
      <c r="I15" s="81">
        <f t="shared" si="0"/>
        <v>-15.421651543092999</v>
      </c>
      <c r="J15" s="83">
        <f>I15*(1+'Q.1.Input'!$H$9)^(-B15)</f>
        <v>-4.0203883658906916</v>
      </c>
    </row>
    <row r="16" spans="2:13" x14ac:dyDescent="0.35">
      <c r="B16" s="67">
        <f t="shared" si="1"/>
        <v>12</v>
      </c>
      <c r="C16" s="68">
        <f t="shared" si="1"/>
        <v>46</v>
      </c>
      <c r="E16" s="82">
        <f>'Q.1.ii'!S16</f>
        <v>-1417.0171424534201</v>
      </c>
      <c r="F16" s="81">
        <f>'Q.1.iii'!W16</f>
        <v>314.10457934797159</v>
      </c>
      <c r="G16" s="81">
        <f t="shared" si="2"/>
        <v>-1542.7066726061094</v>
      </c>
      <c r="H16" s="81">
        <f>G15*'Q.1.Input'!$H$8</f>
        <v>-85.440064292312385</v>
      </c>
      <c r="I16" s="81">
        <f t="shared" si="0"/>
        <v>40.249465860376873</v>
      </c>
      <c r="J16" s="83">
        <f>I16*(1+'Q.1.Input'!$H$9)^(-B16)</f>
        <v>9.2857887546145417</v>
      </c>
    </row>
    <row r="17" spans="2:10" x14ac:dyDescent="0.35">
      <c r="B17" s="67">
        <f t="shared" si="1"/>
        <v>13</v>
      </c>
      <c r="C17" s="68">
        <f t="shared" si="1"/>
        <v>47</v>
      </c>
      <c r="E17" s="82">
        <f>'Q.1.ii'!S17</f>
        <v>-1561.1582542475644</v>
      </c>
      <c r="F17" s="81">
        <f>'Q.1.iii'!W17</f>
        <v>-1473.1116200471515</v>
      </c>
      <c r="G17" s="81">
        <f t="shared" si="2"/>
        <v>-1787.2161993951231</v>
      </c>
      <c r="H17" s="81">
        <f>G16*'Q.1.Input'!$H$8</f>
        <v>-107.98946708242767</v>
      </c>
      <c r="I17" s="81">
        <f t="shared" si="0"/>
        <v>118.06847806513105</v>
      </c>
      <c r="J17" s="83">
        <f>I17*(1+'Q.1.Input'!$H$9)^(-B17)</f>
        <v>24.105392082021549</v>
      </c>
    </row>
    <row r="18" spans="2:10" x14ac:dyDescent="0.35">
      <c r="B18" s="67">
        <f t="shared" si="1"/>
        <v>14</v>
      </c>
      <c r="C18" s="68">
        <f t="shared" si="1"/>
        <v>48</v>
      </c>
      <c r="E18" s="82">
        <f>'Q.1.ii'!S18</f>
        <v>-1556.5704420267939</v>
      </c>
      <c r="F18" s="81">
        <f>'Q.1.iii'!W18</f>
        <v>-3371.1234138083018</v>
      </c>
      <c r="G18" s="81">
        <f t="shared" si="2"/>
        <v>-1898.0117937611503</v>
      </c>
      <c r="H18" s="81">
        <f>G17*'Q.1.Input'!$H$8</f>
        <v>-125.10513395765862</v>
      </c>
      <c r="I18" s="81">
        <f t="shared" si="0"/>
        <v>216.33621777669782</v>
      </c>
      <c r="J18" s="83">
        <f>I18*(1+'Q.1.Input'!$H$9)^(-B18)</f>
        <v>39.086881654399299</v>
      </c>
    </row>
    <row r="19" spans="2:10" x14ac:dyDescent="0.35">
      <c r="B19" s="67">
        <f t="shared" si="1"/>
        <v>15</v>
      </c>
      <c r="C19" s="68">
        <f t="shared" si="1"/>
        <v>49</v>
      </c>
      <c r="E19" s="82">
        <f>'Q.1.ii'!S19</f>
        <v>-1343.1241002728884</v>
      </c>
      <c r="F19" s="81">
        <f>'Q.1.iii'!W19</f>
        <v>-5178.0742501652385</v>
      </c>
      <c r="G19" s="81">
        <f t="shared" si="2"/>
        <v>-1806.9508363569366</v>
      </c>
      <c r="H19" s="81">
        <f>G18*'Q.1.Input'!$H$8</f>
        <v>-132.86082556328054</v>
      </c>
      <c r="I19" s="81">
        <f t="shared" si="0"/>
        <v>330.96591052076769</v>
      </c>
      <c r="J19" s="83">
        <f>I19*(1+'Q.1.Input'!$H$9)^(-B19)</f>
        <v>52.918388642261462</v>
      </c>
    </row>
    <row r="20" spans="2:10" x14ac:dyDescent="0.35">
      <c r="B20" s="67">
        <f t="shared" si="1"/>
        <v>16</v>
      </c>
      <c r="C20" s="68">
        <f t="shared" si="1"/>
        <v>50</v>
      </c>
      <c r="E20" s="82">
        <f>'Q.1.ii'!S20</f>
        <v>-854.92030403843182</v>
      </c>
      <c r="F20" s="81">
        <f>'Q.1.iii'!W20</f>
        <v>-6614.1072555973988</v>
      </c>
      <c r="G20" s="81">
        <f t="shared" si="2"/>
        <v>-1436.0330054321603</v>
      </c>
      <c r="H20" s="81">
        <f>G19*'Q.1.Input'!$H$8</f>
        <v>-126.48655854498557</v>
      </c>
      <c r="I20" s="81">
        <f t="shared" si="0"/>
        <v>454.62614284874292</v>
      </c>
      <c r="J20" s="83">
        <f>I20*(1+'Q.1.Input'!$H$9)^(-B20)</f>
        <v>64.3278905329731</v>
      </c>
    </row>
    <row r="21" spans="2:10" x14ac:dyDescent="0.35">
      <c r="B21" s="67">
        <f t="shared" si="1"/>
        <v>17</v>
      </c>
      <c r="C21" s="68">
        <f t="shared" si="1"/>
        <v>51</v>
      </c>
      <c r="E21" s="82">
        <f>'Q.1.ii'!S21</f>
        <v>-24.33583899189307</v>
      </c>
      <c r="F21" s="81">
        <f>'Q.1.iii'!W21</f>
        <v>-7314.9613205023725</v>
      </c>
      <c r="G21" s="81">
        <f t="shared" si="2"/>
        <v>-700.85406490497371</v>
      </c>
      <c r="H21" s="81">
        <f>G20*'Q.1.Input'!$H$8</f>
        <v>-100.52231038025123</v>
      </c>
      <c r="I21" s="81">
        <f t="shared" si="0"/>
        <v>575.99591553282937</v>
      </c>
      <c r="J21" s="83">
        <f>I21*(1+'Q.1.Input'!$H$9)^(-B21)</f>
        <v>72.125006378837213</v>
      </c>
    </row>
    <row r="22" spans="2:10" x14ac:dyDescent="0.35">
      <c r="B22" s="67">
        <f t="shared" si="1"/>
        <v>18</v>
      </c>
      <c r="C22" s="68">
        <f t="shared" si="1"/>
        <v>52</v>
      </c>
      <c r="E22" s="82">
        <f>'Q.1.ii'!S22</f>
        <v>1215.9649509660221</v>
      </c>
      <c r="F22" s="81">
        <f>'Q.1.iii'!W22</f>
        <v>-6827.1949213373873</v>
      </c>
      <c r="G22" s="81">
        <f t="shared" si="2"/>
        <v>487.76639916498516</v>
      </c>
      <c r="H22" s="81">
        <f>G21*'Q.1.Input'!$H$8</f>
        <v>-49.059784543348165</v>
      </c>
      <c r="I22" s="81">
        <f t="shared" si="0"/>
        <v>679.13876725768876</v>
      </c>
      <c r="J22" s="83">
        <f>I22*(1+'Q.1.Input'!$H$9)^(-B22)</f>
        <v>75.256937169753698</v>
      </c>
    </row>
    <row r="23" spans="2:10" x14ac:dyDescent="0.35">
      <c r="B23" s="67">
        <f t="shared" si="1"/>
        <v>19</v>
      </c>
      <c r="C23" s="68">
        <f t="shared" si="1"/>
        <v>53</v>
      </c>
      <c r="E23" s="82">
        <f>'Q.1.ii'!S23</f>
        <v>2932.10471391801</v>
      </c>
      <c r="F23" s="81">
        <f>'Q.1.iii'!W23</f>
        <v>-4604.0488808432783</v>
      </c>
      <c r="G23" s="81">
        <f t="shared" si="2"/>
        <v>2223.146040494109</v>
      </c>
      <c r="H23" s="81">
        <f>G22*'Q.1.Input'!$H$8</f>
        <v>34.143647941548963</v>
      </c>
      <c r="I23" s="81">
        <f t="shared" si="0"/>
        <v>743.10232136544994</v>
      </c>
      <c r="J23" s="83">
        <f>I23*(1+'Q.1.Input'!$H$9)^(-B23)</f>
        <v>72.871580976205337</v>
      </c>
    </row>
    <row r="24" spans="2:10" ht="15" thickBot="1" x14ac:dyDescent="0.4">
      <c r="B24" s="69">
        <f t="shared" si="1"/>
        <v>20</v>
      </c>
      <c r="C24" s="70">
        <f t="shared" si="1"/>
        <v>54</v>
      </c>
      <c r="E24" s="84">
        <f>'Q.1.ii'!S24</f>
        <v>5190.0539281229685</v>
      </c>
      <c r="F24" s="85">
        <f>'Q.1.iii'!W24</f>
        <v>0</v>
      </c>
      <c r="G24" s="85">
        <f t="shared" si="2"/>
        <v>4604.0488808432783</v>
      </c>
      <c r="H24" s="85">
        <f>G23*'Q.1.Input'!$H$8</f>
        <v>155.62022283458765</v>
      </c>
      <c r="I24" s="85">
        <f t="shared" si="0"/>
        <v>741.62527011427778</v>
      </c>
      <c r="J24" s="86">
        <f>I24*(1+'Q.1.Input'!$H$9)^(-B24)</f>
        <v>64.35994286051357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8C14A-CD54-4F58-8849-F8502C70113C}">
  <dimension ref="B3:L5"/>
  <sheetViews>
    <sheetView showGridLines="0" workbookViewId="0">
      <selection activeCell="B3" sqref="B3"/>
    </sheetView>
  </sheetViews>
  <sheetFormatPr defaultRowHeight="14.5" x14ac:dyDescent="0.35"/>
  <cols>
    <col min="2" max="2" width="10" bestFit="1" customWidth="1"/>
    <col min="5" max="5" width="9.1796875" bestFit="1" customWidth="1"/>
    <col min="6" max="8" width="9.1796875" customWidth="1"/>
    <col min="9" max="10" width="9.1796875" bestFit="1" customWidth="1"/>
    <col min="12" max="12" width="25.1796875" bestFit="1" customWidth="1"/>
    <col min="13" max="13" width="7.81640625" customWidth="1"/>
  </cols>
  <sheetData>
    <row r="3" spans="2:12" x14ac:dyDescent="0.35">
      <c r="B3" t="s">
        <v>130</v>
      </c>
      <c r="L3" s="23"/>
    </row>
    <row r="4" spans="2:12" ht="13.5" customHeight="1" x14ac:dyDescent="0.35">
      <c r="B4" t="s">
        <v>131</v>
      </c>
      <c r="L4" s="23"/>
    </row>
    <row r="5" spans="2:12" x14ac:dyDescent="0.35">
      <c r="B5" t="s">
        <v>132</v>
      </c>
      <c r="L5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59BB-0031-42DF-A5FF-6D94A54C4C75}">
  <dimension ref="B2:J44"/>
  <sheetViews>
    <sheetView showGridLines="0" workbookViewId="0"/>
  </sheetViews>
  <sheetFormatPr defaultRowHeight="14.5" x14ac:dyDescent="0.35"/>
  <cols>
    <col min="2" max="2" width="9.08984375" bestFit="1" customWidth="1"/>
    <col min="3" max="3" width="10.36328125" bestFit="1" customWidth="1"/>
    <col min="8" max="8" width="4.54296875" bestFit="1" customWidth="1"/>
    <col min="9" max="9" width="16.453125" bestFit="1" customWidth="1"/>
    <col min="10" max="10" width="11.08984375" bestFit="1" customWidth="1"/>
  </cols>
  <sheetData>
    <row r="2" spans="2:10" x14ac:dyDescent="0.35">
      <c r="B2" s="1" t="s">
        <v>57</v>
      </c>
      <c r="H2" s="2" t="s">
        <v>66</v>
      </c>
      <c r="I2" s="2" t="s">
        <v>67</v>
      </c>
      <c r="J2" s="2" t="s">
        <v>68</v>
      </c>
    </row>
    <row r="3" spans="2:10" x14ac:dyDescent="0.35">
      <c r="B3" s="2" t="s">
        <v>37</v>
      </c>
      <c r="C3" s="2" t="s">
        <v>56</v>
      </c>
      <c r="H3" s="26">
        <v>1</v>
      </c>
      <c r="I3" s="36">
        <v>30</v>
      </c>
      <c r="J3" s="26">
        <v>100</v>
      </c>
    </row>
    <row r="4" spans="2:10" x14ac:dyDescent="0.35">
      <c r="B4" s="35">
        <v>44197</v>
      </c>
      <c r="C4" s="36">
        <v>100</v>
      </c>
      <c r="H4" s="26">
        <f>H3+1</f>
        <v>2</v>
      </c>
      <c r="I4" s="36">
        <v>30.471774193548399</v>
      </c>
      <c r="J4" s="26">
        <v>104.71774193548397</v>
      </c>
    </row>
    <row r="5" spans="2:10" x14ac:dyDescent="0.35">
      <c r="B5" s="35">
        <v>44287</v>
      </c>
      <c r="C5" s="36">
        <v>100.78629032258067</v>
      </c>
      <c r="G5" s="19"/>
      <c r="H5" s="26">
        <f t="shared" ref="H5:H32" si="0">H4+1</f>
        <v>3</v>
      </c>
      <c r="I5" s="36">
        <v>30.944768897448242</v>
      </c>
      <c r="J5" s="26">
        <v>109.59415021665862</v>
      </c>
    </row>
    <row r="6" spans="2:10" x14ac:dyDescent="0.35">
      <c r="B6" s="35">
        <v>44378</v>
      </c>
      <c r="C6" s="36">
        <v>101.56851227732307</v>
      </c>
      <c r="G6" s="19"/>
      <c r="H6" s="26">
        <f t="shared" si="0"/>
        <v>4</v>
      </c>
      <c r="I6" s="36">
        <v>31.418971642831544</v>
      </c>
      <c r="J6" s="26">
        <v>114.63246674921234</v>
      </c>
    </row>
    <row r="7" spans="2:10" x14ac:dyDescent="0.35">
      <c r="B7" s="35">
        <v>44470</v>
      </c>
      <c r="C7" s="36">
        <v>102.34673859929077</v>
      </c>
      <c r="G7" s="19"/>
      <c r="H7" s="26">
        <f t="shared" si="0"/>
        <v>5</v>
      </c>
      <c r="I7" s="36">
        <v>31.89437024382881</v>
      </c>
      <c r="J7" s="26">
        <v>119.83595796537452</v>
      </c>
    </row>
    <row r="8" spans="2:10" x14ac:dyDescent="0.35">
      <c r="B8" s="35">
        <v>44562</v>
      </c>
      <c r="C8" s="36">
        <v>103.1210398224474</v>
      </c>
      <c r="G8" s="19"/>
      <c r="H8" s="26">
        <f t="shared" si="0"/>
        <v>6</v>
      </c>
      <c r="I8" s="36">
        <v>32.138927715346966</v>
      </c>
      <c r="J8" s="26">
        <v>122.59256786106339</v>
      </c>
    </row>
    <row r="9" spans="2:10" x14ac:dyDescent="0.35">
      <c r="B9" s="35">
        <v>44652</v>
      </c>
      <c r="C9" s="36">
        <v>103.5163920517986</v>
      </c>
      <c r="G9" s="19"/>
      <c r="H9" s="26">
        <f t="shared" si="0"/>
        <v>7</v>
      </c>
      <c r="I9" s="36">
        <v>32.383795736035331</v>
      </c>
      <c r="J9" s="26">
        <v>125.39468369788779</v>
      </c>
    </row>
    <row r="10" spans="2:10" x14ac:dyDescent="0.35">
      <c r="B10" s="35">
        <v>44743</v>
      </c>
      <c r="C10" s="36">
        <v>103.91074021199594</v>
      </c>
      <c r="G10" s="19"/>
      <c r="H10" s="26">
        <f t="shared" si="0"/>
        <v>8</v>
      </c>
      <c r="I10" s="36">
        <v>32.628972738453278</v>
      </c>
      <c r="J10" s="26">
        <v>128.24276484181476</v>
      </c>
    </row>
    <row r="11" spans="2:10" x14ac:dyDescent="0.35">
      <c r="B11" s="35">
        <v>44835</v>
      </c>
      <c r="C11" s="36">
        <v>104.30409317178901</v>
      </c>
      <c r="G11" s="19"/>
      <c r="H11" s="26">
        <f t="shared" si="0"/>
        <v>9</v>
      </c>
      <c r="I11" s="36">
        <v>32.874457172849155</v>
      </c>
      <c r="J11" s="26">
        <v>131.1372723868337</v>
      </c>
    </row>
    <row r="12" spans="2:10" x14ac:dyDescent="0.35">
      <c r="B12" s="35">
        <v>44927</v>
      </c>
      <c r="C12" s="36">
        <v>104.69645966647911</v>
      </c>
      <c r="G12" s="19"/>
      <c r="H12" s="26">
        <f t="shared" si="0"/>
        <v>10</v>
      </c>
      <c r="I12" s="36">
        <v>33.060809473683598</v>
      </c>
      <c r="J12" s="26">
        <v>133.36736844341183</v>
      </c>
    </row>
    <row r="13" spans="2:10" x14ac:dyDescent="0.35">
      <c r="B13" s="35">
        <v>45017</v>
      </c>
      <c r="C13" s="36">
        <v>104.99320108559192</v>
      </c>
      <c r="G13" s="19"/>
      <c r="H13" s="26">
        <f t="shared" si="0"/>
        <v>11</v>
      </c>
      <c r="I13" s="36">
        <v>33.247337006338014</v>
      </c>
      <c r="J13" s="26">
        <v>135.62472571037443</v>
      </c>
    </row>
    <row r="14" spans="2:10" x14ac:dyDescent="0.35">
      <c r="B14" s="35">
        <v>45108</v>
      </c>
      <c r="C14" s="36">
        <v>105.28938443765978</v>
      </c>
      <c r="G14" s="19"/>
      <c r="H14" s="26">
        <f t="shared" si="0"/>
        <v>12</v>
      </c>
      <c r="I14" s="36">
        <v>33.434039114796938</v>
      </c>
      <c r="J14" s="26">
        <v>137.90954830333544</v>
      </c>
    </row>
    <row r="15" spans="2:10" x14ac:dyDescent="0.35">
      <c r="B15" s="35">
        <v>45200</v>
      </c>
      <c r="C15" s="36">
        <v>105.58501337884543</v>
      </c>
      <c r="G15" s="19"/>
      <c r="H15" s="26">
        <f t="shared" si="0"/>
        <v>13</v>
      </c>
      <c r="I15" s="36">
        <v>33.620915148545009</v>
      </c>
      <c r="J15" s="26">
        <v>140.22204090835029</v>
      </c>
    </row>
    <row r="16" spans="2:10" x14ac:dyDescent="0.35">
      <c r="B16" s="35">
        <v>45292</v>
      </c>
      <c r="C16" s="36">
        <v>105.88009152444022</v>
      </c>
      <c r="G16" s="19"/>
      <c r="H16" s="26">
        <f t="shared" si="0"/>
        <v>14</v>
      </c>
      <c r="I16" s="36">
        <v>33.745779620210833</v>
      </c>
      <c r="J16" s="26">
        <v>141.78434975478419</v>
      </c>
    </row>
    <row r="17" spans="2:10" x14ac:dyDescent="0.35">
      <c r="B17" s="35">
        <v>45383</v>
      </c>
      <c r="C17" s="36">
        <v>106.07670517445118</v>
      </c>
      <c r="G17" s="19"/>
      <c r="H17" s="26">
        <f t="shared" si="0"/>
        <v>15</v>
      </c>
      <c r="I17" s="36">
        <v>33.870721142287735</v>
      </c>
      <c r="J17" s="26">
        <v>143.35919134959241</v>
      </c>
    </row>
    <row r="18" spans="2:10" x14ac:dyDescent="0.35">
      <c r="B18" s="35">
        <v>45474</v>
      </c>
      <c r="C18" s="36">
        <v>106.27307617477415</v>
      </c>
      <c r="G18" s="19"/>
      <c r="H18" s="26">
        <f t="shared" si="0"/>
        <v>16</v>
      </c>
      <c r="I18" s="36">
        <v>33.995739525177953</v>
      </c>
      <c r="J18" s="26">
        <v>144.94662737137224</v>
      </c>
    </row>
    <row r="19" spans="2:10" x14ac:dyDescent="0.35">
      <c r="B19" s="35">
        <v>45566</v>
      </c>
      <c r="C19" s="36">
        <v>106.46920557031206</v>
      </c>
      <c r="G19" s="19"/>
      <c r="H19" s="26">
        <f t="shared" si="0"/>
        <v>17</v>
      </c>
      <c r="I19" s="36">
        <v>34.120834580330232</v>
      </c>
      <c r="J19" s="26">
        <v>146.54671961220112</v>
      </c>
    </row>
    <row r="20" spans="2:10" x14ac:dyDescent="0.35">
      <c r="B20" s="35">
        <v>45658</v>
      </c>
      <c r="C20" s="36">
        <v>106.66509439827789</v>
      </c>
      <c r="G20" s="19"/>
      <c r="H20" s="26">
        <f t="shared" si="0"/>
        <v>18</v>
      </c>
      <c r="I20" s="36">
        <v>34.334926091422517</v>
      </c>
      <c r="J20" s="26">
        <v>149.30524609901926</v>
      </c>
    </row>
    <row r="21" spans="2:10" x14ac:dyDescent="0.35">
      <c r="B21" s="35">
        <v>45748</v>
      </c>
      <c r="C21" s="36">
        <v>106.99972998854702</v>
      </c>
      <c r="G21" s="19"/>
      <c r="H21" s="26">
        <f t="shared" si="0"/>
        <v>19</v>
      </c>
      <c r="I21" s="36">
        <v>34.549240324502897</v>
      </c>
      <c r="J21" s="26">
        <v>152.10107905587967</v>
      </c>
    </row>
    <row r="22" spans="2:10" x14ac:dyDescent="0.35">
      <c r="B22" s="35">
        <v>45839</v>
      </c>
      <c r="C22" s="36">
        <v>107.33366932791306</v>
      </c>
      <c r="G22" s="19"/>
      <c r="H22" s="26">
        <f t="shared" si="0"/>
        <v>20</v>
      </c>
      <c r="I22" s="36">
        <v>34.76377635756581</v>
      </c>
      <c r="J22" s="26">
        <v>154.93452735912012</v>
      </c>
    </row>
    <row r="23" spans="2:10" x14ac:dyDescent="0.35">
      <c r="B23" s="35">
        <v>45931</v>
      </c>
      <c r="C23" s="36">
        <v>107.66691746036716</v>
      </c>
      <c r="G23" s="19"/>
      <c r="H23" s="26">
        <f t="shared" si="0"/>
        <v>21</v>
      </c>
      <c r="I23" s="36">
        <v>34.978533277149204</v>
      </c>
      <c r="J23" s="26">
        <v>157.80590083913441</v>
      </c>
    </row>
    <row r="24" spans="2:10" x14ac:dyDescent="0.35">
      <c r="B24" s="35">
        <v>46023</v>
      </c>
      <c r="C24" s="36">
        <v>107.99947936758062</v>
      </c>
      <c r="G24" s="19"/>
      <c r="H24" s="26">
        <f t="shared" si="0"/>
        <v>22</v>
      </c>
      <c r="I24" s="36">
        <v>35.198006427123488</v>
      </c>
      <c r="J24" s="26">
        <v>160.77636485493014</v>
      </c>
    </row>
    <row r="25" spans="2:10" x14ac:dyDescent="0.35">
      <c r="B25" s="35">
        <v>46113</v>
      </c>
      <c r="C25" s="36">
        <v>108.3383012636358</v>
      </c>
      <c r="G25" s="19"/>
      <c r="H25" s="26">
        <f t="shared" si="0"/>
        <v>23</v>
      </c>
      <c r="I25" s="36">
        <v>35.417707897669878</v>
      </c>
      <c r="J25" s="26">
        <v>163.78700159603645</v>
      </c>
    </row>
    <row r="26" spans="2:10" x14ac:dyDescent="0.35">
      <c r="B26" s="35">
        <v>46204</v>
      </c>
      <c r="C26" s="36">
        <v>108.67641819865881</v>
      </c>
      <c r="G26" s="19"/>
      <c r="H26" s="26">
        <f t="shared" si="0"/>
        <v>24</v>
      </c>
      <c r="I26" s="36">
        <v>35.637636743606272</v>
      </c>
      <c r="J26" s="26">
        <v>166.83814366975335</v>
      </c>
    </row>
    <row r="27" spans="2:10" x14ac:dyDescent="0.35">
      <c r="B27" s="35">
        <v>46296</v>
      </c>
      <c r="C27" s="36">
        <v>109.01383527974136</v>
      </c>
      <c r="G27" s="19"/>
      <c r="H27" s="26">
        <f t="shared" si="0"/>
        <v>25</v>
      </c>
      <c r="I27" s="36">
        <v>35.85779202850884</v>
      </c>
      <c r="J27" s="26">
        <v>169.93012471073689</v>
      </c>
    </row>
    <row r="28" spans="2:10" x14ac:dyDescent="0.35">
      <c r="B28" s="35">
        <v>46388</v>
      </c>
      <c r="C28" s="36">
        <v>109.35055755087566</v>
      </c>
      <c r="G28" s="19"/>
      <c r="H28" s="26">
        <f t="shared" si="0"/>
        <v>26</v>
      </c>
      <c r="I28" s="36">
        <v>36.082782096138715</v>
      </c>
      <c r="J28" s="26">
        <v>173.12880941117456</v>
      </c>
    </row>
    <row r="29" spans="2:10" x14ac:dyDescent="0.35">
      <c r="B29" s="35">
        <v>46478</v>
      </c>
      <c r="C29" s="36">
        <v>109.69361812358432</v>
      </c>
      <c r="G29" s="19"/>
      <c r="H29" s="26">
        <f t="shared" si="0"/>
        <v>27</v>
      </c>
      <c r="I29" s="36">
        <v>36.308006223656854</v>
      </c>
      <c r="J29" s="26">
        <v>176.37075330652002</v>
      </c>
    </row>
    <row r="30" spans="2:10" x14ac:dyDescent="0.35">
      <c r="B30" s="35">
        <v>46569</v>
      </c>
      <c r="C30" s="36">
        <v>110.03596491616764</v>
      </c>
      <c r="G30" s="19"/>
      <c r="H30" s="26">
        <f t="shared" si="0"/>
        <v>28</v>
      </c>
      <c r="I30" s="36">
        <v>36.53346344212202</v>
      </c>
      <c r="J30" s="26">
        <v>179.65631455828475</v>
      </c>
    </row>
    <row r="31" spans="2:10" x14ac:dyDescent="0.35">
      <c r="B31" s="35">
        <v>46661</v>
      </c>
      <c r="C31" s="36">
        <v>110.37760309960727</v>
      </c>
      <c r="G31" s="19"/>
      <c r="H31" s="26">
        <f t="shared" si="0"/>
        <v>29</v>
      </c>
      <c r="I31" s="36">
        <v>36.759152791571402</v>
      </c>
      <c r="J31" s="26">
        <v>182.98585243426805</v>
      </c>
    </row>
    <row r="32" spans="2:10" x14ac:dyDescent="0.35">
      <c r="B32" s="35">
        <v>46753</v>
      </c>
      <c r="C32" s="36">
        <v>110.71853778099599</v>
      </c>
      <c r="G32" s="19"/>
      <c r="H32" s="26">
        <f t="shared" si="0"/>
        <v>30</v>
      </c>
      <c r="I32" s="36">
        <v>36.989798456145991</v>
      </c>
      <c r="J32" s="26">
        <v>186.43029200950161</v>
      </c>
    </row>
    <row r="33" spans="2:7" x14ac:dyDescent="0.35">
      <c r="B33" s="35">
        <v>46844</v>
      </c>
      <c r="C33" s="36">
        <v>111.06589005638737</v>
      </c>
      <c r="G33" s="19"/>
    </row>
    <row r="34" spans="2:7" x14ac:dyDescent="0.35">
      <c r="B34" s="35">
        <v>46935</v>
      </c>
      <c r="C34" s="36">
        <v>111.41251962223309</v>
      </c>
      <c r="G34" s="19"/>
    </row>
    <row r="35" spans="2:7" x14ac:dyDescent="0.35">
      <c r="B35" s="35">
        <v>47027</v>
      </c>
      <c r="C35" s="36">
        <v>111.75843171420384</v>
      </c>
      <c r="G35" s="19"/>
    </row>
    <row r="36" spans="2:7" x14ac:dyDescent="0.35">
      <c r="B36" s="35">
        <v>47119</v>
      </c>
      <c r="C36" s="36">
        <v>112.10363150328243</v>
      </c>
      <c r="G36" s="19"/>
    </row>
    <row r="37" spans="2:7" x14ac:dyDescent="0.35">
      <c r="B37" s="35">
        <v>47209</v>
      </c>
      <c r="C37" s="36">
        <v>112.45532917074374</v>
      </c>
      <c r="G37" s="19"/>
    </row>
    <row r="38" spans="2:7" x14ac:dyDescent="0.35">
      <c r="B38" s="35">
        <v>47300</v>
      </c>
      <c r="C38" s="36">
        <v>112.80629508753145</v>
      </c>
      <c r="G38" s="19"/>
    </row>
    <row r="39" spans="2:7" x14ac:dyDescent="0.35">
      <c r="B39" s="35">
        <v>47392</v>
      </c>
      <c r="C39" s="36">
        <v>113.1565345548149</v>
      </c>
      <c r="G39" s="19"/>
    </row>
    <row r="40" spans="2:7" x14ac:dyDescent="0.35">
      <c r="B40" s="35">
        <v>47484</v>
      </c>
      <c r="C40" s="36">
        <v>113.50605280826602</v>
      </c>
      <c r="G40" s="19"/>
    </row>
    <row r="41" spans="2:7" x14ac:dyDescent="0.35">
      <c r="B41" s="35">
        <v>47574</v>
      </c>
      <c r="C41" s="36">
        <v>113.862150228841</v>
      </c>
      <c r="G41" s="19"/>
    </row>
    <row r="42" spans="2:7" x14ac:dyDescent="0.35">
      <c r="B42" s="35">
        <v>47665</v>
      </c>
      <c r="C42" s="36">
        <v>114.21750674450965</v>
      </c>
      <c r="G42" s="19"/>
    </row>
    <row r="43" spans="2:7" x14ac:dyDescent="0.35">
      <c r="B43" s="35">
        <v>47757</v>
      </c>
      <c r="C43" s="36">
        <v>114.57212772275913</v>
      </c>
      <c r="G43" s="19"/>
    </row>
    <row r="44" spans="2:7" x14ac:dyDescent="0.35">
      <c r="B44" s="35">
        <v>47849</v>
      </c>
      <c r="C44" s="36">
        <v>114.92601846475989</v>
      </c>
      <c r="G44" s="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F9F1-BAE0-4AE0-A8C4-C27907F19E83}">
  <dimension ref="B2:K73"/>
  <sheetViews>
    <sheetView showGridLines="0" workbookViewId="0">
      <selection activeCell="K8" sqref="K8"/>
    </sheetView>
  </sheetViews>
  <sheetFormatPr defaultRowHeight="14.5" x14ac:dyDescent="0.35"/>
  <cols>
    <col min="2" max="2" width="20.6328125" bestFit="1" customWidth="1"/>
    <col min="3" max="3" width="10.08984375" customWidth="1"/>
    <col min="5" max="5" width="13.08984375" customWidth="1"/>
    <col min="6" max="6" width="10.453125" bestFit="1" customWidth="1"/>
    <col min="9" max="9" width="10.81640625" bestFit="1" customWidth="1"/>
    <col min="11" max="11" width="13.54296875" customWidth="1"/>
    <col min="13" max="13" width="20.6328125" bestFit="1" customWidth="1"/>
    <col min="20" max="20" width="10.81640625" bestFit="1" customWidth="1"/>
    <col min="22" max="22" width="20.36328125" customWidth="1"/>
  </cols>
  <sheetData>
    <row r="2" spans="2:11" x14ac:dyDescent="0.35">
      <c r="B2" s="26" t="s">
        <v>39</v>
      </c>
      <c r="C2" s="43">
        <v>0.06</v>
      </c>
    </row>
    <row r="3" spans="2:11" x14ac:dyDescent="0.35">
      <c r="B3" s="26" t="s">
        <v>40</v>
      </c>
      <c r="C3" s="26">
        <v>100</v>
      </c>
      <c r="J3" s="59"/>
    </row>
    <row r="4" spans="2:11" x14ac:dyDescent="0.35">
      <c r="B4" s="26" t="s">
        <v>41</v>
      </c>
      <c r="C4" s="26">
        <v>100</v>
      </c>
    </row>
    <row r="5" spans="2:11" ht="15" thickBot="1" x14ac:dyDescent="0.4">
      <c r="D5" s="23"/>
      <c r="E5" s="23"/>
      <c r="F5" s="23"/>
      <c r="G5" s="23"/>
    </row>
    <row r="6" spans="2:11" ht="29" x14ac:dyDescent="0.35">
      <c r="B6" s="6" t="s">
        <v>37</v>
      </c>
      <c r="C6" s="7" t="s">
        <v>38</v>
      </c>
      <c r="D6" s="7" t="s">
        <v>42</v>
      </c>
      <c r="E6" s="7" t="s">
        <v>43</v>
      </c>
      <c r="F6" s="7" t="s">
        <v>44</v>
      </c>
      <c r="G6" s="8" t="s">
        <v>45</v>
      </c>
      <c r="I6" s="15" t="s">
        <v>48</v>
      </c>
      <c r="J6" s="31">
        <f>SUM(G7:G47)</f>
        <v>95.000000824192739</v>
      </c>
      <c r="K6" s="49" t="s">
        <v>55</v>
      </c>
    </row>
    <row r="7" spans="2:11" x14ac:dyDescent="0.35">
      <c r="B7" s="37">
        <v>44197</v>
      </c>
      <c r="C7" s="26">
        <v>0</v>
      </c>
      <c r="D7" s="36">
        <v>0</v>
      </c>
      <c r="E7" s="36">
        <v>0</v>
      </c>
      <c r="F7" s="36">
        <f t="shared" ref="F7:F47" si="0">D7+E7</f>
        <v>0</v>
      </c>
      <c r="G7" s="38">
        <f t="shared" ref="G7:G47" si="1">F7*(1+$J$8)^(-C7/12)</f>
        <v>0</v>
      </c>
      <c r="I7" s="26" t="s">
        <v>46</v>
      </c>
      <c r="J7" s="26">
        <v>95</v>
      </c>
    </row>
    <row r="8" spans="2:11" x14ac:dyDescent="0.35">
      <c r="B8" s="37">
        <f t="shared" ref="B8:B47" si="2">EDATE(B7,3)</f>
        <v>44287</v>
      </c>
      <c r="C8" s="26">
        <f t="shared" ref="C8:C47" si="3">C7+3</f>
        <v>3</v>
      </c>
      <c r="D8" s="36">
        <v>0</v>
      </c>
      <c r="E8" s="36">
        <v>0</v>
      </c>
      <c r="F8" s="36">
        <f t="shared" si="0"/>
        <v>0</v>
      </c>
      <c r="G8" s="38">
        <f t="shared" si="1"/>
        <v>0</v>
      </c>
      <c r="I8" s="27" t="s">
        <v>47</v>
      </c>
      <c r="J8" s="29">
        <v>6.8059228741399858E-2</v>
      </c>
      <c r="K8" s="23"/>
    </row>
    <row r="9" spans="2:11" x14ac:dyDescent="0.35">
      <c r="B9" s="37">
        <f t="shared" si="2"/>
        <v>44378</v>
      </c>
      <c r="C9" s="26">
        <f t="shared" si="3"/>
        <v>6</v>
      </c>
      <c r="D9" s="36">
        <f>$C$2/2*$C$3</f>
        <v>3</v>
      </c>
      <c r="E9" s="36">
        <v>0</v>
      </c>
      <c r="F9" s="36">
        <f t="shared" si="0"/>
        <v>3</v>
      </c>
      <c r="G9" s="38">
        <f t="shared" si="1"/>
        <v>2.9028432576580818</v>
      </c>
    </row>
    <row r="10" spans="2:11" x14ac:dyDescent="0.35">
      <c r="B10" s="37">
        <f t="shared" si="2"/>
        <v>44470</v>
      </c>
      <c r="C10" s="26">
        <f t="shared" si="3"/>
        <v>9</v>
      </c>
      <c r="D10" s="36">
        <v>0</v>
      </c>
      <c r="E10" s="36">
        <v>0</v>
      </c>
      <c r="F10" s="36">
        <f t="shared" si="0"/>
        <v>0</v>
      </c>
      <c r="G10" s="38">
        <f t="shared" si="1"/>
        <v>0</v>
      </c>
    </row>
    <row r="11" spans="2:11" x14ac:dyDescent="0.35">
      <c r="B11" s="37">
        <f t="shared" si="2"/>
        <v>44562</v>
      </c>
      <c r="C11" s="26">
        <f t="shared" si="3"/>
        <v>12</v>
      </c>
      <c r="D11" s="36">
        <f t="shared" ref="D11:D47" si="4">D9</f>
        <v>3</v>
      </c>
      <c r="E11" s="36">
        <v>0</v>
      </c>
      <c r="F11" s="36">
        <f t="shared" si="0"/>
        <v>3</v>
      </c>
      <c r="G11" s="38">
        <f t="shared" si="1"/>
        <v>2.8088329928436622</v>
      </c>
    </row>
    <row r="12" spans="2:11" x14ac:dyDescent="0.35">
      <c r="B12" s="37">
        <f t="shared" si="2"/>
        <v>44652</v>
      </c>
      <c r="C12" s="26">
        <f t="shared" si="3"/>
        <v>15</v>
      </c>
      <c r="D12" s="36">
        <f t="shared" si="4"/>
        <v>0</v>
      </c>
      <c r="E12" s="36">
        <v>0</v>
      </c>
      <c r="F12" s="36">
        <f t="shared" si="0"/>
        <v>0</v>
      </c>
      <c r="G12" s="38">
        <f t="shared" si="1"/>
        <v>0</v>
      </c>
    </row>
    <row r="13" spans="2:11" x14ac:dyDescent="0.35">
      <c r="B13" s="37">
        <f t="shared" si="2"/>
        <v>44743</v>
      </c>
      <c r="C13" s="26">
        <f t="shared" si="3"/>
        <v>18</v>
      </c>
      <c r="D13" s="36">
        <f t="shared" si="4"/>
        <v>3</v>
      </c>
      <c r="E13" s="36">
        <v>0</v>
      </c>
      <c r="F13" s="36">
        <f t="shared" si="0"/>
        <v>3</v>
      </c>
      <c r="G13" s="38">
        <f t="shared" si="1"/>
        <v>2.7178673050545994</v>
      </c>
    </row>
    <row r="14" spans="2:11" x14ac:dyDescent="0.35">
      <c r="B14" s="37">
        <f t="shared" si="2"/>
        <v>44835</v>
      </c>
      <c r="C14" s="26">
        <f t="shared" si="3"/>
        <v>21</v>
      </c>
      <c r="D14" s="36">
        <f t="shared" si="4"/>
        <v>0</v>
      </c>
      <c r="E14" s="36">
        <v>0</v>
      </c>
      <c r="F14" s="36">
        <f t="shared" si="0"/>
        <v>0</v>
      </c>
      <c r="G14" s="38">
        <f t="shared" si="1"/>
        <v>0</v>
      </c>
    </row>
    <row r="15" spans="2:11" x14ac:dyDescent="0.35">
      <c r="B15" s="37">
        <f t="shared" si="2"/>
        <v>44927</v>
      </c>
      <c r="C15" s="26">
        <f t="shared" si="3"/>
        <v>24</v>
      </c>
      <c r="D15" s="36">
        <f t="shared" si="4"/>
        <v>3</v>
      </c>
      <c r="E15" s="36">
        <v>0</v>
      </c>
      <c r="F15" s="36">
        <f t="shared" si="0"/>
        <v>3</v>
      </c>
      <c r="G15" s="38">
        <f t="shared" si="1"/>
        <v>2.6298475938956951</v>
      </c>
    </row>
    <row r="16" spans="2:11" x14ac:dyDescent="0.35">
      <c r="B16" s="37">
        <f t="shared" si="2"/>
        <v>45017</v>
      </c>
      <c r="C16" s="26">
        <f t="shared" si="3"/>
        <v>27</v>
      </c>
      <c r="D16" s="36">
        <f t="shared" si="4"/>
        <v>0</v>
      </c>
      <c r="E16" s="36">
        <v>0</v>
      </c>
      <c r="F16" s="36">
        <f t="shared" si="0"/>
        <v>0</v>
      </c>
      <c r="G16" s="38">
        <f t="shared" si="1"/>
        <v>0</v>
      </c>
    </row>
    <row r="17" spans="2:7" x14ac:dyDescent="0.35">
      <c r="B17" s="37">
        <f t="shared" si="2"/>
        <v>45108</v>
      </c>
      <c r="C17" s="26">
        <f t="shared" si="3"/>
        <v>30</v>
      </c>
      <c r="D17" s="36">
        <f t="shared" si="4"/>
        <v>3</v>
      </c>
      <c r="E17" s="36">
        <v>0</v>
      </c>
      <c r="F17" s="36">
        <f t="shared" si="0"/>
        <v>3</v>
      </c>
      <c r="G17" s="38">
        <f t="shared" si="1"/>
        <v>2.5446784522028159</v>
      </c>
    </row>
    <row r="18" spans="2:7" x14ac:dyDescent="0.35">
      <c r="B18" s="37">
        <f t="shared" si="2"/>
        <v>45200</v>
      </c>
      <c r="C18" s="26">
        <f t="shared" si="3"/>
        <v>33</v>
      </c>
      <c r="D18" s="36">
        <f t="shared" si="4"/>
        <v>0</v>
      </c>
      <c r="E18" s="36">
        <v>0</v>
      </c>
      <c r="F18" s="36">
        <f t="shared" si="0"/>
        <v>0</v>
      </c>
      <c r="G18" s="38">
        <f t="shared" si="1"/>
        <v>0</v>
      </c>
    </row>
    <row r="19" spans="2:7" x14ac:dyDescent="0.35">
      <c r="B19" s="37">
        <f t="shared" si="2"/>
        <v>45292</v>
      </c>
      <c r="C19" s="26">
        <f t="shared" si="3"/>
        <v>36</v>
      </c>
      <c r="D19" s="36">
        <f t="shared" si="4"/>
        <v>3</v>
      </c>
      <c r="E19" s="36">
        <v>0</v>
      </c>
      <c r="F19" s="36">
        <f t="shared" si="0"/>
        <v>3</v>
      </c>
      <c r="G19" s="38">
        <f t="shared" si="1"/>
        <v>2.4622675626282495</v>
      </c>
    </row>
    <row r="20" spans="2:7" x14ac:dyDescent="0.35">
      <c r="B20" s="37">
        <f t="shared" si="2"/>
        <v>45383</v>
      </c>
      <c r="C20" s="26">
        <f t="shared" si="3"/>
        <v>39</v>
      </c>
      <c r="D20" s="36">
        <f t="shared" si="4"/>
        <v>0</v>
      </c>
      <c r="E20" s="36">
        <v>0</v>
      </c>
      <c r="F20" s="36">
        <f t="shared" si="0"/>
        <v>0</v>
      </c>
      <c r="G20" s="38">
        <f t="shared" si="1"/>
        <v>0</v>
      </c>
    </row>
    <row r="21" spans="2:7" x14ac:dyDescent="0.35">
      <c r="B21" s="37">
        <f t="shared" si="2"/>
        <v>45474</v>
      </c>
      <c r="C21" s="26">
        <f t="shared" si="3"/>
        <v>42</v>
      </c>
      <c r="D21" s="36">
        <f t="shared" si="4"/>
        <v>3</v>
      </c>
      <c r="E21" s="36">
        <v>0</v>
      </c>
      <c r="F21" s="36">
        <f t="shared" si="0"/>
        <v>3</v>
      </c>
      <c r="G21" s="38">
        <f t="shared" si="1"/>
        <v>2.3825255975752047</v>
      </c>
    </row>
    <row r="22" spans="2:7" x14ac:dyDescent="0.35">
      <c r="B22" s="37">
        <f t="shared" si="2"/>
        <v>45566</v>
      </c>
      <c r="C22" s="26">
        <f t="shared" si="3"/>
        <v>45</v>
      </c>
      <c r="D22" s="36">
        <f t="shared" si="4"/>
        <v>0</v>
      </c>
      <c r="E22" s="36">
        <v>0</v>
      </c>
      <c r="F22" s="36">
        <f t="shared" si="0"/>
        <v>0</v>
      </c>
      <c r="G22" s="38">
        <f t="shared" si="1"/>
        <v>0</v>
      </c>
    </row>
    <row r="23" spans="2:7" x14ac:dyDescent="0.35">
      <c r="B23" s="37">
        <f t="shared" si="2"/>
        <v>45658</v>
      </c>
      <c r="C23" s="26">
        <f t="shared" si="3"/>
        <v>48</v>
      </c>
      <c r="D23" s="36">
        <f t="shared" si="4"/>
        <v>3</v>
      </c>
      <c r="E23" s="36">
        <v>0</v>
      </c>
      <c r="F23" s="36">
        <f t="shared" si="0"/>
        <v>3</v>
      </c>
      <c r="G23" s="38">
        <f t="shared" si="1"/>
        <v>2.305366122372992</v>
      </c>
    </row>
    <row r="24" spans="2:7" x14ac:dyDescent="0.35">
      <c r="B24" s="37">
        <f t="shared" si="2"/>
        <v>45748</v>
      </c>
      <c r="C24" s="26">
        <f t="shared" si="3"/>
        <v>51</v>
      </c>
      <c r="D24" s="36">
        <f t="shared" si="4"/>
        <v>0</v>
      </c>
      <c r="E24" s="36">
        <v>0</v>
      </c>
      <c r="F24" s="36">
        <f t="shared" si="0"/>
        <v>0</v>
      </c>
      <c r="G24" s="38">
        <f t="shared" si="1"/>
        <v>0</v>
      </c>
    </row>
    <row r="25" spans="2:7" x14ac:dyDescent="0.35">
      <c r="B25" s="37">
        <f t="shared" si="2"/>
        <v>45839</v>
      </c>
      <c r="C25" s="26">
        <f t="shared" si="3"/>
        <v>54</v>
      </c>
      <c r="D25" s="36">
        <f t="shared" si="4"/>
        <v>3</v>
      </c>
      <c r="E25" s="36">
        <v>0</v>
      </c>
      <c r="F25" s="36">
        <f t="shared" si="0"/>
        <v>3</v>
      </c>
      <c r="G25" s="38">
        <f t="shared" si="1"/>
        <v>2.2307055015879325</v>
      </c>
    </row>
    <row r="26" spans="2:7" x14ac:dyDescent="0.35">
      <c r="B26" s="37">
        <f t="shared" si="2"/>
        <v>45931</v>
      </c>
      <c r="C26" s="26">
        <f t="shared" si="3"/>
        <v>57</v>
      </c>
      <c r="D26" s="36">
        <f t="shared" si="4"/>
        <v>0</v>
      </c>
      <c r="E26" s="36">
        <v>0</v>
      </c>
      <c r="F26" s="36">
        <f t="shared" si="0"/>
        <v>0</v>
      </c>
      <c r="G26" s="38">
        <f t="shared" si="1"/>
        <v>0</v>
      </c>
    </row>
    <row r="27" spans="2:7" x14ac:dyDescent="0.35">
      <c r="B27" s="37">
        <f t="shared" si="2"/>
        <v>46023</v>
      </c>
      <c r="C27" s="26">
        <f t="shared" si="3"/>
        <v>60</v>
      </c>
      <c r="D27" s="36">
        <f t="shared" si="4"/>
        <v>3</v>
      </c>
      <c r="E27" s="36">
        <v>0</v>
      </c>
      <c r="F27" s="36">
        <f t="shared" si="0"/>
        <v>3</v>
      </c>
      <c r="G27" s="38">
        <f t="shared" si="1"/>
        <v>2.1584628083684398</v>
      </c>
    </row>
    <row r="28" spans="2:7" x14ac:dyDescent="0.35">
      <c r="B28" s="37">
        <f t="shared" si="2"/>
        <v>46113</v>
      </c>
      <c r="C28" s="26">
        <f t="shared" si="3"/>
        <v>63</v>
      </c>
      <c r="D28" s="36">
        <f t="shared" si="4"/>
        <v>0</v>
      </c>
      <c r="E28" s="36">
        <v>0</v>
      </c>
      <c r="F28" s="36">
        <f t="shared" si="0"/>
        <v>0</v>
      </c>
      <c r="G28" s="38">
        <f t="shared" si="1"/>
        <v>0</v>
      </c>
    </row>
    <row r="29" spans="2:7" x14ac:dyDescent="0.35">
      <c r="B29" s="37">
        <f t="shared" si="2"/>
        <v>46204</v>
      </c>
      <c r="C29" s="26">
        <f t="shared" si="3"/>
        <v>66</v>
      </c>
      <c r="D29" s="36">
        <f t="shared" si="4"/>
        <v>3</v>
      </c>
      <c r="E29" s="36">
        <v>0</v>
      </c>
      <c r="F29" s="36">
        <f t="shared" si="0"/>
        <v>3</v>
      </c>
      <c r="G29" s="38">
        <f t="shared" si="1"/>
        <v>2.088559736726018</v>
      </c>
    </row>
    <row r="30" spans="2:7" x14ac:dyDescent="0.35">
      <c r="B30" s="37">
        <f t="shared" si="2"/>
        <v>46296</v>
      </c>
      <c r="C30" s="26">
        <f t="shared" si="3"/>
        <v>69</v>
      </c>
      <c r="D30" s="36">
        <f t="shared" si="4"/>
        <v>0</v>
      </c>
      <c r="E30" s="36">
        <v>0</v>
      </c>
      <c r="F30" s="36">
        <f t="shared" si="0"/>
        <v>0</v>
      </c>
      <c r="G30" s="38">
        <f t="shared" si="1"/>
        <v>0</v>
      </c>
    </row>
    <row r="31" spans="2:7" x14ac:dyDescent="0.35">
      <c r="B31" s="37">
        <f t="shared" si="2"/>
        <v>46388</v>
      </c>
      <c r="C31" s="26">
        <f t="shared" si="3"/>
        <v>72</v>
      </c>
      <c r="D31" s="36">
        <f t="shared" si="4"/>
        <v>3</v>
      </c>
      <c r="E31" s="36">
        <v>0</v>
      </c>
      <c r="F31" s="36">
        <f t="shared" si="0"/>
        <v>3</v>
      </c>
      <c r="G31" s="38">
        <f t="shared" si="1"/>
        <v>2.0209205166570867</v>
      </c>
    </row>
    <row r="32" spans="2:7" x14ac:dyDescent="0.35">
      <c r="B32" s="37">
        <f t="shared" si="2"/>
        <v>46478</v>
      </c>
      <c r="C32" s="26">
        <f t="shared" si="3"/>
        <v>75</v>
      </c>
      <c r="D32" s="36">
        <f t="shared" si="4"/>
        <v>0</v>
      </c>
      <c r="E32" s="36">
        <v>0</v>
      </c>
      <c r="F32" s="36">
        <f t="shared" si="0"/>
        <v>0</v>
      </c>
      <c r="G32" s="38">
        <f t="shared" si="1"/>
        <v>0</v>
      </c>
    </row>
    <row r="33" spans="2:7" x14ac:dyDescent="0.35">
      <c r="B33" s="37">
        <f t="shared" si="2"/>
        <v>46569</v>
      </c>
      <c r="C33" s="26">
        <f t="shared" si="3"/>
        <v>78</v>
      </c>
      <c r="D33" s="36">
        <f t="shared" si="4"/>
        <v>3</v>
      </c>
      <c r="E33" s="36">
        <v>0</v>
      </c>
      <c r="F33" s="36">
        <f t="shared" si="0"/>
        <v>3</v>
      </c>
      <c r="G33" s="38">
        <f t="shared" si="1"/>
        <v>1.9554718320136382</v>
      </c>
    </row>
    <row r="34" spans="2:7" x14ac:dyDescent="0.35">
      <c r="B34" s="37">
        <f t="shared" si="2"/>
        <v>46661</v>
      </c>
      <c r="C34" s="26">
        <f t="shared" si="3"/>
        <v>81</v>
      </c>
      <c r="D34" s="36">
        <f t="shared" si="4"/>
        <v>0</v>
      </c>
      <c r="E34" s="36">
        <v>0</v>
      </c>
      <c r="F34" s="36">
        <f t="shared" si="0"/>
        <v>0</v>
      </c>
      <c r="G34" s="38">
        <f t="shared" si="1"/>
        <v>0</v>
      </c>
    </row>
    <row r="35" spans="2:7" x14ac:dyDescent="0.35">
      <c r="B35" s="37">
        <f t="shared" si="2"/>
        <v>46753</v>
      </c>
      <c r="C35" s="26">
        <f t="shared" si="3"/>
        <v>84</v>
      </c>
      <c r="D35" s="36">
        <f t="shared" si="4"/>
        <v>3</v>
      </c>
      <c r="E35" s="36">
        <v>0</v>
      </c>
      <c r="F35" s="36">
        <f t="shared" si="0"/>
        <v>3</v>
      </c>
      <c r="G35" s="38">
        <f t="shared" si="1"/>
        <v>1.8921427410336955</v>
      </c>
    </row>
    <row r="36" spans="2:7" x14ac:dyDescent="0.35">
      <c r="B36" s="37">
        <f t="shared" si="2"/>
        <v>46844</v>
      </c>
      <c r="C36" s="26">
        <f t="shared" si="3"/>
        <v>87</v>
      </c>
      <c r="D36" s="36">
        <f t="shared" si="4"/>
        <v>0</v>
      </c>
      <c r="E36" s="36">
        <v>0</v>
      </c>
      <c r="F36" s="36">
        <f t="shared" si="0"/>
        <v>0</v>
      </c>
      <c r="G36" s="38">
        <f t="shared" si="1"/>
        <v>0</v>
      </c>
    </row>
    <row r="37" spans="2:7" x14ac:dyDescent="0.35">
      <c r="B37" s="37">
        <f t="shared" si="2"/>
        <v>46935</v>
      </c>
      <c r="C37" s="26">
        <f t="shared" si="3"/>
        <v>90</v>
      </c>
      <c r="D37" s="36">
        <f t="shared" si="4"/>
        <v>3</v>
      </c>
      <c r="E37" s="36">
        <v>0</v>
      </c>
      <c r="F37" s="36">
        <f t="shared" si="0"/>
        <v>3</v>
      </c>
      <c r="G37" s="38">
        <f t="shared" si="1"/>
        <v>1.8308645994454484</v>
      </c>
    </row>
    <row r="38" spans="2:7" x14ac:dyDescent="0.35">
      <c r="B38" s="37">
        <f t="shared" si="2"/>
        <v>47027</v>
      </c>
      <c r="C38" s="26">
        <f t="shared" si="3"/>
        <v>93</v>
      </c>
      <c r="D38" s="36">
        <f t="shared" si="4"/>
        <v>0</v>
      </c>
      <c r="E38" s="36">
        <v>0</v>
      </c>
      <c r="F38" s="36">
        <f t="shared" si="0"/>
        <v>0</v>
      </c>
      <c r="G38" s="38">
        <f t="shared" si="1"/>
        <v>0</v>
      </c>
    </row>
    <row r="39" spans="2:7" x14ac:dyDescent="0.35">
      <c r="B39" s="37">
        <f t="shared" si="2"/>
        <v>47119</v>
      </c>
      <c r="C39" s="26">
        <f t="shared" si="3"/>
        <v>96</v>
      </c>
      <c r="D39" s="36">
        <f t="shared" si="4"/>
        <v>3</v>
      </c>
      <c r="E39" s="36">
        <v>0</v>
      </c>
      <c r="F39" s="36">
        <f t="shared" si="0"/>
        <v>3</v>
      </c>
      <c r="G39" s="38">
        <f t="shared" si="1"/>
        <v>1.7715709860616948</v>
      </c>
    </row>
    <row r="40" spans="2:7" x14ac:dyDescent="0.35">
      <c r="B40" s="37">
        <f t="shared" si="2"/>
        <v>47209</v>
      </c>
      <c r="C40" s="26">
        <f t="shared" si="3"/>
        <v>99</v>
      </c>
      <c r="D40" s="36">
        <f t="shared" si="4"/>
        <v>0</v>
      </c>
      <c r="E40" s="36">
        <v>0</v>
      </c>
      <c r="F40" s="36">
        <f t="shared" si="0"/>
        <v>0</v>
      </c>
      <c r="G40" s="38">
        <f t="shared" si="1"/>
        <v>0</v>
      </c>
    </row>
    <row r="41" spans="2:7" x14ac:dyDescent="0.35">
      <c r="B41" s="37">
        <f t="shared" si="2"/>
        <v>47300</v>
      </c>
      <c r="C41" s="26">
        <f t="shared" si="3"/>
        <v>102</v>
      </c>
      <c r="D41" s="36">
        <f t="shared" si="4"/>
        <v>3</v>
      </c>
      <c r="E41" s="36">
        <v>0</v>
      </c>
      <c r="F41" s="36">
        <f t="shared" si="0"/>
        <v>3</v>
      </c>
      <c r="G41" s="38">
        <f t="shared" si="1"/>
        <v>1.7141976307839577</v>
      </c>
    </row>
    <row r="42" spans="2:7" x14ac:dyDescent="0.35">
      <c r="B42" s="37">
        <f t="shared" si="2"/>
        <v>47392</v>
      </c>
      <c r="C42" s="26">
        <f t="shared" si="3"/>
        <v>105</v>
      </c>
      <c r="D42" s="36">
        <f t="shared" si="4"/>
        <v>0</v>
      </c>
      <c r="E42" s="36">
        <v>0</v>
      </c>
      <c r="F42" s="36">
        <f t="shared" si="0"/>
        <v>0</v>
      </c>
      <c r="G42" s="38">
        <f t="shared" si="1"/>
        <v>0</v>
      </c>
    </row>
    <row r="43" spans="2:7" x14ac:dyDescent="0.35">
      <c r="B43" s="37">
        <f t="shared" si="2"/>
        <v>47484</v>
      </c>
      <c r="C43" s="26">
        <f t="shared" si="3"/>
        <v>108</v>
      </c>
      <c r="D43" s="36">
        <f t="shared" si="4"/>
        <v>3</v>
      </c>
      <c r="E43" s="36">
        <v>0</v>
      </c>
      <c r="F43" s="36">
        <f t="shared" si="0"/>
        <v>3</v>
      </c>
      <c r="G43" s="38">
        <f t="shared" si="1"/>
        <v>1.6586823449382226</v>
      </c>
    </row>
    <row r="44" spans="2:7" x14ac:dyDescent="0.35">
      <c r="B44" s="37">
        <f t="shared" si="2"/>
        <v>47574</v>
      </c>
      <c r="C44" s="26">
        <f t="shared" si="3"/>
        <v>111</v>
      </c>
      <c r="D44" s="36">
        <f t="shared" si="4"/>
        <v>0</v>
      </c>
      <c r="E44" s="36">
        <v>0</v>
      </c>
      <c r="F44" s="36">
        <f t="shared" si="0"/>
        <v>0</v>
      </c>
      <c r="G44" s="38">
        <f t="shared" si="1"/>
        <v>0</v>
      </c>
    </row>
    <row r="45" spans="2:7" x14ac:dyDescent="0.35">
      <c r="B45" s="37">
        <f t="shared" si="2"/>
        <v>47665</v>
      </c>
      <c r="C45" s="26">
        <f t="shared" si="3"/>
        <v>114</v>
      </c>
      <c r="D45" s="36">
        <f t="shared" si="4"/>
        <v>3</v>
      </c>
      <c r="E45" s="36">
        <v>0</v>
      </c>
      <c r="F45" s="36">
        <f t="shared" si="0"/>
        <v>3</v>
      </c>
      <c r="G45" s="38">
        <f t="shared" si="1"/>
        <v>1.6049649538668063</v>
      </c>
    </row>
    <row r="46" spans="2:7" x14ac:dyDescent="0.35">
      <c r="B46" s="37">
        <f t="shared" si="2"/>
        <v>47757</v>
      </c>
      <c r="C46" s="26">
        <f t="shared" si="3"/>
        <v>117</v>
      </c>
      <c r="D46" s="36">
        <f t="shared" si="4"/>
        <v>0</v>
      </c>
      <c r="E46" s="36">
        <v>0</v>
      </c>
      <c r="F46" s="36">
        <f t="shared" si="0"/>
        <v>0</v>
      </c>
      <c r="G46" s="38">
        <f t="shared" si="1"/>
        <v>0</v>
      </c>
    </row>
    <row r="47" spans="2:7" ht="15" thickBot="1" x14ac:dyDescent="0.4">
      <c r="B47" s="39">
        <f t="shared" si="2"/>
        <v>47849</v>
      </c>
      <c r="C47" s="40">
        <f t="shared" si="3"/>
        <v>120</v>
      </c>
      <c r="D47" s="41">
        <f t="shared" si="4"/>
        <v>3</v>
      </c>
      <c r="E47" s="41">
        <f>$C$4</f>
        <v>100</v>
      </c>
      <c r="F47" s="41">
        <f t="shared" si="0"/>
        <v>103</v>
      </c>
      <c r="G47" s="42">
        <f t="shared" si="1"/>
        <v>53.319228288478499</v>
      </c>
    </row>
    <row r="48" spans="2:7" x14ac:dyDescent="0.35">
      <c r="B48" s="28"/>
    </row>
    <row r="49" spans="2:2" x14ac:dyDescent="0.35">
      <c r="B49" s="28"/>
    </row>
    <row r="50" spans="2:2" x14ac:dyDescent="0.35">
      <c r="B50" s="28"/>
    </row>
    <row r="51" spans="2:2" x14ac:dyDescent="0.35">
      <c r="B51" s="28"/>
    </row>
    <row r="52" spans="2:2" x14ac:dyDescent="0.35">
      <c r="B52" s="28"/>
    </row>
    <row r="53" spans="2:2" x14ac:dyDescent="0.35">
      <c r="B53" s="28"/>
    </row>
    <row r="54" spans="2:2" x14ac:dyDescent="0.35">
      <c r="B54" s="28"/>
    </row>
    <row r="55" spans="2:2" x14ac:dyDescent="0.35">
      <c r="B55" s="28"/>
    </row>
    <row r="56" spans="2:2" x14ac:dyDescent="0.35">
      <c r="B56" s="28"/>
    </row>
    <row r="57" spans="2:2" x14ac:dyDescent="0.35">
      <c r="B57" s="28"/>
    </row>
    <row r="58" spans="2:2" x14ac:dyDescent="0.35">
      <c r="B58" s="28"/>
    </row>
    <row r="59" spans="2:2" x14ac:dyDescent="0.35">
      <c r="B59" s="28"/>
    </row>
    <row r="60" spans="2:2" x14ac:dyDescent="0.35">
      <c r="B60" s="28"/>
    </row>
    <row r="61" spans="2:2" x14ac:dyDescent="0.35">
      <c r="B61" s="28"/>
    </row>
    <row r="62" spans="2:2" x14ac:dyDescent="0.35">
      <c r="B62" s="28"/>
    </row>
    <row r="63" spans="2:2" x14ac:dyDescent="0.35">
      <c r="B63" s="28"/>
    </row>
    <row r="64" spans="2:2" x14ac:dyDescent="0.35">
      <c r="B64" s="28"/>
    </row>
    <row r="65" spans="2:2" x14ac:dyDescent="0.35">
      <c r="B65" s="28"/>
    </row>
    <row r="66" spans="2:2" x14ac:dyDescent="0.35">
      <c r="B66" s="28"/>
    </row>
    <row r="67" spans="2:2" x14ac:dyDescent="0.35">
      <c r="B67" s="28"/>
    </row>
    <row r="68" spans="2:2" x14ac:dyDescent="0.35">
      <c r="B68" s="28"/>
    </row>
    <row r="69" spans="2:2" x14ac:dyDescent="0.35">
      <c r="B69" s="28"/>
    </row>
    <row r="70" spans="2:2" x14ac:dyDescent="0.35">
      <c r="B70" s="28"/>
    </row>
    <row r="71" spans="2:2" x14ac:dyDescent="0.35">
      <c r="B71" s="28"/>
    </row>
    <row r="72" spans="2:2" x14ac:dyDescent="0.35">
      <c r="B72" s="28"/>
    </row>
    <row r="73" spans="2:2" x14ac:dyDescent="0.35">
      <c r="B73" s="2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62724-9E2B-4E4A-B107-E2012317F9E8}">
  <dimension ref="B2:K47"/>
  <sheetViews>
    <sheetView showGridLines="0" workbookViewId="0"/>
  </sheetViews>
  <sheetFormatPr defaultRowHeight="14.5" x14ac:dyDescent="0.35"/>
  <cols>
    <col min="2" max="2" width="20.6328125" bestFit="1" customWidth="1"/>
    <col min="9" max="9" width="10.81640625" bestFit="1" customWidth="1"/>
    <col min="11" max="11" width="13.36328125" customWidth="1"/>
  </cols>
  <sheetData>
    <row r="2" spans="2:11" x14ac:dyDescent="0.35">
      <c r="B2" s="26" t="s">
        <v>49</v>
      </c>
      <c r="C2" s="43">
        <v>7.0000000000000007E-2</v>
      </c>
    </row>
    <row r="3" spans="2:11" x14ac:dyDescent="0.35">
      <c r="B3" s="26" t="s">
        <v>50</v>
      </c>
      <c r="C3" s="26">
        <v>100</v>
      </c>
      <c r="J3" s="59"/>
    </row>
    <row r="4" spans="2:11" x14ac:dyDescent="0.35">
      <c r="B4" s="26" t="s">
        <v>51</v>
      </c>
      <c r="C4" s="26">
        <v>100</v>
      </c>
    </row>
    <row r="5" spans="2:11" ht="15" thickBot="1" x14ac:dyDescent="0.4">
      <c r="D5" s="23"/>
      <c r="E5" s="23"/>
      <c r="F5" s="23"/>
      <c r="G5" s="23"/>
    </row>
    <row r="6" spans="2:11" ht="44" thickBot="1" x14ac:dyDescent="0.4">
      <c r="B6" s="46" t="s">
        <v>37</v>
      </c>
      <c r="C6" s="47" t="s">
        <v>38</v>
      </c>
      <c r="D6" s="47" t="s">
        <v>42</v>
      </c>
      <c r="E6" s="47" t="s">
        <v>43</v>
      </c>
      <c r="F6" s="47" t="s">
        <v>44</v>
      </c>
      <c r="G6" s="48" t="s">
        <v>45</v>
      </c>
      <c r="I6" s="15" t="s">
        <v>48</v>
      </c>
      <c r="J6" s="31">
        <f>SUM(G7:G47)</f>
        <v>85.000034926839447</v>
      </c>
      <c r="K6" s="49" t="s">
        <v>54</v>
      </c>
    </row>
    <row r="7" spans="2:11" x14ac:dyDescent="0.35">
      <c r="B7" s="44">
        <v>44197</v>
      </c>
      <c r="C7" s="33">
        <v>0</v>
      </c>
      <c r="D7" s="34">
        <v>0</v>
      </c>
      <c r="E7" s="34">
        <v>0</v>
      </c>
      <c r="F7" s="34">
        <f t="shared" ref="F7:F47" si="0">D7+E7</f>
        <v>0</v>
      </c>
      <c r="G7" s="45">
        <f t="shared" ref="G7:G47" si="1">F7*(1+$J$8)^(-C7/12)</f>
        <v>0</v>
      </c>
      <c r="I7" s="26" t="s">
        <v>52</v>
      </c>
      <c r="J7" s="26">
        <v>85</v>
      </c>
    </row>
    <row r="8" spans="2:11" x14ac:dyDescent="0.35">
      <c r="B8" s="37">
        <f t="shared" ref="B8:B47" si="2">EDATE(B7,3)</f>
        <v>44287</v>
      </c>
      <c r="C8" s="26">
        <f t="shared" ref="C8:C47" si="3">C7+3</f>
        <v>3</v>
      </c>
      <c r="D8" s="36">
        <f t="shared" ref="D8:D47" si="4">$C$2/4*$C$3</f>
        <v>1.7500000000000002</v>
      </c>
      <c r="E8" s="36">
        <v>0</v>
      </c>
      <c r="F8" s="36">
        <f t="shared" si="0"/>
        <v>1.7500000000000002</v>
      </c>
      <c r="G8" s="38">
        <f t="shared" si="1"/>
        <v>1.7101430062773506</v>
      </c>
      <c r="I8" s="27" t="s">
        <v>53</v>
      </c>
      <c r="J8" s="29">
        <v>9.6534953892382008E-2</v>
      </c>
      <c r="K8" s="23"/>
    </row>
    <row r="9" spans="2:11" x14ac:dyDescent="0.35">
      <c r="B9" s="37">
        <f t="shared" si="2"/>
        <v>44378</v>
      </c>
      <c r="C9" s="26">
        <f t="shared" si="3"/>
        <v>6</v>
      </c>
      <c r="D9" s="36">
        <f t="shared" si="4"/>
        <v>1.7500000000000002</v>
      </c>
      <c r="E9" s="36">
        <v>0</v>
      </c>
      <c r="F9" s="36">
        <f t="shared" si="0"/>
        <v>1.7500000000000002</v>
      </c>
      <c r="G9" s="38">
        <f t="shared" si="1"/>
        <v>1.6711937725253334</v>
      </c>
    </row>
    <row r="10" spans="2:11" x14ac:dyDescent="0.35">
      <c r="B10" s="37">
        <f t="shared" si="2"/>
        <v>44470</v>
      </c>
      <c r="C10" s="26">
        <f t="shared" si="3"/>
        <v>9</v>
      </c>
      <c r="D10" s="36">
        <f t="shared" si="4"/>
        <v>1.7500000000000002</v>
      </c>
      <c r="E10" s="36">
        <v>0</v>
      </c>
      <c r="F10" s="36">
        <f t="shared" si="0"/>
        <v>1.7500000000000002</v>
      </c>
      <c r="G10" s="38">
        <f t="shared" si="1"/>
        <v>1.6331316241248346</v>
      </c>
    </row>
    <row r="11" spans="2:11" x14ac:dyDescent="0.35">
      <c r="B11" s="37">
        <f t="shared" si="2"/>
        <v>44562</v>
      </c>
      <c r="C11" s="26">
        <f t="shared" si="3"/>
        <v>12</v>
      </c>
      <c r="D11" s="36">
        <f t="shared" si="4"/>
        <v>1.7500000000000002</v>
      </c>
      <c r="E11" s="36">
        <v>0</v>
      </c>
      <c r="F11" s="36">
        <f t="shared" si="0"/>
        <v>1.7500000000000002</v>
      </c>
      <c r="G11" s="38">
        <f t="shared" si="1"/>
        <v>1.5959363573299747</v>
      </c>
    </row>
    <row r="12" spans="2:11" x14ac:dyDescent="0.35">
      <c r="B12" s="37">
        <f t="shared" si="2"/>
        <v>44652</v>
      </c>
      <c r="C12" s="26">
        <f t="shared" si="3"/>
        <v>15</v>
      </c>
      <c r="D12" s="36">
        <f t="shared" si="4"/>
        <v>1.7500000000000002</v>
      </c>
      <c r="E12" s="36">
        <v>0</v>
      </c>
      <c r="F12" s="36">
        <f t="shared" si="0"/>
        <v>1.7500000000000002</v>
      </c>
      <c r="G12" s="38">
        <f t="shared" si="1"/>
        <v>1.5595882285437754</v>
      </c>
    </row>
    <row r="13" spans="2:11" x14ac:dyDescent="0.35">
      <c r="B13" s="37">
        <f t="shared" si="2"/>
        <v>44743</v>
      </c>
      <c r="C13" s="26">
        <f t="shared" si="3"/>
        <v>18</v>
      </c>
      <c r="D13" s="36">
        <f t="shared" si="4"/>
        <v>1.7500000000000002</v>
      </c>
      <c r="E13" s="36">
        <v>0</v>
      </c>
      <c r="F13" s="36">
        <f t="shared" si="0"/>
        <v>1.7500000000000002</v>
      </c>
      <c r="G13" s="38">
        <f t="shared" si="1"/>
        <v>1.524067943838068</v>
      </c>
    </row>
    <row r="14" spans="2:11" x14ac:dyDescent="0.35">
      <c r="B14" s="37">
        <f t="shared" si="2"/>
        <v>44835</v>
      </c>
      <c r="C14" s="26">
        <f t="shared" si="3"/>
        <v>21</v>
      </c>
      <c r="D14" s="36">
        <f t="shared" si="4"/>
        <v>1.7500000000000002</v>
      </c>
      <c r="E14" s="36">
        <v>0</v>
      </c>
      <c r="F14" s="36">
        <f t="shared" si="0"/>
        <v>1.7500000000000002</v>
      </c>
      <c r="G14" s="38">
        <f t="shared" si="1"/>
        <v>1.4893566487120993</v>
      </c>
    </row>
    <row r="15" spans="2:11" x14ac:dyDescent="0.35">
      <c r="B15" s="37">
        <f t="shared" si="2"/>
        <v>44927</v>
      </c>
      <c r="C15" s="26">
        <f t="shared" si="3"/>
        <v>24</v>
      </c>
      <c r="D15" s="36">
        <f t="shared" si="4"/>
        <v>1.7500000000000002</v>
      </c>
      <c r="E15" s="36">
        <v>0</v>
      </c>
      <c r="F15" s="36">
        <f t="shared" si="0"/>
        <v>1.7500000000000002</v>
      </c>
      <c r="G15" s="38">
        <f t="shared" si="1"/>
        <v>1.4554359180843821</v>
      </c>
    </row>
    <row r="16" spans="2:11" x14ac:dyDescent="0.35">
      <c r="B16" s="37">
        <f t="shared" si="2"/>
        <v>45017</v>
      </c>
      <c r="C16" s="26">
        <f t="shared" si="3"/>
        <v>27</v>
      </c>
      <c r="D16" s="36">
        <f t="shared" si="4"/>
        <v>1.7500000000000002</v>
      </c>
      <c r="E16" s="36">
        <v>0</v>
      </c>
      <c r="F16" s="36">
        <f t="shared" si="0"/>
        <v>1.7500000000000002</v>
      </c>
      <c r="G16" s="38">
        <f t="shared" si="1"/>
        <v>1.4222877465124919</v>
      </c>
    </row>
    <row r="17" spans="2:7" x14ac:dyDescent="0.35">
      <c r="B17" s="37">
        <f t="shared" si="2"/>
        <v>45108</v>
      </c>
      <c r="C17" s="26">
        <f t="shared" si="3"/>
        <v>30</v>
      </c>
      <c r="D17" s="36">
        <f t="shared" si="4"/>
        <v>1.7500000000000002</v>
      </c>
      <c r="E17" s="36">
        <v>0</v>
      </c>
      <c r="F17" s="36">
        <f t="shared" si="0"/>
        <v>1.7500000000000002</v>
      </c>
      <c r="G17" s="38">
        <f t="shared" si="1"/>
        <v>1.3898945386356061</v>
      </c>
    </row>
    <row r="18" spans="2:7" x14ac:dyDescent="0.35">
      <c r="B18" s="37">
        <f t="shared" si="2"/>
        <v>45200</v>
      </c>
      <c r="C18" s="26">
        <f t="shared" si="3"/>
        <v>33</v>
      </c>
      <c r="D18" s="36">
        <f t="shared" si="4"/>
        <v>1.7500000000000002</v>
      </c>
      <c r="E18" s="36">
        <v>0</v>
      </c>
      <c r="F18" s="36">
        <f t="shared" si="0"/>
        <v>1.7500000000000002</v>
      </c>
      <c r="G18" s="38">
        <f t="shared" si="1"/>
        <v>1.3582390998347236</v>
      </c>
    </row>
    <row r="19" spans="2:7" x14ac:dyDescent="0.35">
      <c r="B19" s="37">
        <f t="shared" si="2"/>
        <v>45292</v>
      </c>
      <c r="C19" s="26">
        <f t="shared" si="3"/>
        <v>36</v>
      </c>
      <c r="D19" s="36">
        <f t="shared" si="4"/>
        <v>1.7500000000000002</v>
      </c>
      <c r="E19" s="36">
        <v>0</v>
      </c>
      <c r="F19" s="36">
        <f t="shared" si="0"/>
        <v>1.7500000000000002</v>
      </c>
      <c r="G19" s="38">
        <f t="shared" si="1"/>
        <v>1.3273046271055979</v>
      </c>
    </row>
    <row r="20" spans="2:7" x14ac:dyDescent="0.35">
      <c r="B20" s="37">
        <f t="shared" si="2"/>
        <v>45383</v>
      </c>
      <c r="C20" s="26">
        <f t="shared" si="3"/>
        <v>39</v>
      </c>
      <c r="D20" s="36">
        <f t="shared" si="4"/>
        <v>1.7500000000000002</v>
      </c>
      <c r="E20" s="36">
        <v>0</v>
      </c>
      <c r="F20" s="36">
        <f t="shared" si="0"/>
        <v>1.7500000000000002</v>
      </c>
      <c r="G20" s="38">
        <f t="shared" si="1"/>
        <v>1.2970747001395455</v>
      </c>
    </row>
    <row r="21" spans="2:7" x14ac:dyDescent="0.35">
      <c r="B21" s="37">
        <f t="shared" si="2"/>
        <v>45474</v>
      </c>
      <c r="C21" s="26">
        <f t="shared" si="3"/>
        <v>42</v>
      </c>
      <c r="D21" s="36">
        <f t="shared" si="4"/>
        <v>1.7500000000000002</v>
      </c>
      <c r="E21" s="36">
        <v>0</v>
      </c>
      <c r="F21" s="36">
        <f t="shared" si="0"/>
        <v>1.7500000000000002</v>
      </c>
      <c r="G21" s="38">
        <f t="shared" si="1"/>
        <v>1.2675332726073913</v>
      </c>
    </row>
    <row r="22" spans="2:7" x14ac:dyDescent="0.35">
      <c r="B22" s="37">
        <f t="shared" si="2"/>
        <v>45566</v>
      </c>
      <c r="C22" s="26">
        <f t="shared" si="3"/>
        <v>45</v>
      </c>
      <c r="D22" s="36">
        <f t="shared" si="4"/>
        <v>1.7500000000000002</v>
      </c>
      <c r="E22" s="36">
        <v>0</v>
      </c>
      <c r="F22" s="36">
        <f t="shared" si="0"/>
        <v>1.7500000000000002</v>
      </c>
      <c r="G22" s="38">
        <f t="shared" si="1"/>
        <v>1.2386646636419272</v>
      </c>
    </row>
    <row r="23" spans="2:7" x14ac:dyDescent="0.35">
      <c r="B23" s="37">
        <f t="shared" si="2"/>
        <v>45658</v>
      </c>
      <c r="C23" s="26">
        <f t="shared" si="3"/>
        <v>48</v>
      </c>
      <c r="D23" s="36">
        <f t="shared" si="4"/>
        <v>1.7500000000000002</v>
      </c>
      <c r="E23" s="36">
        <v>0</v>
      </c>
      <c r="F23" s="36">
        <f t="shared" si="0"/>
        <v>1.7500000000000002</v>
      </c>
      <c r="G23" s="38">
        <f t="shared" si="1"/>
        <v>1.2104535495143591</v>
      </c>
    </row>
    <row r="24" spans="2:7" x14ac:dyDescent="0.35">
      <c r="B24" s="37">
        <f t="shared" si="2"/>
        <v>45748</v>
      </c>
      <c r="C24" s="26">
        <f t="shared" si="3"/>
        <v>51</v>
      </c>
      <c r="D24" s="36">
        <f t="shared" si="4"/>
        <v>1.7500000000000002</v>
      </c>
      <c r="E24" s="36">
        <v>0</v>
      </c>
      <c r="F24" s="36">
        <f t="shared" si="0"/>
        <v>1.7500000000000002</v>
      </c>
      <c r="G24" s="38">
        <f t="shared" si="1"/>
        <v>1.1828849555003289</v>
      </c>
    </row>
    <row r="25" spans="2:7" x14ac:dyDescent="0.35">
      <c r="B25" s="37">
        <f t="shared" si="2"/>
        <v>45839</v>
      </c>
      <c r="C25" s="26">
        <f t="shared" si="3"/>
        <v>54</v>
      </c>
      <c r="D25" s="36">
        <f t="shared" si="4"/>
        <v>1.7500000000000002</v>
      </c>
      <c r="E25" s="36">
        <v>0</v>
      </c>
      <c r="F25" s="36">
        <f t="shared" si="0"/>
        <v>1.7500000000000002</v>
      </c>
      <c r="G25" s="38">
        <f t="shared" si="1"/>
        <v>1.1559442479311899</v>
      </c>
    </row>
    <row r="26" spans="2:7" x14ac:dyDescent="0.35">
      <c r="B26" s="37">
        <f t="shared" si="2"/>
        <v>45931</v>
      </c>
      <c r="C26" s="26">
        <f t="shared" si="3"/>
        <v>57</v>
      </c>
      <c r="D26" s="36">
        <f t="shared" si="4"/>
        <v>1.7500000000000002</v>
      </c>
      <c r="E26" s="36">
        <v>0</v>
      </c>
      <c r="F26" s="36">
        <f t="shared" si="0"/>
        <v>1.7500000000000002</v>
      </c>
      <c r="G26" s="38">
        <f t="shared" si="1"/>
        <v>1.1296171264263175</v>
      </c>
    </row>
    <row r="27" spans="2:7" x14ac:dyDescent="0.35">
      <c r="B27" s="37">
        <f t="shared" si="2"/>
        <v>46023</v>
      </c>
      <c r="C27" s="26">
        <f t="shared" si="3"/>
        <v>60</v>
      </c>
      <c r="D27" s="36">
        <f t="shared" si="4"/>
        <v>1.7500000000000002</v>
      </c>
      <c r="E27" s="36">
        <v>0</v>
      </c>
      <c r="F27" s="36">
        <f t="shared" si="0"/>
        <v>1.7500000000000002</v>
      </c>
      <c r="G27" s="38">
        <f t="shared" si="1"/>
        <v>1.103889616302334</v>
      </c>
    </row>
    <row r="28" spans="2:7" x14ac:dyDescent="0.35">
      <c r="B28" s="37">
        <f t="shared" si="2"/>
        <v>46113</v>
      </c>
      <c r="C28" s="26">
        <f t="shared" si="3"/>
        <v>63</v>
      </c>
      <c r="D28" s="36">
        <f t="shared" si="4"/>
        <v>1.7500000000000002</v>
      </c>
      <c r="E28" s="36">
        <v>0</v>
      </c>
      <c r="F28" s="36">
        <f t="shared" si="0"/>
        <v>1.7500000000000002</v>
      </c>
      <c r="G28" s="38">
        <f t="shared" si="1"/>
        <v>1.0787480611552136</v>
      </c>
    </row>
    <row r="29" spans="2:7" x14ac:dyDescent="0.35">
      <c r="B29" s="37">
        <f t="shared" si="2"/>
        <v>46204</v>
      </c>
      <c r="C29" s="26">
        <f t="shared" si="3"/>
        <v>66</v>
      </c>
      <c r="D29" s="36">
        <f t="shared" si="4"/>
        <v>1.7500000000000002</v>
      </c>
      <c r="E29" s="36">
        <v>0</v>
      </c>
      <c r="F29" s="36">
        <f t="shared" si="0"/>
        <v>1.7500000000000002</v>
      </c>
      <c r="G29" s="38">
        <f t="shared" si="1"/>
        <v>1.0541791156113371</v>
      </c>
    </row>
    <row r="30" spans="2:7" x14ac:dyDescent="0.35">
      <c r="B30" s="37">
        <f t="shared" si="2"/>
        <v>46296</v>
      </c>
      <c r="C30" s="26">
        <f t="shared" si="3"/>
        <v>69</v>
      </c>
      <c r="D30" s="36">
        <f t="shared" si="4"/>
        <v>1.7500000000000002</v>
      </c>
      <c r="E30" s="36">
        <v>0</v>
      </c>
      <c r="F30" s="36">
        <f t="shared" si="0"/>
        <v>1.7500000000000002</v>
      </c>
      <c r="G30" s="38">
        <f t="shared" si="1"/>
        <v>1.0301697382436403</v>
      </c>
    </row>
    <row r="31" spans="2:7" x14ac:dyDescent="0.35">
      <c r="B31" s="37">
        <f t="shared" si="2"/>
        <v>46388</v>
      </c>
      <c r="C31" s="26">
        <f t="shared" si="3"/>
        <v>72</v>
      </c>
      <c r="D31" s="36">
        <f t="shared" si="4"/>
        <v>1.7500000000000002</v>
      </c>
      <c r="E31" s="36">
        <v>0</v>
      </c>
      <c r="F31" s="36">
        <f t="shared" si="0"/>
        <v>1.7500000000000002</v>
      </c>
      <c r="G31" s="38">
        <f t="shared" si="1"/>
        <v>1.0067071846491031</v>
      </c>
    </row>
    <row r="32" spans="2:7" x14ac:dyDescent="0.35">
      <c r="B32" s="37">
        <f t="shared" si="2"/>
        <v>46478</v>
      </c>
      <c r="C32" s="26">
        <f t="shared" si="3"/>
        <v>75</v>
      </c>
      <c r="D32" s="36">
        <f t="shared" si="4"/>
        <v>1.7500000000000002</v>
      </c>
      <c r="E32" s="36">
        <v>0</v>
      </c>
      <c r="F32" s="36">
        <f t="shared" si="0"/>
        <v>1.7500000000000002</v>
      </c>
      <c r="G32" s="38">
        <f t="shared" si="1"/>
        <v>0.98377900068389978</v>
      </c>
    </row>
    <row r="33" spans="2:7" x14ac:dyDescent="0.35">
      <c r="B33" s="37">
        <f t="shared" si="2"/>
        <v>46569</v>
      </c>
      <c r="C33" s="26">
        <f t="shared" si="3"/>
        <v>78</v>
      </c>
      <c r="D33" s="36">
        <f t="shared" si="4"/>
        <v>1.7500000000000002</v>
      </c>
      <c r="E33" s="36">
        <v>0</v>
      </c>
      <c r="F33" s="36">
        <f t="shared" si="0"/>
        <v>1.7500000000000002</v>
      </c>
      <c r="G33" s="38">
        <f t="shared" si="1"/>
        <v>0.9613730158526238</v>
      </c>
    </row>
    <row r="34" spans="2:7" x14ac:dyDescent="0.35">
      <c r="B34" s="37">
        <f t="shared" si="2"/>
        <v>46661</v>
      </c>
      <c r="C34" s="26">
        <f t="shared" si="3"/>
        <v>81</v>
      </c>
      <c r="D34" s="36">
        <f t="shared" si="4"/>
        <v>1.7500000000000002</v>
      </c>
      <c r="E34" s="36">
        <v>0</v>
      </c>
      <c r="F34" s="36">
        <f t="shared" si="0"/>
        <v>1.7500000000000002</v>
      </c>
      <c r="G34" s="38">
        <f t="shared" si="1"/>
        <v>0.93947733684807366</v>
      </c>
    </row>
    <row r="35" spans="2:7" x14ac:dyDescent="0.35">
      <c r="B35" s="37">
        <f t="shared" si="2"/>
        <v>46753</v>
      </c>
      <c r="C35" s="26">
        <f t="shared" si="3"/>
        <v>84</v>
      </c>
      <c r="D35" s="36">
        <f t="shared" si="4"/>
        <v>1.7500000000000002</v>
      </c>
      <c r="E35" s="36">
        <v>0</v>
      </c>
      <c r="F35" s="36">
        <f t="shared" si="0"/>
        <v>1.7500000000000002</v>
      </c>
      <c r="G35" s="38">
        <f t="shared" si="1"/>
        <v>0.91808034123817328</v>
      </c>
    </row>
    <row r="36" spans="2:7" x14ac:dyDescent="0.35">
      <c r="B36" s="37">
        <f t="shared" si="2"/>
        <v>46844</v>
      </c>
      <c r="C36" s="26">
        <f t="shared" si="3"/>
        <v>87</v>
      </c>
      <c r="D36" s="36">
        <f t="shared" si="4"/>
        <v>1.7500000000000002</v>
      </c>
      <c r="E36" s="36">
        <v>0</v>
      </c>
      <c r="F36" s="36">
        <f t="shared" si="0"/>
        <v>1.7500000000000002</v>
      </c>
      <c r="G36" s="38">
        <f t="shared" si="1"/>
        <v>0.89717067129667749</v>
      </c>
    </row>
    <row r="37" spans="2:7" x14ac:dyDescent="0.35">
      <c r="B37" s="37">
        <f t="shared" si="2"/>
        <v>46935</v>
      </c>
      <c r="C37" s="26">
        <f t="shared" si="3"/>
        <v>90</v>
      </c>
      <c r="D37" s="36">
        <f t="shared" si="4"/>
        <v>1.7500000000000002</v>
      </c>
      <c r="E37" s="36">
        <v>0</v>
      </c>
      <c r="F37" s="36">
        <f t="shared" si="0"/>
        <v>1.7500000000000002</v>
      </c>
      <c r="G37" s="38">
        <f t="shared" si="1"/>
        <v>0.87673722797438203</v>
      </c>
    </row>
    <row r="38" spans="2:7" x14ac:dyDescent="0.35">
      <c r="B38" s="37">
        <f t="shared" si="2"/>
        <v>47027</v>
      </c>
      <c r="C38" s="26">
        <f t="shared" si="3"/>
        <v>93</v>
      </c>
      <c r="D38" s="36">
        <f t="shared" si="4"/>
        <v>1.7500000000000002</v>
      </c>
      <c r="E38" s="36">
        <v>0</v>
      </c>
      <c r="F38" s="36">
        <f t="shared" si="0"/>
        <v>1.7500000000000002</v>
      </c>
      <c r="G38" s="38">
        <f t="shared" si="1"/>
        <v>0.85676916500764588</v>
      </c>
    </row>
    <row r="39" spans="2:7" x14ac:dyDescent="0.35">
      <c r="B39" s="37">
        <f t="shared" si="2"/>
        <v>47119</v>
      </c>
      <c r="C39" s="26">
        <f t="shared" si="3"/>
        <v>96</v>
      </c>
      <c r="D39" s="36">
        <f t="shared" si="4"/>
        <v>1.7500000000000002</v>
      </c>
      <c r="E39" s="36">
        <v>0</v>
      </c>
      <c r="F39" s="36">
        <f t="shared" si="0"/>
        <v>1.7500000000000002</v>
      </c>
      <c r="G39" s="38">
        <f t="shared" si="1"/>
        <v>0.83725588316109179</v>
      </c>
    </row>
    <row r="40" spans="2:7" x14ac:dyDescent="0.35">
      <c r="B40" s="37">
        <f t="shared" si="2"/>
        <v>47209</v>
      </c>
      <c r="C40" s="26">
        <f t="shared" si="3"/>
        <v>99</v>
      </c>
      <c r="D40" s="36">
        <f t="shared" si="4"/>
        <v>1.7500000000000002</v>
      </c>
      <c r="E40" s="36">
        <v>0</v>
      </c>
      <c r="F40" s="36">
        <f t="shared" si="0"/>
        <v>1.7500000000000002</v>
      </c>
      <c r="G40" s="38">
        <f t="shared" si="1"/>
        <v>0.81818702460143289</v>
      </c>
    </row>
    <row r="41" spans="2:7" x14ac:dyDescent="0.35">
      <c r="B41" s="37">
        <f t="shared" si="2"/>
        <v>47300</v>
      </c>
      <c r="C41" s="26">
        <f t="shared" si="3"/>
        <v>102</v>
      </c>
      <c r="D41" s="36">
        <f t="shared" si="4"/>
        <v>1.7500000000000002</v>
      </c>
      <c r="E41" s="36">
        <v>0</v>
      </c>
      <c r="F41" s="36">
        <f t="shared" si="0"/>
        <v>1.7500000000000002</v>
      </c>
      <c r="G41" s="38">
        <f t="shared" si="1"/>
        <v>0.79955246739943708</v>
      </c>
    </row>
    <row r="42" spans="2:7" x14ac:dyDescent="0.35">
      <c r="B42" s="37">
        <f t="shared" si="2"/>
        <v>47392</v>
      </c>
      <c r="C42" s="26">
        <f t="shared" si="3"/>
        <v>105</v>
      </c>
      <c r="D42" s="36">
        <f t="shared" si="4"/>
        <v>1.7500000000000002</v>
      </c>
      <c r="E42" s="36">
        <v>0</v>
      </c>
      <c r="F42" s="36">
        <f t="shared" si="0"/>
        <v>1.7500000000000002</v>
      </c>
      <c r="G42" s="38">
        <f t="shared" si="1"/>
        <v>0.78134232015711225</v>
      </c>
    </row>
    <row r="43" spans="2:7" x14ac:dyDescent="0.35">
      <c r="B43" s="37">
        <f t="shared" si="2"/>
        <v>47484</v>
      </c>
      <c r="C43" s="26">
        <f t="shared" si="3"/>
        <v>108</v>
      </c>
      <c r="D43" s="36">
        <f t="shared" si="4"/>
        <v>1.7500000000000002</v>
      </c>
      <c r="E43" s="36">
        <v>0</v>
      </c>
      <c r="F43" s="36">
        <f t="shared" si="0"/>
        <v>1.7500000000000002</v>
      </c>
      <c r="G43" s="38">
        <f t="shared" si="1"/>
        <v>0.76354691675725928</v>
      </c>
    </row>
    <row r="44" spans="2:7" x14ac:dyDescent="0.35">
      <c r="B44" s="37">
        <f t="shared" si="2"/>
        <v>47574</v>
      </c>
      <c r="C44" s="26">
        <f t="shared" si="3"/>
        <v>111</v>
      </c>
      <c r="D44" s="36">
        <f t="shared" si="4"/>
        <v>1.7500000000000002</v>
      </c>
      <c r="E44" s="36">
        <v>0</v>
      </c>
      <c r="F44" s="36">
        <f t="shared" si="0"/>
        <v>1.7500000000000002</v>
      </c>
      <c r="G44" s="38">
        <f t="shared" si="1"/>
        <v>0.74615681123260635</v>
      </c>
    </row>
    <row r="45" spans="2:7" x14ac:dyDescent="0.35">
      <c r="B45" s="37">
        <f t="shared" si="2"/>
        <v>47665</v>
      </c>
      <c r="C45" s="26">
        <f t="shared" si="3"/>
        <v>114</v>
      </c>
      <c r="D45" s="36">
        <f t="shared" si="4"/>
        <v>1.7500000000000002</v>
      </c>
      <c r="E45" s="36">
        <v>0</v>
      </c>
      <c r="F45" s="36">
        <f t="shared" si="0"/>
        <v>1.7500000000000002</v>
      </c>
      <c r="G45" s="38">
        <f t="shared" si="1"/>
        <v>0.72916277275180041</v>
      </c>
    </row>
    <row r="46" spans="2:7" x14ac:dyDescent="0.35">
      <c r="B46" s="37">
        <f t="shared" si="2"/>
        <v>47757</v>
      </c>
      <c r="C46" s="26">
        <f t="shared" si="3"/>
        <v>117</v>
      </c>
      <c r="D46" s="36">
        <f t="shared" si="4"/>
        <v>1.7500000000000002</v>
      </c>
      <c r="E46" s="36">
        <v>0</v>
      </c>
      <c r="F46" s="36">
        <f t="shared" si="0"/>
        <v>1.7500000000000002</v>
      </c>
      <c r="G46" s="38">
        <f t="shared" si="1"/>
        <v>0.71255578071959569</v>
      </c>
    </row>
    <row r="47" spans="2:7" ht="15" thickBot="1" x14ac:dyDescent="0.4">
      <c r="B47" s="39">
        <f t="shared" si="2"/>
        <v>47849</v>
      </c>
      <c r="C47" s="40">
        <f t="shared" si="3"/>
        <v>120</v>
      </c>
      <c r="D47" s="41">
        <f t="shared" si="4"/>
        <v>1.7500000000000002</v>
      </c>
      <c r="E47" s="41">
        <f>$C$4</f>
        <v>100</v>
      </c>
      <c r="F47" s="41">
        <f t="shared" si="0"/>
        <v>101.75</v>
      </c>
      <c r="G47" s="42">
        <f t="shared" si="1"/>
        <v>40.486442447910711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94BF0-C9FB-4876-9543-362C37572F09}">
  <dimension ref="B1:K44"/>
  <sheetViews>
    <sheetView showGridLines="0" workbookViewId="0">
      <selection activeCell="J1" sqref="J1"/>
    </sheetView>
  </sheetViews>
  <sheetFormatPr defaultRowHeight="14.5" x14ac:dyDescent="0.35"/>
  <cols>
    <col min="2" max="2" width="9.08984375" bestFit="1" customWidth="1"/>
    <col min="3" max="3" width="9.08984375" customWidth="1"/>
    <col min="4" max="4" width="11.90625" customWidth="1"/>
    <col min="5" max="5" width="12" customWidth="1"/>
    <col min="6" max="6" width="15.453125" customWidth="1"/>
    <col min="9" max="9" width="14.6328125" bestFit="1" customWidth="1"/>
  </cols>
  <sheetData>
    <row r="1" spans="2:11" x14ac:dyDescent="0.35">
      <c r="J1" s="59"/>
    </row>
    <row r="2" spans="2:11" ht="15" thickBot="1" x14ac:dyDescent="0.4">
      <c r="E2" s="23"/>
      <c r="F2" s="23"/>
      <c r="G2" s="23"/>
    </row>
    <row r="3" spans="2:11" ht="44" thickBot="1" x14ac:dyDescent="0.4">
      <c r="B3" s="46" t="s">
        <v>37</v>
      </c>
      <c r="C3" s="47" t="s">
        <v>38</v>
      </c>
      <c r="D3" s="47" t="s">
        <v>44</v>
      </c>
      <c r="E3" s="51" t="s">
        <v>58</v>
      </c>
      <c r="F3" s="53" t="s">
        <v>59</v>
      </c>
      <c r="G3" s="48" t="s">
        <v>23</v>
      </c>
      <c r="I3" s="32" t="s">
        <v>48</v>
      </c>
      <c r="J3" s="36">
        <f>SUM(G4:G44)</f>
        <v>85.000029251801152</v>
      </c>
      <c r="K3" s="49" t="s">
        <v>54</v>
      </c>
    </row>
    <row r="4" spans="2:11" x14ac:dyDescent="0.35">
      <c r="B4" s="44">
        <v>44197</v>
      </c>
      <c r="C4" s="33">
        <v>0</v>
      </c>
      <c r="D4" s="50">
        <f>'Q.2.ii'!F7</f>
        <v>0</v>
      </c>
      <c r="E4" s="50">
        <f>'Q.2.Input'!$C$4/'Q.2.Input'!C4</f>
        <v>1</v>
      </c>
      <c r="F4" s="54">
        <f>E4*D4</f>
        <v>0</v>
      </c>
      <c r="G4" s="45">
        <f>F4*(1+$J$5)^-(C4/12)</f>
        <v>0</v>
      </c>
      <c r="I4" s="26" t="s">
        <v>52</v>
      </c>
      <c r="J4" s="26">
        <v>85</v>
      </c>
    </row>
    <row r="5" spans="2:11" x14ac:dyDescent="0.35">
      <c r="B5" s="37">
        <f>EDATE(B4,3)</f>
        <v>44287</v>
      </c>
      <c r="C5" s="26">
        <f>C4+3</f>
        <v>3</v>
      </c>
      <c r="D5" s="30">
        <f>'Q.2.ii'!F8</f>
        <v>1.7500000000000002</v>
      </c>
      <c r="E5" s="30">
        <f>'Q.2.Input'!$C$4/'Q.2.Input'!C5</f>
        <v>0.99219843968793731</v>
      </c>
      <c r="F5" s="55">
        <f t="shared" ref="F5:F44" si="0">E5*D5</f>
        <v>1.7363472694538904</v>
      </c>
      <c r="G5" s="38">
        <f t="shared" ref="G5:G44" si="1">F5*(1+$J$5)^-(C5/12)</f>
        <v>1.7030155376833154</v>
      </c>
      <c r="I5" s="15" t="s">
        <v>60</v>
      </c>
      <c r="J5" s="57">
        <v>8.0617290956790988E-2</v>
      </c>
      <c r="K5" s="23"/>
    </row>
    <row r="6" spans="2:11" x14ac:dyDescent="0.35">
      <c r="B6" s="37">
        <f t="shared" ref="B6:B44" si="2">EDATE(B5,3)</f>
        <v>44378</v>
      </c>
      <c r="C6" s="26">
        <f t="shared" ref="C6:C44" si="3">C5+3</f>
        <v>6</v>
      </c>
      <c r="D6" s="30">
        <f>'Q.2.ii'!F9</f>
        <v>1.7500000000000002</v>
      </c>
      <c r="E6" s="30">
        <f>'Q.2.Input'!$C$4/'Q.2.Input'!C6</f>
        <v>0.98455710099365845</v>
      </c>
      <c r="F6" s="55">
        <f t="shared" si="0"/>
        <v>1.7229749267389025</v>
      </c>
      <c r="G6" s="38">
        <f t="shared" si="1"/>
        <v>1.6574597903474395</v>
      </c>
    </row>
    <row r="7" spans="2:11" x14ac:dyDescent="0.35">
      <c r="B7" s="37">
        <f t="shared" si="2"/>
        <v>44470</v>
      </c>
      <c r="C7" s="26">
        <f t="shared" si="3"/>
        <v>9</v>
      </c>
      <c r="D7" s="30">
        <f>'Q.2.ii'!F10</f>
        <v>1.7500000000000002</v>
      </c>
      <c r="E7" s="30">
        <f>'Q.2.Input'!$C$4/'Q.2.Input'!C7</f>
        <v>0.9770707046320376</v>
      </c>
      <c r="F7" s="55">
        <f t="shared" si="0"/>
        <v>1.7098737331060661</v>
      </c>
      <c r="G7" s="38">
        <f t="shared" si="1"/>
        <v>1.6132813247777973</v>
      </c>
    </row>
    <row r="8" spans="2:11" x14ac:dyDescent="0.35">
      <c r="B8" s="37">
        <f t="shared" si="2"/>
        <v>44562</v>
      </c>
      <c r="C8" s="26">
        <f t="shared" si="3"/>
        <v>12</v>
      </c>
      <c r="D8" s="30">
        <f>'Q.2.ii'!F11</f>
        <v>1.7500000000000002</v>
      </c>
      <c r="E8" s="30">
        <f>'Q.2.Input'!$C$4/'Q.2.Input'!C8</f>
        <v>0.96973420916021436</v>
      </c>
      <c r="F8" s="55">
        <f t="shared" si="0"/>
        <v>1.6970348660303753</v>
      </c>
      <c r="G8" s="38">
        <f t="shared" si="1"/>
        <v>1.5704309751769761</v>
      </c>
    </row>
    <row r="9" spans="2:11" x14ac:dyDescent="0.35">
      <c r="B9" s="37">
        <f t="shared" si="2"/>
        <v>44652</v>
      </c>
      <c r="C9" s="26">
        <f t="shared" si="3"/>
        <v>15</v>
      </c>
      <c r="D9" s="30">
        <f>'Q.2.ii'!F12</f>
        <v>1.7500000000000002</v>
      </c>
      <c r="E9" s="30">
        <f>'Q.2.Input'!$C$4/'Q.2.Input'!C9</f>
        <v>0.96603057755298272</v>
      </c>
      <c r="F9" s="55">
        <f t="shared" si="0"/>
        <v>1.6905535107177199</v>
      </c>
      <c r="G9" s="38">
        <f t="shared" si="1"/>
        <v>1.5344015602632621</v>
      </c>
    </row>
    <row r="10" spans="2:11" x14ac:dyDescent="0.35">
      <c r="B10" s="37">
        <f t="shared" si="2"/>
        <v>44743</v>
      </c>
      <c r="C10" s="26">
        <f t="shared" si="3"/>
        <v>18</v>
      </c>
      <c r="D10" s="30">
        <f>'Q.2.ii'!F13</f>
        <v>1.7500000000000002</v>
      </c>
      <c r="E10" s="30">
        <f>'Q.2.Input'!$C$4/'Q.2.Input'!C10</f>
        <v>0.96236442735354055</v>
      </c>
      <c r="F10" s="55">
        <f t="shared" si="0"/>
        <v>1.6841377478686961</v>
      </c>
      <c r="G10" s="38">
        <f t="shared" si="1"/>
        <v>1.4992351006730635</v>
      </c>
    </row>
    <row r="11" spans="2:11" x14ac:dyDescent="0.35">
      <c r="B11" s="37">
        <f t="shared" si="2"/>
        <v>44835</v>
      </c>
      <c r="C11" s="26">
        <f t="shared" si="3"/>
        <v>21</v>
      </c>
      <c r="D11" s="30">
        <f>'Q.2.ii'!F14</f>
        <v>1.7500000000000002</v>
      </c>
      <c r="E11" s="30">
        <f>'Q.2.Input'!$C$4/'Q.2.Input'!C11</f>
        <v>0.95873514604359622</v>
      </c>
      <c r="F11" s="55">
        <f t="shared" si="0"/>
        <v>1.6777865055762935</v>
      </c>
      <c r="G11" s="38">
        <f t="shared" si="1"/>
        <v>1.4649096852106129</v>
      </c>
    </row>
    <row r="12" spans="2:11" x14ac:dyDescent="0.35">
      <c r="B12" s="37">
        <f t="shared" si="2"/>
        <v>44927</v>
      </c>
      <c r="C12" s="26">
        <f t="shared" si="3"/>
        <v>24</v>
      </c>
      <c r="D12" s="30">
        <f>'Q.2.ii'!F15</f>
        <v>1.7500000000000002</v>
      </c>
      <c r="E12" s="30">
        <f>'Q.2.Input'!$C$4/'Q.2.Input'!C12</f>
        <v>0.95514213487791133</v>
      </c>
      <c r="F12" s="55">
        <f t="shared" si="0"/>
        <v>1.6714987360363451</v>
      </c>
      <c r="G12" s="38">
        <f t="shared" si="1"/>
        <v>1.4314040040025828</v>
      </c>
    </row>
    <row r="13" spans="2:11" x14ac:dyDescent="0.35">
      <c r="B13" s="37">
        <f t="shared" si="2"/>
        <v>45017</v>
      </c>
      <c r="C13" s="26">
        <f t="shared" si="3"/>
        <v>27</v>
      </c>
      <c r="D13" s="30">
        <f>'Q.2.ii'!F16</f>
        <v>1.7500000000000002</v>
      </c>
      <c r="E13" s="30">
        <f>'Q.2.Input'!$C$4/'Q.2.Input'!C13</f>
        <v>0.95244262453221717</v>
      </c>
      <c r="F13" s="55">
        <f t="shared" si="0"/>
        <v>1.6667745929313802</v>
      </c>
      <c r="G13" s="38">
        <f t="shared" si="1"/>
        <v>1.3999582005543592</v>
      </c>
    </row>
    <row r="14" spans="2:11" x14ac:dyDescent="0.35">
      <c r="B14" s="37">
        <f t="shared" si="2"/>
        <v>45108</v>
      </c>
      <c r="C14" s="26">
        <f t="shared" si="3"/>
        <v>30</v>
      </c>
      <c r="D14" s="30">
        <f>'Q.2.ii'!F17</f>
        <v>1.7500000000000002</v>
      </c>
      <c r="E14" s="30">
        <f>'Q.2.Input'!$C$4/'Q.2.Input'!C14</f>
        <v>0.94976336440838882</v>
      </c>
      <c r="F14" s="55">
        <f t="shared" si="0"/>
        <v>1.6620858877146807</v>
      </c>
      <c r="G14" s="38">
        <f t="shared" si="1"/>
        <v>1.3692214087881922</v>
      </c>
    </row>
    <row r="15" spans="2:11" x14ac:dyDescent="0.35">
      <c r="B15" s="37">
        <f t="shared" si="2"/>
        <v>45200</v>
      </c>
      <c r="C15" s="26">
        <f t="shared" si="3"/>
        <v>33</v>
      </c>
      <c r="D15" s="30">
        <f>'Q.2.ii'!F18</f>
        <v>1.7500000000000002</v>
      </c>
      <c r="E15" s="30">
        <f>'Q.2.Input'!$C$4/'Q.2.Input'!C15</f>
        <v>0.94710410881129437</v>
      </c>
      <c r="F15" s="55">
        <f t="shared" si="0"/>
        <v>1.6574321904197653</v>
      </c>
      <c r="G15" s="38">
        <f t="shared" si="1"/>
        <v>1.3391770877606399</v>
      </c>
    </row>
    <row r="16" spans="2:11" x14ac:dyDescent="0.35">
      <c r="B16" s="37">
        <f t="shared" si="2"/>
        <v>45292</v>
      </c>
      <c r="C16" s="26">
        <f t="shared" si="3"/>
        <v>36</v>
      </c>
      <c r="D16" s="30">
        <f>'Q.2.ii'!F19</f>
        <v>1.7500000000000002</v>
      </c>
      <c r="E16" s="30">
        <f>'Q.2.Input'!$C$4/'Q.2.Input'!C16</f>
        <v>0.9444646161541812</v>
      </c>
      <c r="F16" s="55">
        <f t="shared" si="0"/>
        <v>1.6528130782698174</v>
      </c>
      <c r="G16" s="38">
        <f t="shared" si="1"/>
        <v>1.309809100103231</v>
      </c>
    </row>
    <row r="17" spans="2:7" x14ac:dyDescent="0.35">
      <c r="B17" s="37">
        <f t="shared" si="2"/>
        <v>45383</v>
      </c>
      <c r="C17" s="26">
        <f t="shared" si="3"/>
        <v>39</v>
      </c>
      <c r="D17" s="30">
        <f>'Q.2.ii'!F20</f>
        <v>1.7500000000000002</v>
      </c>
      <c r="E17" s="30">
        <f>'Q.2.Input'!$C$4/'Q.2.Input'!C17</f>
        <v>0.94271404674138803</v>
      </c>
      <c r="F17" s="55">
        <f t="shared" si="0"/>
        <v>1.6497495817974293</v>
      </c>
      <c r="G17" s="38">
        <f t="shared" si="1"/>
        <v>1.2822842608243654</v>
      </c>
    </row>
    <row r="18" spans="2:7" x14ac:dyDescent="0.35">
      <c r="B18" s="37">
        <f t="shared" si="2"/>
        <v>45474</v>
      </c>
      <c r="C18" s="26">
        <f t="shared" si="3"/>
        <v>42</v>
      </c>
      <c r="D18" s="30">
        <f>'Q.2.ii'!F21</f>
        <v>1.7500000000000002</v>
      </c>
      <c r="E18" s="30">
        <f>'Q.2.Input'!$C$4/'Q.2.Input'!C18</f>
        <v>0.94097210318389957</v>
      </c>
      <c r="F18" s="55">
        <f t="shared" si="0"/>
        <v>1.6467011805718244</v>
      </c>
      <c r="G18" s="38">
        <f t="shared" si="1"/>
        <v>1.2553450182346846</v>
      </c>
    </row>
    <row r="19" spans="2:7" x14ac:dyDescent="0.35">
      <c r="B19" s="37">
        <f t="shared" si="2"/>
        <v>45566</v>
      </c>
      <c r="C19" s="26">
        <f t="shared" si="3"/>
        <v>45</v>
      </c>
      <c r="D19" s="30">
        <f>'Q.2.ii'!F22</f>
        <v>1.7500000000000002</v>
      </c>
      <c r="E19" s="30">
        <f>'Q.2.Input'!$C$4/'Q.2.Input'!C19</f>
        <v>0.93923871662553349</v>
      </c>
      <c r="F19" s="55">
        <f t="shared" si="0"/>
        <v>1.6436677540946838</v>
      </c>
      <c r="G19" s="38">
        <f t="shared" si="1"/>
        <v>1.2289787215777364</v>
      </c>
    </row>
    <row r="20" spans="2:7" x14ac:dyDescent="0.35">
      <c r="B20" s="37">
        <f t="shared" si="2"/>
        <v>45658</v>
      </c>
      <c r="C20" s="26">
        <f t="shared" si="3"/>
        <v>48</v>
      </c>
      <c r="D20" s="30">
        <f>'Q.2.ii'!F23</f>
        <v>1.7500000000000002</v>
      </c>
      <c r="E20" s="30">
        <f>'Q.2.Input'!$C$4/'Q.2.Input'!C20</f>
        <v>0.93751381896882757</v>
      </c>
      <c r="F20" s="55">
        <f t="shared" si="0"/>
        <v>1.6406491831954484</v>
      </c>
      <c r="G20" s="38">
        <f t="shared" si="1"/>
        <v>1.203172998675248</v>
      </c>
    </row>
    <row r="21" spans="2:7" x14ac:dyDescent="0.35">
      <c r="B21" s="37">
        <f t="shared" si="2"/>
        <v>45748</v>
      </c>
      <c r="C21" s="26">
        <f t="shared" si="3"/>
        <v>51</v>
      </c>
      <c r="D21" s="30">
        <f>'Q.2.ii'!F24</f>
        <v>1.7500000000000002</v>
      </c>
      <c r="E21" s="30">
        <f>'Q.2.Input'!$C$4/'Q.2.Input'!C21</f>
        <v>0.93458179764288896</v>
      </c>
      <c r="F21" s="55">
        <f t="shared" si="0"/>
        <v>1.6355181458750558</v>
      </c>
      <c r="G21" s="38">
        <f t="shared" si="1"/>
        <v>1.1763857069775989</v>
      </c>
    </row>
    <row r="22" spans="2:7" x14ac:dyDescent="0.35">
      <c r="B22" s="37">
        <f t="shared" si="2"/>
        <v>45839</v>
      </c>
      <c r="C22" s="26">
        <f t="shared" si="3"/>
        <v>54</v>
      </c>
      <c r="D22" s="30">
        <f>'Q.2.ii'!F25</f>
        <v>1.7500000000000002</v>
      </c>
      <c r="E22" s="30">
        <f>'Q.2.Input'!$C$4/'Q.2.Input'!C22</f>
        <v>0.931674102135574</v>
      </c>
      <c r="F22" s="55">
        <f t="shared" si="0"/>
        <v>1.6304296787372548</v>
      </c>
      <c r="G22" s="38">
        <f t="shared" si="1"/>
        <v>1.1502135153561464</v>
      </c>
    </row>
    <row r="23" spans="2:7" x14ac:dyDescent="0.35">
      <c r="B23" s="37">
        <f t="shared" si="2"/>
        <v>45931</v>
      </c>
      <c r="C23" s="26">
        <f t="shared" si="3"/>
        <v>57</v>
      </c>
      <c r="D23" s="30">
        <f>'Q.2.ii'!F26</f>
        <v>1.7500000000000002</v>
      </c>
      <c r="E23" s="30">
        <f>'Q.2.Input'!$C$4/'Q.2.Input'!C23</f>
        <v>0.92879040617848652</v>
      </c>
      <c r="F23" s="55">
        <f t="shared" si="0"/>
        <v>1.6253832108123516</v>
      </c>
      <c r="G23" s="38">
        <f t="shared" si="1"/>
        <v>1.1246417079749889</v>
      </c>
    </row>
    <row r="24" spans="2:7" x14ac:dyDescent="0.35">
      <c r="B24" s="37">
        <f t="shared" si="2"/>
        <v>46023</v>
      </c>
      <c r="C24" s="26">
        <f t="shared" si="3"/>
        <v>60</v>
      </c>
      <c r="D24" s="30">
        <f>'Q.2.ii'!F27</f>
        <v>1.7500000000000002</v>
      </c>
      <c r="E24" s="30">
        <f>'Q.2.Input'!$C$4/'Q.2.Input'!C24</f>
        <v>0.92593038953128592</v>
      </c>
      <c r="F24" s="55">
        <f t="shared" si="0"/>
        <v>1.6203781816797507</v>
      </c>
      <c r="G24" s="38">
        <f t="shared" si="1"/>
        <v>1.0996559407090094</v>
      </c>
    </row>
    <row r="25" spans="2:7" x14ac:dyDescent="0.35">
      <c r="B25" s="37">
        <f t="shared" si="2"/>
        <v>46113</v>
      </c>
      <c r="C25" s="26">
        <f t="shared" si="3"/>
        <v>63</v>
      </c>
      <c r="D25" s="30">
        <f>'Q.2.ii'!F28</f>
        <v>1.7500000000000002</v>
      </c>
      <c r="E25" s="30">
        <f>'Q.2.Input'!$C$4/'Q.2.Input'!C25</f>
        <v>0.92303459472430749</v>
      </c>
      <c r="F25" s="55">
        <f t="shared" si="0"/>
        <v>1.6153105407675383</v>
      </c>
      <c r="G25" s="38">
        <f t="shared" si="1"/>
        <v>1.0751733397170837</v>
      </c>
    </row>
    <row r="26" spans="2:7" x14ac:dyDescent="0.35">
      <c r="B26" s="37">
        <f t="shared" si="2"/>
        <v>46204</v>
      </c>
      <c r="C26" s="26">
        <f t="shared" si="3"/>
        <v>66</v>
      </c>
      <c r="D26" s="30">
        <f>'Q.2.ii'!F29</f>
        <v>1.7500000000000002</v>
      </c>
      <c r="E26" s="30">
        <f>'Q.2.Input'!$C$4/'Q.2.Input'!C26</f>
        <v>0.92016282517888615</v>
      </c>
      <c r="F26" s="55">
        <f t="shared" si="0"/>
        <v>1.6102849440630509</v>
      </c>
      <c r="G26" s="38">
        <f t="shared" si="1"/>
        <v>1.0512529176085477</v>
      </c>
    </row>
    <row r="27" spans="2:7" x14ac:dyDescent="0.35">
      <c r="B27" s="37">
        <f t="shared" si="2"/>
        <v>46296</v>
      </c>
      <c r="C27" s="26">
        <f t="shared" si="3"/>
        <v>69</v>
      </c>
      <c r="D27" s="30">
        <f>'Q.2.ii'!F30</f>
        <v>1.7500000000000002</v>
      </c>
      <c r="E27" s="30">
        <f>'Q.2.Input'!$C$4/'Q.2.Input'!C27</f>
        <v>0.91731475865782652</v>
      </c>
      <c r="F27" s="55">
        <f t="shared" si="0"/>
        <v>1.6053008276511966</v>
      </c>
      <c r="G27" s="38">
        <f t="shared" si="1"/>
        <v>1.027881224649748</v>
      </c>
    </row>
    <row r="28" spans="2:7" x14ac:dyDescent="0.35">
      <c r="B28" s="37">
        <f t="shared" si="2"/>
        <v>46388</v>
      </c>
      <c r="C28" s="26">
        <f t="shared" si="3"/>
        <v>72</v>
      </c>
      <c r="D28" s="30">
        <f>'Q.2.ii'!F31</f>
        <v>1.7500000000000002</v>
      </c>
      <c r="E28" s="30">
        <f>'Q.2.Input'!$C$4/'Q.2.Input'!C28</f>
        <v>0.91449007887751022</v>
      </c>
      <c r="F28" s="55">
        <f t="shared" si="0"/>
        <v>1.600357638035643</v>
      </c>
      <c r="G28" s="38">
        <f t="shared" si="1"/>
        <v>1.0050451508370382</v>
      </c>
    </row>
    <row r="29" spans="2:7" x14ac:dyDescent="0.35">
      <c r="B29" s="37">
        <f t="shared" si="2"/>
        <v>46478</v>
      </c>
      <c r="C29" s="26">
        <f t="shared" si="3"/>
        <v>75</v>
      </c>
      <c r="D29" s="30">
        <f>'Q.2.ii'!F32</f>
        <v>1.7500000000000002</v>
      </c>
      <c r="E29" s="30">
        <f>'Q.2.Input'!$C$4/'Q.2.Input'!C29</f>
        <v>0.91163006299360849</v>
      </c>
      <c r="F29" s="55">
        <f t="shared" si="0"/>
        <v>1.5953526102388151</v>
      </c>
      <c r="G29" s="38">
        <f t="shared" si="1"/>
        <v>0.98266895252272923</v>
      </c>
    </row>
    <row r="30" spans="2:7" x14ac:dyDescent="0.35">
      <c r="B30" s="37">
        <f t="shared" si="2"/>
        <v>46569</v>
      </c>
      <c r="C30" s="26">
        <f t="shared" si="3"/>
        <v>78</v>
      </c>
      <c r="D30" s="30">
        <f>'Q.2.ii'!F33</f>
        <v>1.7500000000000002</v>
      </c>
      <c r="E30" s="30">
        <f>'Q.2.Input'!$C$4/'Q.2.Input'!C30</f>
        <v>0.90879377552772245</v>
      </c>
      <c r="F30" s="55">
        <f t="shared" si="0"/>
        <v>1.5903891071735146</v>
      </c>
      <c r="G30" s="38">
        <f t="shared" si="1"/>
        <v>0.96080656506483153</v>
      </c>
    </row>
    <row r="31" spans="2:7" x14ac:dyDescent="0.35">
      <c r="B31" s="37">
        <f t="shared" si="2"/>
        <v>46661</v>
      </c>
      <c r="C31" s="26">
        <f t="shared" si="3"/>
        <v>81</v>
      </c>
      <c r="D31" s="30">
        <f>'Q.2.ii'!F34</f>
        <v>1.7500000000000002</v>
      </c>
      <c r="E31" s="30">
        <f>'Q.2.Input'!$C$4/'Q.2.Input'!C31</f>
        <v>0.90598089822405103</v>
      </c>
      <c r="F31" s="55">
        <f t="shared" si="0"/>
        <v>1.5854665718920895</v>
      </c>
      <c r="G31" s="38">
        <f t="shared" si="1"/>
        <v>0.93944569590065552</v>
      </c>
    </row>
    <row r="32" spans="2:7" x14ac:dyDescent="0.35">
      <c r="B32" s="37">
        <f t="shared" si="2"/>
        <v>46753</v>
      </c>
      <c r="C32" s="26">
        <f t="shared" si="3"/>
        <v>84</v>
      </c>
      <c r="D32" s="30">
        <f>'Q.2.ii'!F35</f>
        <v>1.7500000000000002</v>
      </c>
      <c r="E32" s="30">
        <f>'Q.2.Input'!$C$4/'Q.2.Input'!C32</f>
        <v>0.90319111870681024</v>
      </c>
      <c r="F32" s="55">
        <f t="shared" si="0"/>
        <v>1.5805844577369181</v>
      </c>
      <c r="G32" s="38">
        <f t="shared" si="1"/>
        <v>0.91857436296826367</v>
      </c>
    </row>
    <row r="33" spans="2:7" x14ac:dyDescent="0.35">
      <c r="B33" s="37">
        <f t="shared" si="2"/>
        <v>46844</v>
      </c>
      <c r="C33" s="26">
        <f t="shared" si="3"/>
        <v>87</v>
      </c>
      <c r="D33" s="30">
        <f>'Q.2.ii'!F36</f>
        <v>1.7500000000000002</v>
      </c>
      <c r="E33" s="30">
        <f>'Q.2.Input'!$C$4/'Q.2.Input'!C33</f>
        <v>0.90036643968036179</v>
      </c>
      <c r="F33" s="55">
        <f t="shared" si="0"/>
        <v>1.5756412694406334</v>
      </c>
      <c r="G33" s="38">
        <f t="shared" si="1"/>
        <v>0.89812333935494659</v>
      </c>
    </row>
    <row r="34" spans="2:7" x14ac:dyDescent="0.35">
      <c r="B34" s="37">
        <f t="shared" si="2"/>
        <v>46935</v>
      </c>
      <c r="C34" s="26">
        <f t="shared" si="3"/>
        <v>90</v>
      </c>
      <c r="D34" s="30">
        <f>'Q.2.ii'!F37</f>
        <v>1.7500000000000002</v>
      </c>
      <c r="E34" s="30">
        <f>'Q.2.Input'!$C$4/'Q.2.Input'!C34</f>
        <v>0.89756519589603057</v>
      </c>
      <c r="F34" s="55">
        <f t="shared" si="0"/>
        <v>1.5707390928180538</v>
      </c>
      <c r="G34" s="38">
        <f t="shared" si="1"/>
        <v>0.87814191999743907</v>
      </c>
    </row>
    <row r="35" spans="2:7" x14ac:dyDescent="0.35">
      <c r="B35" s="37">
        <f t="shared" si="2"/>
        <v>47027</v>
      </c>
      <c r="C35" s="26">
        <f t="shared" si="3"/>
        <v>93</v>
      </c>
      <c r="D35" s="30">
        <f>'Q.2.ii'!F38</f>
        <v>1.7500000000000002</v>
      </c>
      <c r="E35" s="30">
        <f>'Q.2.Input'!$C$4/'Q.2.Input'!C35</f>
        <v>0.89478707303021854</v>
      </c>
      <c r="F35" s="55">
        <f t="shared" si="0"/>
        <v>1.5658773778028827</v>
      </c>
      <c r="G35" s="38">
        <f t="shared" si="1"/>
        <v>0.85861886994482228</v>
      </c>
    </row>
    <row r="36" spans="2:7" x14ac:dyDescent="0.35">
      <c r="B36" s="37">
        <f t="shared" si="2"/>
        <v>47119</v>
      </c>
      <c r="C36" s="26">
        <f t="shared" si="3"/>
        <v>96</v>
      </c>
      <c r="D36" s="30">
        <f>'Q.2.ii'!F39</f>
        <v>1.7500000000000002</v>
      </c>
      <c r="E36" s="30">
        <f>'Q.2.Input'!$C$4/'Q.2.Input'!C36</f>
        <v>0.89203176256669237</v>
      </c>
      <c r="F36" s="55">
        <f t="shared" si="0"/>
        <v>1.5610555844917118</v>
      </c>
      <c r="G36" s="38">
        <f t="shared" si="1"/>
        <v>0.83954323803246123</v>
      </c>
    </row>
    <row r="37" spans="2:7" x14ac:dyDescent="0.35">
      <c r="B37" s="37">
        <f t="shared" si="2"/>
        <v>47209</v>
      </c>
      <c r="C37" s="26">
        <f t="shared" si="3"/>
        <v>99</v>
      </c>
      <c r="D37" s="30">
        <f>'Q.2.ii'!F40</f>
        <v>1.7500000000000002</v>
      </c>
      <c r="E37" s="30">
        <f>'Q.2.Input'!$C$4/'Q.2.Input'!C37</f>
        <v>0.88924198379400499</v>
      </c>
      <c r="F37" s="55">
        <f t="shared" si="0"/>
        <v>1.556173471639509</v>
      </c>
      <c r="G37" s="38">
        <f t="shared" si="1"/>
        <v>0.82085175340412797</v>
      </c>
    </row>
    <row r="38" spans="2:7" x14ac:dyDescent="0.35">
      <c r="B38" s="37">
        <f t="shared" si="2"/>
        <v>47300</v>
      </c>
      <c r="C38" s="26">
        <f t="shared" si="3"/>
        <v>102</v>
      </c>
      <c r="D38" s="30">
        <f>'Q.2.ii'!F41</f>
        <v>1.7500000000000002</v>
      </c>
      <c r="E38" s="30">
        <f>'Q.2.Input'!$C$4/'Q.2.Input'!C38</f>
        <v>0.88647535070986527</v>
      </c>
      <c r="F38" s="55">
        <f t="shared" si="0"/>
        <v>1.5513318637422644</v>
      </c>
      <c r="G38" s="38">
        <f t="shared" si="1"/>
        <v>0.80258946982190538</v>
      </c>
    </row>
    <row r="39" spans="2:7" x14ac:dyDescent="0.35">
      <c r="B39" s="37">
        <f t="shared" si="2"/>
        <v>47392</v>
      </c>
      <c r="C39" s="26">
        <f t="shared" si="3"/>
        <v>105</v>
      </c>
      <c r="D39" s="30">
        <f>'Q.2.ii'!F42</f>
        <v>1.7500000000000002</v>
      </c>
      <c r="E39" s="30">
        <f>'Q.2.Input'!$C$4/'Q.2.Input'!C39</f>
        <v>0.8837315528742915</v>
      </c>
      <c r="F39" s="55">
        <f t="shared" si="0"/>
        <v>1.5465302175300104</v>
      </c>
      <c r="G39" s="38">
        <f t="shared" si="1"/>
        <v>0.78474611895319624</v>
      </c>
    </row>
    <row r="40" spans="2:7" x14ac:dyDescent="0.35">
      <c r="B40" s="37">
        <f t="shared" si="2"/>
        <v>47484</v>
      </c>
      <c r="C40" s="26">
        <f t="shared" si="3"/>
        <v>108</v>
      </c>
      <c r="D40" s="30">
        <f>'Q.2.ii'!F43</f>
        <v>1.7500000000000002</v>
      </c>
      <c r="E40" s="30">
        <f>'Q.2.Input'!$C$4/'Q.2.Input'!C40</f>
        <v>0.88101028558291605</v>
      </c>
      <c r="F40" s="55">
        <f t="shared" si="0"/>
        <v>1.5417679997701033</v>
      </c>
      <c r="G40" s="38">
        <f t="shared" si="1"/>
        <v>0.76731169183564762</v>
      </c>
    </row>
    <row r="41" spans="2:7" x14ac:dyDescent="0.35">
      <c r="B41" s="37">
        <f t="shared" si="2"/>
        <v>47574</v>
      </c>
      <c r="C41" s="26">
        <f t="shared" si="3"/>
        <v>111</v>
      </c>
      <c r="D41" s="30">
        <f>'Q.2.ii'!F44</f>
        <v>1.7500000000000002</v>
      </c>
      <c r="E41" s="30">
        <f>'Q.2.Input'!$C$4/'Q.2.Input'!C41</f>
        <v>0.8782549758547441</v>
      </c>
      <c r="F41" s="55">
        <f t="shared" si="0"/>
        <v>1.5369462077458025</v>
      </c>
      <c r="G41" s="38">
        <f t="shared" si="1"/>
        <v>0.75022836122995007</v>
      </c>
    </row>
    <row r="42" spans="2:7" x14ac:dyDescent="0.35">
      <c r="B42" s="37">
        <f t="shared" si="2"/>
        <v>47665</v>
      </c>
      <c r="C42" s="26">
        <f t="shared" si="3"/>
        <v>114</v>
      </c>
      <c r="D42" s="30">
        <f>'Q.2.ii'!F45</f>
        <v>1.7500000000000002</v>
      </c>
      <c r="E42" s="30">
        <f>'Q.2.Input'!$C$4/'Q.2.Input'!C42</f>
        <v>0.8755225258391216</v>
      </c>
      <c r="F42" s="55">
        <f t="shared" si="0"/>
        <v>1.532164420218463</v>
      </c>
      <c r="G42" s="38">
        <f t="shared" si="1"/>
        <v>0.73353730462028954</v>
      </c>
    </row>
    <row r="43" spans="2:7" x14ac:dyDescent="0.35">
      <c r="B43" s="37">
        <f t="shared" si="2"/>
        <v>47757</v>
      </c>
      <c r="C43" s="26">
        <f t="shared" si="3"/>
        <v>117</v>
      </c>
      <c r="D43" s="30">
        <f>'Q.2.ii'!F46</f>
        <v>1.7500000000000002</v>
      </c>
      <c r="E43" s="30">
        <f>'Q.2.Input'!$C$4/'Q.2.Input'!C43</f>
        <v>0.87281262893170086</v>
      </c>
      <c r="F43" s="55">
        <f t="shared" si="0"/>
        <v>1.5274221006304767</v>
      </c>
      <c r="G43" s="38">
        <f t="shared" si="1"/>
        <v>0.71722913712772141</v>
      </c>
    </row>
    <row r="44" spans="2:7" ht="15" thickBot="1" x14ac:dyDescent="0.4">
      <c r="B44" s="39">
        <f t="shared" si="2"/>
        <v>47849</v>
      </c>
      <c r="C44" s="40">
        <f t="shared" si="3"/>
        <v>120</v>
      </c>
      <c r="D44" s="52">
        <f>'Q.2.ii'!F47</f>
        <v>101.75</v>
      </c>
      <c r="E44" s="52">
        <f>'Q.2.Input'!$C$4/'Q.2.Input'!C44</f>
        <v>0.87012498419288142</v>
      </c>
      <c r="F44" s="56">
        <f t="shared" si="0"/>
        <v>88.535217141625679</v>
      </c>
      <c r="G44" s="42">
        <f t="shared" si="1"/>
        <v>40.775278192538508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C8AD-5781-404C-88F5-6778D09E0195}">
  <dimension ref="B1:E9"/>
  <sheetViews>
    <sheetView showGridLines="0" workbookViewId="0"/>
  </sheetViews>
  <sheetFormatPr defaultRowHeight="14.5" x14ac:dyDescent="0.35"/>
  <cols>
    <col min="2" max="2" width="21.08984375" bestFit="1" customWidth="1"/>
  </cols>
  <sheetData>
    <row r="1" spans="2:5" ht="15" thickBot="1" x14ac:dyDescent="0.4">
      <c r="E1" s="23"/>
    </row>
    <row r="2" spans="2:5" x14ac:dyDescent="0.35">
      <c r="B2" s="103" t="s">
        <v>61</v>
      </c>
      <c r="C2" s="105">
        <v>60</v>
      </c>
      <c r="E2" s="23"/>
    </row>
    <row r="3" spans="2:5" x14ac:dyDescent="0.35">
      <c r="B3" s="67" t="s">
        <v>62</v>
      </c>
      <c r="C3" s="68">
        <v>100</v>
      </c>
      <c r="E3" s="23"/>
    </row>
    <row r="4" spans="2:5" ht="15" thickBot="1" x14ac:dyDescent="0.4">
      <c r="B4" s="9" t="s">
        <v>63</v>
      </c>
      <c r="C4" s="10">
        <v>10</v>
      </c>
      <c r="E4" s="23"/>
    </row>
    <row r="5" spans="2:5" ht="15" thickBot="1" x14ac:dyDescent="0.4">
      <c r="B5" s="102" t="s">
        <v>64</v>
      </c>
      <c r="C5" s="106">
        <f>(C3/C2)^(1/C4)-1</f>
        <v>5.2409779148925528E-2</v>
      </c>
      <c r="E5" s="23"/>
    </row>
    <row r="6" spans="2:5" ht="15" thickBot="1" x14ac:dyDescent="0.4">
      <c r="E6" s="23"/>
    </row>
    <row r="7" spans="2:5" x14ac:dyDescent="0.35">
      <c r="B7" s="103" t="s">
        <v>65</v>
      </c>
      <c r="C7" s="104">
        <f>'Q.2.i'!J8</f>
        <v>6.8059228741399858E-2</v>
      </c>
      <c r="E7" s="23"/>
    </row>
    <row r="8" spans="2:5" ht="15" thickBot="1" x14ac:dyDescent="0.4">
      <c r="B8" s="9" t="s">
        <v>60</v>
      </c>
      <c r="C8" s="107">
        <f>'Q.2.iii'!J5</f>
        <v>8.0617290956790988E-2</v>
      </c>
      <c r="E8" s="23"/>
    </row>
    <row r="9" spans="2:5" ht="15" thickBot="1" x14ac:dyDescent="0.4">
      <c r="B9" s="102" t="s">
        <v>8</v>
      </c>
      <c r="C9" s="106">
        <f>ROUND(C8-C7+C5,4)</f>
        <v>6.5000000000000002E-2</v>
      </c>
      <c r="E9" s="2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F3FE-45BF-4733-B272-633EC763AC12}">
  <dimension ref="B1:M34"/>
  <sheetViews>
    <sheetView showGridLines="0" workbookViewId="0"/>
  </sheetViews>
  <sheetFormatPr defaultRowHeight="14.5" x14ac:dyDescent="0.35"/>
  <cols>
    <col min="2" max="2" width="15.1796875" bestFit="1" customWidth="1"/>
    <col min="3" max="3" width="11.1796875" customWidth="1"/>
    <col min="11" max="11" width="9.90625" bestFit="1" customWidth="1"/>
  </cols>
  <sheetData>
    <row r="1" spans="2:13" x14ac:dyDescent="0.35">
      <c r="B1" s="2" t="s">
        <v>8</v>
      </c>
      <c r="C1" s="58">
        <f>'Q.2.iv'!C9</f>
        <v>6.5000000000000002E-2</v>
      </c>
    </row>
    <row r="2" spans="2:13" x14ac:dyDescent="0.35">
      <c r="C2" s="25"/>
      <c r="K2" s="59"/>
    </row>
    <row r="3" spans="2:13" ht="15" thickBot="1" x14ac:dyDescent="0.4">
      <c r="C3" s="23"/>
      <c r="D3" s="23"/>
      <c r="E3" s="23"/>
      <c r="F3" s="23"/>
      <c r="G3" s="23"/>
      <c r="H3" s="23"/>
    </row>
    <row r="4" spans="2:13" ht="44" thickBot="1" x14ac:dyDescent="0.4">
      <c r="B4" s="46" t="s">
        <v>66</v>
      </c>
      <c r="C4" s="47" t="s">
        <v>69</v>
      </c>
      <c r="D4" s="47" t="s">
        <v>70</v>
      </c>
      <c r="E4" s="47" t="s">
        <v>71</v>
      </c>
      <c r="F4" s="47" t="s">
        <v>72</v>
      </c>
      <c r="G4" s="47" t="s">
        <v>74</v>
      </c>
      <c r="H4" s="48" t="s">
        <v>45</v>
      </c>
      <c r="K4" s="15" t="s">
        <v>73</v>
      </c>
      <c r="L4" s="31">
        <f>SUM(H5:H34)</f>
        <v>109.24781931870341</v>
      </c>
      <c r="M4" s="23"/>
    </row>
    <row r="5" spans="2:13" x14ac:dyDescent="0.35">
      <c r="B5" s="98">
        <v>1</v>
      </c>
      <c r="C5" s="50">
        <f>'Q.2.Input'!I3*10%+3</f>
        <v>6</v>
      </c>
      <c r="D5" s="34">
        <f>'Q.2.Input'!J3/'Q.2.Input'!$J$3</f>
        <v>1</v>
      </c>
      <c r="E5" s="34">
        <v>0</v>
      </c>
      <c r="F5" s="34">
        <f>C5+E5</f>
        <v>6</v>
      </c>
      <c r="G5" s="34">
        <f>(1+$C$1)^-B5</f>
        <v>0.93896713615023475</v>
      </c>
      <c r="H5" s="45">
        <f>F5*G5</f>
        <v>5.6338028169014081</v>
      </c>
    </row>
    <row r="6" spans="2:13" x14ac:dyDescent="0.35">
      <c r="B6" s="67">
        <f>B5+1</f>
        <v>2</v>
      </c>
      <c r="C6" s="30">
        <f>'Q.2.Input'!I4*10%+3</f>
        <v>6.0471774193548402</v>
      </c>
      <c r="D6" s="36">
        <f>'Q.2.Input'!J4/'Q.2.Input'!$J$3</f>
        <v>1.0471774193548398</v>
      </c>
      <c r="E6" s="36">
        <v>0</v>
      </c>
      <c r="F6" s="36">
        <f t="shared" ref="F6:F34" si="0">C6+E6</f>
        <v>6.0471774193548402</v>
      </c>
      <c r="G6" s="36">
        <f t="shared" ref="G6:G34" si="1">(1+$C$1)^-B6</f>
        <v>0.88165928277017358</v>
      </c>
      <c r="H6" s="38">
        <f t="shared" ref="H6:H34" si="2">F6*G6</f>
        <v>5.3315501063323776</v>
      </c>
    </row>
    <row r="7" spans="2:13" x14ac:dyDescent="0.35">
      <c r="B7" s="67">
        <f t="shared" ref="B7:B34" si="3">B6+1</f>
        <v>3</v>
      </c>
      <c r="C7" s="30">
        <f>'Q.2.Input'!I5*10%+3</f>
        <v>6.0944768897448238</v>
      </c>
      <c r="D7" s="36">
        <f>'Q.2.Input'!J5/'Q.2.Input'!$J$3</f>
        <v>1.0959415021665861</v>
      </c>
      <c r="E7" s="36">
        <v>0</v>
      </c>
      <c r="F7" s="36">
        <f t="shared" si="0"/>
        <v>6.0944768897448238</v>
      </c>
      <c r="G7" s="36">
        <f t="shared" si="1"/>
        <v>0.82784909180297994</v>
      </c>
      <c r="H7" s="38">
        <f t="shared" si="2"/>
        <v>5.0453071581895026</v>
      </c>
    </row>
    <row r="8" spans="2:13" x14ac:dyDescent="0.35">
      <c r="B8" s="67">
        <f t="shared" si="3"/>
        <v>4</v>
      </c>
      <c r="C8" s="30">
        <f>'Q.2.Input'!I6*10%+3</f>
        <v>6.1418971642831544</v>
      </c>
      <c r="D8" s="36">
        <f>'Q.2.Input'!J6/'Q.2.Input'!$J$3</f>
        <v>1.1463246674921235</v>
      </c>
      <c r="E8" s="36">
        <v>0</v>
      </c>
      <c r="F8" s="36">
        <f t="shared" si="0"/>
        <v>6.1418971642831544</v>
      </c>
      <c r="G8" s="36">
        <f t="shared" si="1"/>
        <v>0.77732309089481699</v>
      </c>
      <c r="H8" s="38">
        <f t="shared" si="2"/>
        <v>4.7742384876986934</v>
      </c>
    </row>
    <row r="9" spans="2:13" x14ac:dyDescent="0.35">
      <c r="B9" s="67">
        <f t="shared" si="3"/>
        <v>5</v>
      </c>
      <c r="C9" s="30">
        <f>'Q.2.Input'!I7*10%+3</f>
        <v>6.1894370243828813</v>
      </c>
      <c r="D9" s="36">
        <f>'Q.2.Input'!J7/'Q.2.Input'!$J$3</f>
        <v>1.1983595796537452</v>
      </c>
      <c r="E9" s="36">
        <v>0</v>
      </c>
      <c r="F9" s="36">
        <f t="shared" si="0"/>
        <v>6.1894370243828813</v>
      </c>
      <c r="G9" s="36">
        <f t="shared" si="1"/>
        <v>0.72988083652095492</v>
      </c>
      <c r="H9" s="38">
        <f t="shared" si="2"/>
        <v>4.5175514729503474</v>
      </c>
    </row>
    <row r="10" spans="2:13" x14ac:dyDescent="0.35">
      <c r="B10" s="67">
        <f t="shared" si="3"/>
        <v>6</v>
      </c>
      <c r="C10" s="30">
        <f>'Q.2.Input'!I8*10%+3</f>
        <v>6.213892771534697</v>
      </c>
      <c r="D10" s="36">
        <f>'Q.2.Input'!J8/'Q.2.Input'!$J$3</f>
        <v>1.2259256786106338</v>
      </c>
      <c r="E10" s="36">
        <v>0</v>
      </c>
      <c r="F10" s="36">
        <f t="shared" si="0"/>
        <v>6.213892771534697</v>
      </c>
      <c r="G10" s="36">
        <f t="shared" si="1"/>
        <v>0.68533411879901873</v>
      </c>
      <c r="H10" s="38">
        <f t="shared" si="2"/>
        <v>4.2585927268913242</v>
      </c>
    </row>
    <row r="11" spans="2:13" x14ac:dyDescent="0.35">
      <c r="B11" s="67">
        <f t="shared" si="3"/>
        <v>7</v>
      </c>
      <c r="C11" s="30">
        <f>'Q.2.Input'!I9*10%+3</f>
        <v>6.2383795736035328</v>
      </c>
      <c r="D11" s="36">
        <f>'Q.2.Input'!J9/'Q.2.Input'!$J$3</f>
        <v>1.2539468369788778</v>
      </c>
      <c r="E11" s="36">
        <v>0</v>
      </c>
      <c r="F11" s="36">
        <f t="shared" si="0"/>
        <v>6.2383795736035328</v>
      </c>
      <c r="G11" s="36">
        <f t="shared" si="1"/>
        <v>0.64350621483475945</v>
      </c>
      <c r="H11" s="38">
        <f t="shared" si="2"/>
        <v>4.0144360261120902</v>
      </c>
    </row>
    <row r="12" spans="2:13" x14ac:dyDescent="0.35">
      <c r="B12" s="67">
        <f t="shared" si="3"/>
        <v>8</v>
      </c>
      <c r="C12" s="30">
        <f>'Q.2.Input'!I10*10%+3</f>
        <v>6.2628972738453275</v>
      </c>
      <c r="D12" s="36">
        <f>'Q.2.Input'!J10/'Q.2.Input'!$J$3</f>
        <v>1.2824276484181476</v>
      </c>
      <c r="E12" s="36">
        <v>0</v>
      </c>
      <c r="F12" s="36">
        <f t="shared" si="0"/>
        <v>6.2628972738453275</v>
      </c>
      <c r="G12" s="36">
        <f t="shared" si="1"/>
        <v>0.60423118763827188</v>
      </c>
      <c r="H12" s="38">
        <f t="shared" si="2"/>
        <v>3.7842378578320575</v>
      </c>
    </row>
    <row r="13" spans="2:13" x14ac:dyDescent="0.35">
      <c r="B13" s="67">
        <f t="shared" si="3"/>
        <v>9</v>
      </c>
      <c r="C13" s="30">
        <f>'Q.2.Input'!I11*10%+3</f>
        <v>6.2874457172849159</v>
      </c>
      <c r="D13" s="36">
        <f>'Q.2.Input'!J11/'Q.2.Input'!$J$3</f>
        <v>1.311372723868337</v>
      </c>
      <c r="E13" s="36">
        <v>0</v>
      </c>
      <c r="F13" s="36">
        <f t="shared" si="0"/>
        <v>6.2874457172849159</v>
      </c>
      <c r="G13" s="36">
        <f t="shared" si="1"/>
        <v>0.56735322782936326</v>
      </c>
      <c r="H13" s="38">
        <f t="shared" si="2"/>
        <v>3.567202622503503</v>
      </c>
    </row>
    <row r="14" spans="2:13" x14ac:dyDescent="0.35">
      <c r="B14" s="67">
        <f t="shared" si="3"/>
        <v>10</v>
      </c>
      <c r="C14" s="30">
        <f>'Q.2.Input'!I12*10%+3</f>
        <v>6.3060809473683594</v>
      </c>
      <c r="D14" s="36">
        <f>'Q.2.Input'!J12/'Q.2.Input'!$J$3</f>
        <v>1.3336736844341184</v>
      </c>
      <c r="E14" s="36">
        <v>0</v>
      </c>
      <c r="F14" s="36">
        <f t="shared" si="0"/>
        <v>6.3060809473683594</v>
      </c>
      <c r="G14" s="36">
        <f t="shared" si="1"/>
        <v>0.53272603552052888</v>
      </c>
      <c r="H14" s="38">
        <f t="shared" si="2"/>
        <v>3.3594135027630871</v>
      </c>
    </row>
    <row r="15" spans="2:13" x14ac:dyDescent="0.35">
      <c r="B15" s="67">
        <f t="shared" si="3"/>
        <v>11</v>
      </c>
      <c r="C15" s="30">
        <f>'Q.2.Input'!I13*10%+3</f>
        <v>6.3247337006338018</v>
      </c>
      <c r="D15" s="36">
        <f>'Q.2.Input'!J13/'Q.2.Input'!$J$3</f>
        <v>1.3562472571037443</v>
      </c>
      <c r="E15" s="36">
        <v>0</v>
      </c>
      <c r="F15" s="36">
        <f t="shared" si="0"/>
        <v>6.3247337006338018</v>
      </c>
      <c r="G15" s="36">
        <f t="shared" si="1"/>
        <v>0.50021223992537933</v>
      </c>
      <c r="H15" s="38">
        <f t="shared" si="2"/>
        <v>3.1637092113255676</v>
      </c>
    </row>
    <row r="16" spans="2:13" x14ac:dyDescent="0.35">
      <c r="B16" s="67">
        <f t="shared" si="3"/>
        <v>12</v>
      </c>
      <c r="C16" s="30">
        <f>'Q.2.Input'!I14*10%+3</f>
        <v>6.3434039114796938</v>
      </c>
      <c r="D16" s="36">
        <f>'Q.2.Input'!J14/'Q.2.Input'!$J$3</f>
        <v>1.3790954830333544</v>
      </c>
      <c r="E16" s="36">
        <v>0</v>
      </c>
      <c r="F16" s="36">
        <f t="shared" si="0"/>
        <v>6.3434039114796938</v>
      </c>
      <c r="G16" s="36">
        <f t="shared" si="1"/>
        <v>0.4696828543900276</v>
      </c>
      <c r="H16" s="38">
        <f t="shared" si="2"/>
        <v>2.9793880556926484</v>
      </c>
    </row>
    <row r="17" spans="2:8" x14ac:dyDescent="0.35">
      <c r="B17" s="67">
        <f t="shared" si="3"/>
        <v>13</v>
      </c>
      <c r="C17" s="30">
        <f>'Q.2.Input'!I15*10%+3</f>
        <v>6.3620915148545016</v>
      </c>
      <c r="D17" s="36">
        <f>'Q.2.Input'!J15/'Q.2.Input'!$J$3</f>
        <v>1.4022204090835029</v>
      </c>
      <c r="E17" s="36">
        <v>0</v>
      </c>
      <c r="F17" s="36">
        <f t="shared" si="0"/>
        <v>6.3620915148545016</v>
      </c>
      <c r="G17" s="36">
        <f t="shared" si="1"/>
        <v>0.44101676468547191</v>
      </c>
      <c r="H17" s="38">
        <f t="shared" si="2"/>
        <v>2.8057890165140251</v>
      </c>
    </row>
    <row r="18" spans="2:8" x14ac:dyDescent="0.35">
      <c r="B18" s="67">
        <f t="shared" si="3"/>
        <v>14</v>
      </c>
      <c r="C18" s="30">
        <f>'Q.2.Input'!I16*10%+3</f>
        <v>6.3745779620210836</v>
      </c>
      <c r="D18" s="36">
        <f>'Q.2.Input'!J16/'Q.2.Input'!$J$3</f>
        <v>1.4178434975478418</v>
      </c>
      <c r="E18" s="36">
        <v>0</v>
      </c>
      <c r="F18" s="36">
        <f t="shared" si="0"/>
        <v>6.3745779620210836</v>
      </c>
      <c r="G18" s="36">
        <f t="shared" si="1"/>
        <v>0.41410024853095956</v>
      </c>
      <c r="H18" s="38">
        <f t="shared" si="2"/>
        <v>2.6397143183529086</v>
      </c>
    </row>
    <row r="19" spans="2:8" x14ac:dyDescent="0.35">
      <c r="B19" s="67">
        <f t="shared" si="3"/>
        <v>15</v>
      </c>
      <c r="C19" s="30">
        <f>'Q.2.Input'!I17*10%+3</f>
        <v>6.3870721142287739</v>
      </c>
      <c r="D19" s="36">
        <f>'Q.2.Input'!J17/'Q.2.Input'!$J$3</f>
        <v>1.4335919134959241</v>
      </c>
      <c r="E19" s="36">
        <v>0</v>
      </c>
      <c r="F19" s="36">
        <f t="shared" si="0"/>
        <v>6.3870721142287739</v>
      </c>
      <c r="G19" s="36">
        <f t="shared" si="1"/>
        <v>0.38882652444221566</v>
      </c>
      <c r="H19" s="38">
        <f t="shared" si="2"/>
        <v>2.4834630515373686</v>
      </c>
    </row>
    <row r="20" spans="2:8" x14ac:dyDescent="0.35">
      <c r="B20" s="67">
        <f t="shared" si="3"/>
        <v>16</v>
      </c>
      <c r="C20" s="30">
        <f>'Q.2.Input'!I18*10%+3</f>
        <v>6.3995739525177955</v>
      </c>
      <c r="D20" s="36">
        <f>'Q.2.Input'!J18/'Q.2.Input'!$J$3</f>
        <v>1.4494662737137225</v>
      </c>
      <c r="E20" s="36">
        <v>0</v>
      </c>
      <c r="F20" s="36">
        <f t="shared" si="0"/>
        <v>6.3995739525177955</v>
      </c>
      <c r="G20" s="36">
        <f t="shared" si="1"/>
        <v>0.36509532811475648</v>
      </c>
      <c r="H20" s="38">
        <f t="shared" si="2"/>
        <v>2.3364545519891333</v>
      </c>
    </row>
    <row r="21" spans="2:8" x14ac:dyDescent="0.35">
      <c r="B21" s="67">
        <f t="shared" si="3"/>
        <v>17</v>
      </c>
      <c r="C21" s="30">
        <f>'Q.2.Input'!I19*10%+3</f>
        <v>6.4120834580330239</v>
      </c>
      <c r="D21" s="36">
        <f>'Q.2.Input'!J19/'Q.2.Input'!$J$3</f>
        <v>1.4654671961220112</v>
      </c>
      <c r="E21" s="36">
        <v>0</v>
      </c>
      <c r="F21" s="36">
        <f t="shared" si="0"/>
        <v>6.4120834580330239</v>
      </c>
      <c r="G21" s="36">
        <f t="shared" si="1"/>
        <v>0.34281251466174323</v>
      </c>
      <c r="H21" s="38">
        <f t="shared" si="2"/>
        <v>2.1981424544692674</v>
      </c>
    </row>
    <row r="22" spans="2:8" x14ac:dyDescent="0.35">
      <c r="B22" s="67">
        <f t="shared" si="3"/>
        <v>18</v>
      </c>
      <c r="C22" s="30">
        <f>'Q.2.Input'!I20*10%+3</f>
        <v>6.4334926091422524</v>
      </c>
      <c r="D22" s="36">
        <f>'Q.2.Input'!J20/'Q.2.Input'!$J$3</f>
        <v>1.4930524609901925</v>
      </c>
      <c r="E22" s="36">
        <v>0</v>
      </c>
      <c r="F22" s="36">
        <f t="shared" si="0"/>
        <v>6.4334926091422524</v>
      </c>
      <c r="G22" s="36">
        <f t="shared" si="1"/>
        <v>0.32188968512839738</v>
      </c>
      <c r="H22" s="38">
        <f t="shared" si="2"/>
        <v>2.0708749102326713</v>
      </c>
    </row>
    <row r="23" spans="2:8" x14ac:dyDescent="0.35">
      <c r="B23" s="67">
        <f t="shared" si="3"/>
        <v>19</v>
      </c>
      <c r="C23" s="30">
        <f>'Q.2.Input'!I21*10%+3</f>
        <v>6.4549240324502897</v>
      </c>
      <c r="D23" s="36">
        <f>'Q.2.Input'!J21/'Q.2.Input'!$J$3</f>
        <v>1.5210107905587966</v>
      </c>
      <c r="E23" s="36">
        <v>0</v>
      </c>
      <c r="F23" s="36">
        <f t="shared" si="0"/>
        <v>6.4549240324502897</v>
      </c>
      <c r="G23" s="36">
        <f t="shared" si="1"/>
        <v>0.30224383580131214</v>
      </c>
      <c r="H23" s="38">
        <f t="shared" si="2"/>
        <v>1.950960999373849</v>
      </c>
    </row>
    <row r="24" spans="2:8" x14ac:dyDescent="0.35">
      <c r="B24" s="67">
        <f t="shared" si="3"/>
        <v>20</v>
      </c>
      <c r="C24" s="30">
        <f>'Q.2.Input'!I22*10%+3</f>
        <v>6.476377635756581</v>
      </c>
      <c r="D24" s="36">
        <f>'Q.2.Input'!J22/'Q.2.Input'!$J$3</f>
        <v>1.5493452735912012</v>
      </c>
      <c r="E24" s="36">
        <v>0</v>
      </c>
      <c r="F24" s="36">
        <f t="shared" si="0"/>
        <v>6.476377635756581</v>
      </c>
      <c r="G24" s="36">
        <f t="shared" si="1"/>
        <v>0.28379702892141989</v>
      </c>
      <c r="H24" s="38">
        <f t="shared" si="2"/>
        <v>1.8379767312008475</v>
      </c>
    </row>
    <row r="25" spans="2:8" x14ac:dyDescent="0.35">
      <c r="B25" s="67">
        <f t="shared" si="3"/>
        <v>21</v>
      </c>
      <c r="C25" s="30">
        <f>'Q.2.Input'!I23*10%+3</f>
        <v>6.4978533277149211</v>
      </c>
      <c r="D25" s="36">
        <f>'Q.2.Input'!J23/'Q.2.Input'!$J$3</f>
        <v>1.5780590083913442</v>
      </c>
      <c r="E25" s="36">
        <v>0</v>
      </c>
      <c r="F25" s="36">
        <f t="shared" si="0"/>
        <v>6.4978533277149211</v>
      </c>
      <c r="G25" s="36">
        <f t="shared" si="1"/>
        <v>0.26647608349429097</v>
      </c>
      <c r="H25" s="38">
        <f t="shared" si="2"/>
        <v>1.7315225058898178</v>
      </c>
    </row>
    <row r="26" spans="2:8" x14ac:dyDescent="0.35">
      <c r="B26" s="67">
        <f t="shared" si="3"/>
        <v>22</v>
      </c>
      <c r="C26" s="30">
        <f>'Q.2.Input'!I24*10%+3</f>
        <v>6.5198006427123492</v>
      </c>
      <c r="D26" s="36">
        <f>'Q.2.Input'!J24/'Q.2.Input'!$J$3</f>
        <v>1.6077636485493014</v>
      </c>
      <c r="E26" s="36">
        <v>0</v>
      </c>
      <c r="F26" s="36">
        <f t="shared" si="0"/>
        <v>6.5198006427123492</v>
      </c>
      <c r="G26" s="36">
        <f t="shared" si="1"/>
        <v>0.25021228497116527</v>
      </c>
      <c r="H26" s="38">
        <f t="shared" si="2"/>
        <v>1.6313342163695288</v>
      </c>
    </row>
    <row r="27" spans="2:8" x14ac:dyDescent="0.35">
      <c r="B27" s="67">
        <f t="shared" si="3"/>
        <v>23</v>
      </c>
      <c r="C27" s="30">
        <f>'Q.2.Input'!I25*10%+3</f>
        <v>6.5417707897669874</v>
      </c>
      <c r="D27" s="36">
        <f>'Q.2.Input'!J25/'Q.2.Input'!$J$3</f>
        <v>1.6378700159603645</v>
      </c>
      <c r="E27" s="36">
        <v>0</v>
      </c>
      <c r="F27" s="36">
        <f t="shared" si="0"/>
        <v>6.5417707897669874</v>
      </c>
      <c r="G27" s="36">
        <f t="shared" si="1"/>
        <v>0.23494111264898151</v>
      </c>
      <c r="H27" s="38">
        <f t="shared" si="2"/>
        <v>1.5369309080424625</v>
      </c>
    </row>
    <row r="28" spans="2:8" x14ac:dyDescent="0.35">
      <c r="B28" s="67">
        <f t="shared" si="3"/>
        <v>24</v>
      </c>
      <c r="C28" s="30">
        <f>'Q.2.Input'!I26*10%+3</f>
        <v>6.5637636743606276</v>
      </c>
      <c r="D28" s="36">
        <f>'Q.2.Input'!J26/'Q.2.Input'!$J$3</f>
        <v>1.6683814366975336</v>
      </c>
      <c r="E28" s="36">
        <v>0</v>
      </c>
      <c r="F28" s="36">
        <f t="shared" si="0"/>
        <v>6.5637636743606276</v>
      </c>
      <c r="G28" s="36">
        <f t="shared" si="1"/>
        <v>0.22060198370796386</v>
      </c>
      <c r="H28" s="38">
        <f t="shared" si="2"/>
        <v>1.4479792871542281</v>
      </c>
    </row>
    <row r="29" spans="2:8" x14ac:dyDescent="0.35">
      <c r="B29" s="67">
        <f t="shared" si="3"/>
        <v>25</v>
      </c>
      <c r="C29" s="30">
        <f>'Q.2.Input'!I27*10%+3</f>
        <v>6.5857792028508841</v>
      </c>
      <c r="D29" s="36">
        <f>'Q.2.Input'!J27/'Q.2.Input'!$J$3</f>
        <v>1.699301247107369</v>
      </c>
      <c r="E29" s="36">
        <v>0</v>
      </c>
      <c r="F29" s="36">
        <f t="shared" si="0"/>
        <v>6.5857792028508841</v>
      </c>
      <c r="G29" s="36">
        <f t="shared" si="1"/>
        <v>0.20713801287132758</v>
      </c>
      <c r="H29" s="38">
        <f t="shared" si="2"/>
        <v>1.364165217287848</v>
      </c>
    </row>
    <row r="30" spans="2:8" x14ac:dyDescent="0.35">
      <c r="B30" s="67">
        <f t="shared" si="3"/>
        <v>26</v>
      </c>
      <c r="C30" s="30">
        <f>'Q.2.Input'!I28*10%+3</f>
        <v>6.6082782096138715</v>
      </c>
      <c r="D30" s="36">
        <f>'Q.2.Input'!J28/'Q.2.Input'!$J$3</f>
        <v>1.7312880941117457</v>
      </c>
      <c r="E30" s="36">
        <v>0</v>
      </c>
      <c r="F30" s="36">
        <f t="shared" si="0"/>
        <v>6.6082782096138715</v>
      </c>
      <c r="G30" s="36">
        <f t="shared" si="1"/>
        <v>0.19449578673364096</v>
      </c>
      <c r="H30" s="38">
        <f t="shared" si="2"/>
        <v>1.2852822693336263</v>
      </c>
    </row>
    <row r="31" spans="2:8" x14ac:dyDescent="0.35">
      <c r="B31" s="67">
        <f t="shared" si="3"/>
        <v>27</v>
      </c>
      <c r="C31" s="30">
        <f>'Q.2.Input'!I29*10%+3</f>
        <v>6.630800622365685</v>
      </c>
      <c r="D31" s="36">
        <f>'Q.2.Input'!J29/'Q.2.Input'!$J$3</f>
        <v>1.7637075330652001</v>
      </c>
      <c r="E31" s="36">
        <v>0</v>
      </c>
      <c r="F31" s="36">
        <f t="shared" si="0"/>
        <v>6.630800622365685</v>
      </c>
      <c r="G31" s="36">
        <f t="shared" si="1"/>
        <v>0.18262515186257369</v>
      </c>
      <c r="H31" s="38">
        <f t="shared" si="2"/>
        <v>1.2109509706299815</v>
      </c>
    </row>
    <row r="32" spans="2:8" x14ac:dyDescent="0.35">
      <c r="B32" s="67">
        <f t="shared" si="3"/>
        <v>28</v>
      </c>
      <c r="C32" s="30">
        <f>'Q.2.Input'!I30*10%+3</f>
        <v>6.6533463442122027</v>
      </c>
      <c r="D32" s="36">
        <f>'Q.2.Input'!J30/'Q.2.Input'!$J$3</f>
        <v>1.7965631455828475</v>
      </c>
      <c r="E32" s="36">
        <v>0</v>
      </c>
      <c r="F32" s="36">
        <f t="shared" si="0"/>
        <v>6.6533463442122027</v>
      </c>
      <c r="G32" s="36">
        <f t="shared" si="1"/>
        <v>0.17147901583340255</v>
      </c>
      <c r="H32" s="38">
        <f t="shared" si="2"/>
        <v>1.1409092831042753</v>
      </c>
    </row>
    <row r="33" spans="2:8" x14ac:dyDescent="0.35">
      <c r="B33" s="67">
        <f t="shared" si="3"/>
        <v>29</v>
      </c>
      <c r="C33" s="30">
        <f>'Q.2.Input'!I31*10%+3</f>
        <v>6.6759152791571399</v>
      </c>
      <c r="D33" s="36">
        <f>'Q.2.Input'!J31/'Q.2.Input'!$J$3</f>
        <v>1.8298585243426806</v>
      </c>
      <c r="E33" s="36">
        <v>0</v>
      </c>
      <c r="F33" s="36">
        <f t="shared" si="0"/>
        <v>6.6759152791571399</v>
      </c>
      <c r="G33" s="36">
        <f t="shared" si="1"/>
        <v>0.16101316040695074</v>
      </c>
      <c r="H33" s="38">
        <f t="shared" si="2"/>
        <v>1.0749102177061418</v>
      </c>
    </row>
    <row r="34" spans="2:8" ht="15" thickBot="1" x14ac:dyDescent="0.4">
      <c r="B34" s="69">
        <f t="shared" si="3"/>
        <v>30</v>
      </c>
      <c r="C34" s="52">
        <f>'Q.2.Input'!I32*10%+3</f>
        <v>6.6989798456145992</v>
      </c>
      <c r="D34" s="41">
        <f>'Q.2.Input'!J32/'Q.2.Input'!$J$3</f>
        <v>1.8643029200950161</v>
      </c>
      <c r="E34" s="41">
        <f>96*D34</f>
        <v>178.97308032912156</v>
      </c>
      <c r="F34" s="41">
        <f t="shared" si="0"/>
        <v>185.67206017473615</v>
      </c>
      <c r="G34" s="41">
        <f t="shared" si="1"/>
        <v>0.15118606610981289</v>
      </c>
      <c r="H34" s="42">
        <f t="shared" si="2"/>
        <v>28.071028364322817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F4797-FF77-4177-953E-D71C5E7DF99E}">
  <dimension ref="B1:O11"/>
  <sheetViews>
    <sheetView showGridLines="0" workbookViewId="0"/>
  </sheetViews>
  <sheetFormatPr defaultRowHeight="14.5" x14ac:dyDescent="0.35"/>
  <cols>
    <col min="13" max="13" width="8.81640625" style="23"/>
  </cols>
  <sheetData>
    <row r="1" spans="2:15" x14ac:dyDescent="0.35">
      <c r="M1"/>
    </row>
    <row r="2" spans="2:15" x14ac:dyDescent="0.35">
      <c r="B2" t="s">
        <v>75</v>
      </c>
      <c r="C2" t="s">
        <v>76</v>
      </c>
      <c r="O2" s="59"/>
    </row>
    <row r="3" spans="2:15" x14ac:dyDescent="0.35">
      <c r="C3" t="s">
        <v>77</v>
      </c>
      <c r="O3" s="60"/>
    </row>
    <row r="4" spans="2:15" x14ac:dyDescent="0.35">
      <c r="M4"/>
      <c r="O4" s="60"/>
    </row>
    <row r="5" spans="2:15" x14ac:dyDescent="0.35">
      <c r="B5" t="s">
        <v>78</v>
      </c>
      <c r="C5" t="s">
        <v>79</v>
      </c>
      <c r="O5" s="59"/>
    </row>
    <row r="6" spans="2:15" x14ac:dyDescent="0.35">
      <c r="C6" t="s">
        <v>80</v>
      </c>
      <c r="O6" s="60"/>
    </row>
    <row r="7" spans="2:15" x14ac:dyDescent="0.35">
      <c r="C7" t="s">
        <v>81</v>
      </c>
      <c r="O7" s="60"/>
    </row>
    <row r="8" spans="2:15" x14ac:dyDescent="0.35">
      <c r="C8" t="s">
        <v>82</v>
      </c>
      <c r="O8" s="60"/>
    </row>
    <row r="9" spans="2:15" x14ac:dyDescent="0.35">
      <c r="O9" s="60"/>
    </row>
    <row r="10" spans="2:15" x14ac:dyDescent="0.35">
      <c r="B10" t="s">
        <v>83</v>
      </c>
      <c r="C10" t="s">
        <v>85</v>
      </c>
      <c r="O10" s="59"/>
    </row>
    <row r="11" spans="2:15" x14ac:dyDescent="0.35">
      <c r="C11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3C34F-2150-4BFD-901D-3D8B3D3D6FF0}">
  <dimension ref="B1:K25"/>
  <sheetViews>
    <sheetView showGridLines="0" workbookViewId="0"/>
  </sheetViews>
  <sheetFormatPr defaultRowHeight="14.5" x14ac:dyDescent="0.35"/>
  <cols>
    <col min="3" max="3" width="11.1796875" bestFit="1" customWidth="1"/>
    <col min="4" max="4" width="12.1796875" bestFit="1" customWidth="1"/>
    <col min="5" max="5" width="11.1796875" bestFit="1" customWidth="1"/>
    <col min="6" max="6" width="15.6328125" customWidth="1"/>
    <col min="9" max="9" width="26.36328125" bestFit="1" customWidth="1"/>
    <col min="10" max="10" width="13.81640625" bestFit="1" customWidth="1"/>
  </cols>
  <sheetData>
    <row r="1" spans="2:11" ht="15" thickBot="1" x14ac:dyDescent="0.4">
      <c r="C1" s="26" t="s">
        <v>87</v>
      </c>
      <c r="D1" s="36">
        <v>500000</v>
      </c>
    </row>
    <row r="2" spans="2:11" x14ac:dyDescent="0.35">
      <c r="C2" s="26" t="s">
        <v>89</v>
      </c>
      <c r="D2" s="30">
        <f>D1*3</f>
        <v>1500000</v>
      </c>
      <c r="I2" s="103" t="s">
        <v>92</v>
      </c>
      <c r="J2" s="115">
        <f>10000000</f>
        <v>10000000</v>
      </c>
    </row>
    <row r="3" spans="2:11" x14ac:dyDescent="0.35">
      <c r="I3" s="67" t="s">
        <v>94</v>
      </c>
      <c r="J3" s="116">
        <v>0.06</v>
      </c>
    </row>
    <row r="4" spans="2:11" ht="15" thickBot="1" x14ac:dyDescent="0.4">
      <c r="C4" s="23"/>
      <c r="D4" s="23"/>
      <c r="E4" s="23"/>
      <c r="F4" s="23"/>
      <c r="I4" s="9" t="s">
        <v>95</v>
      </c>
      <c r="J4" s="10">
        <v>20</v>
      </c>
    </row>
    <row r="5" spans="2:11" ht="29.5" thickBot="1" x14ac:dyDescent="0.4">
      <c r="B5" s="46" t="s">
        <v>86</v>
      </c>
      <c r="C5" s="47" t="s">
        <v>87</v>
      </c>
      <c r="D5" s="47" t="s">
        <v>88</v>
      </c>
      <c r="E5" s="47" t="s">
        <v>72</v>
      </c>
      <c r="F5" s="48" t="s">
        <v>96</v>
      </c>
      <c r="I5" s="102" t="s">
        <v>93</v>
      </c>
      <c r="J5" s="117">
        <f>J2*(1+$J$3)^J4</f>
        <v>32071354.722128481</v>
      </c>
      <c r="K5" s="23"/>
    </row>
    <row r="6" spans="2:11" ht="15" thickBot="1" x14ac:dyDescent="0.4">
      <c r="B6" s="98">
        <v>1</v>
      </c>
      <c r="C6" s="50">
        <f>$D$1</f>
        <v>500000</v>
      </c>
      <c r="D6" s="111">
        <v>0</v>
      </c>
      <c r="E6" s="20">
        <f>SUM(C6:D6)</f>
        <v>500000</v>
      </c>
      <c r="F6" s="112">
        <f>E6</f>
        <v>500000</v>
      </c>
      <c r="K6" s="23"/>
    </row>
    <row r="7" spans="2:11" x14ac:dyDescent="0.35">
      <c r="B7" s="67">
        <f>B6+1</f>
        <v>2</v>
      </c>
      <c r="C7" s="30">
        <f t="shared" ref="C7:C25" si="0">$D$1</f>
        <v>500000</v>
      </c>
      <c r="D7" s="61">
        <v>0</v>
      </c>
      <c r="E7" s="62">
        <f t="shared" ref="E7:E25" si="1">SUM(C7:D7)</f>
        <v>500000</v>
      </c>
      <c r="F7" s="108">
        <f>F6*(1+$J$7)+E7</f>
        <v>1038571.6921922382</v>
      </c>
      <c r="I7" s="113" t="s">
        <v>90</v>
      </c>
      <c r="J7" s="114">
        <v>7.7143384384476418E-2</v>
      </c>
      <c r="K7" s="23"/>
    </row>
    <row r="8" spans="2:11" ht="15" thickBot="1" x14ac:dyDescent="0.4">
      <c r="B8" s="67">
        <f t="shared" ref="B8:B25" si="2">B7+1</f>
        <v>3</v>
      </c>
      <c r="C8" s="30">
        <f t="shared" si="0"/>
        <v>500000</v>
      </c>
      <c r="D8" s="61">
        <v>0</v>
      </c>
      <c r="E8" s="62">
        <f t="shared" si="1"/>
        <v>500000</v>
      </c>
      <c r="F8" s="108">
        <f t="shared" ref="F8:F25" si="3">F7*(1+$J$7)+E8</f>
        <v>1618690.6274538601</v>
      </c>
      <c r="I8" s="69" t="s">
        <v>91</v>
      </c>
      <c r="J8" s="110">
        <f>F25</f>
        <v>32071354.722134486</v>
      </c>
    </row>
    <row r="9" spans="2:11" x14ac:dyDescent="0.35">
      <c r="B9" s="67">
        <f t="shared" si="2"/>
        <v>4</v>
      </c>
      <c r="C9" s="30">
        <f t="shared" si="0"/>
        <v>500000</v>
      </c>
      <c r="D9" s="61">
        <v>0</v>
      </c>
      <c r="E9" s="62">
        <f t="shared" si="1"/>
        <v>500000</v>
      </c>
      <c r="F9" s="108">
        <f t="shared" si="3"/>
        <v>2243561.9007270825</v>
      </c>
      <c r="J9" s="19">
        <f>J8-J5</f>
        <v>6.0051679611206055E-6</v>
      </c>
      <c r="K9" s="59" t="s">
        <v>97</v>
      </c>
    </row>
    <row r="10" spans="2:11" x14ac:dyDescent="0.35">
      <c r="B10" s="67">
        <f t="shared" si="2"/>
        <v>5</v>
      </c>
      <c r="C10" s="30">
        <f t="shared" si="0"/>
        <v>500000</v>
      </c>
      <c r="D10" s="61">
        <f>$D$2</f>
        <v>1500000</v>
      </c>
      <c r="E10" s="62">
        <f t="shared" si="1"/>
        <v>2000000</v>
      </c>
      <c r="F10" s="108">
        <f t="shared" si="3"/>
        <v>4416637.8588252384</v>
      </c>
    </row>
    <row r="11" spans="2:11" x14ac:dyDescent="0.35">
      <c r="B11" s="67">
        <f t="shared" si="2"/>
        <v>6</v>
      </c>
      <c r="C11" s="30">
        <f t="shared" si="0"/>
        <v>500000</v>
      </c>
      <c r="D11" s="61">
        <f>D6</f>
        <v>0</v>
      </c>
      <c r="E11" s="62">
        <f t="shared" si="1"/>
        <v>500000</v>
      </c>
      <c r="F11" s="108">
        <f t="shared" si="3"/>
        <v>5257352.2508556247</v>
      </c>
      <c r="I11" s="59"/>
    </row>
    <row r="12" spans="2:11" x14ac:dyDescent="0.35">
      <c r="B12" s="67">
        <f t="shared" si="2"/>
        <v>7</v>
      </c>
      <c r="C12" s="30">
        <f t="shared" si="0"/>
        <v>500000</v>
      </c>
      <c r="D12" s="61">
        <f t="shared" ref="D12:D24" si="4">D7</f>
        <v>0</v>
      </c>
      <c r="E12" s="62">
        <f t="shared" si="1"/>
        <v>500000</v>
      </c>
      <c r="F12" s="108">
        <f t="shared" si="3"/>
        <v>6162922.1963879727</v>
      </c>
    </row>
    <row r="13" spans="2:11" x14ac:dyDescent="0.35">
      <c r="B13" s="67">
        <f t="shared" si="2"/>
        <v>8</v>
      </c>
      <c r="C13" s="30">
        <f t="shared" si="0"/>
        <v>500000</v>
      </c>
      <c r="D13" s="61">
        <f t="shared" si="4"/>
        <v>0</v>
      </c>
      <c r="E13" s="62">
        <f t="shared" si="1"/>
        <v>500000</v>
      </c>
      <c r="F13" s="108">
        <f t="shared" si="3"/>
        <v>7138350.8723155521</v>
      </c>
    </row>
    <row r="14" spans="2:11" x14ac:dyDescent="0.35">
      <c r="B14" s="67">
        <f t="shared" si="2"/>
        <v>9</v>
      </c>
      <c r="C14" s="30">
        <f t="shared" si="0"/>
        <v>500000</v>
      </c>
      <c r="D14" s="61">
        <f t="shared" si="4"/>
        <v>0</v>
      </c>
      <c r="E14" s="62">
        <f t="shared" si="1"/>
        <v>500000</v>
      </c>
      <c r="F14" s="108">
        <f t="shared" si="3"/>
        <v>8189027.4175298531</v>
      </c>
    </row>
    <row r="15" spans="2:11" x14ac:dyDescent="0.35">
      <c r="B15" s="67">
        <f t="shared" si="2"/>
        <v>10</v>
      </c>
      <c r="C15" s="30">
        <f t="shared" si="0"/>
        <v>500000</v>
      </c>
      <c r="D15" s="61">
        <f t="shared" si="4"/>
        <v>1500000</v>
      </c>
      <c r="E15" s="62">
        <f t="shared" si="1"/>
        <v>2000000</v>
      </c>
      <c r="F15" s="108">
        <f t="shared" si="3"/>
        <v>10820756.707335375</v>
      </c>
    </row>
    <row r="16" spans="2:11" x14ac:dyDescent="0.35">
      <c r="B16" s="67">
        <f t="shared" si="2"/>
        <v>11</v>
      </c>
      <c r="C16" s="30">
        <f t="shared" si="0"/>
        <v>500000</v>
      </c>
      <c r="D16" s="61">
        <f t="shared" si="4"/>
        <v>0</v>
      </c>
      <c r="E16" s="62">
        <f t="shared" si="1"/>
        <v>500000</v>
      </c>
      <c r="F16" s="108">
        <f t="shared" si="3"/>
        <v>12155506.50134025</v>
      </c>
    </row>
    <row r="17" spans="2:6" x14ac:dyDescent="0.35">
      <c r="B17" s="67">
        <f t="shared" si="2"/>
        <v>12</v>
      </c>
      <c r="C17" s="30">
        <f t="shared" si="0"/>
        <v>500000</v>
      </c>
      <c r="D17" s="61">
        <f t="shared" si="4"/>
        <v>0</v>
      </c>
      <c r="E17" s="62">
        <f t="shared" si="1"/>
        <v>500000</v>
      </c>
      <c r="F17" s="108">
        <f t="shared" si="3"/>
        <v>13593223.411761142</v>
      </c>
    </row>
    <row r="18" spans="2:6" x14ac:dyDescent="0.35">
      <c r="B18" s="67">
        <f t="shared" si="2"/>
        <v>13</v>
      </c>
      <c r="C18" s="30">
        <f t="shared" si="0"/>
        <v>500000</v>
      </c>
      <c r="D18" s="61">
        <f t="shared" si="4"/>
        <v>0</v>
      </c>
      <c r="E18" s="62">
        <f t="shared" si="1"/>
        <v>500000</v>
      </c>
      <c r="F18" s="108">
        <f t="shared" si="3"/>
        <v>15141850.670438696</v>
      </c>
    </row>
    <row r="19" spans="2:6" x14ac:dyDescent="0.35">
      <c r="B19" s="67">
        <f t="shared" si="2"/>
        <v>14</v>
      </c>
      <c r="C19" s="30">
        <f t="shared" si="0"/>
        <v>500000</v>
      </c>
      <c r="D19" s="61">
        <f t="shared" si="4"/>
        <v>0</v>
      </c>
      <c r="E19" s="62">
        <f t="shared" si="1"/>
        <v>500000</v>
      </c>
      <c r="F19" s="108">
        <f t="shared" si="3"/>
        <v>16809944.277000688</v>
      </c>
    </row>
    <row r="20" spans="2:6" x14ac:dyDescent="0.35">
      <c r="B20" s="67">
        <f t="shared" si="2"/>
        <v>15</v>
      </c>
      <c r="C20" s="30">
        <f t="shared" si="0"/>
        <v>500000</v>
      </c>
      <c r="D20" s="61">
        <f t="shared" si="4"/>
        <v>1500000</v>
      </c>
      <c r="E20" s="62">
        <f t="shared" si="1"/>
        <v>2000000</v>
      </c>
      <c r="F20" s="108">
        <f t="shared" si="3"/>
        <v>20106720.269842982</v>
      </c>
    </row>
    <row r="21" spans="2:6" x14ac:dyDescent="0.35">
      <c r="B21" s="67">
        <f t="shared" si="2"/>
        <v>16</v>
      </c>
      <c r="C21" s="30">
        <f t="shared" si="0"/>
        <v>500000</v>
      </c>
      <c r="D21" s="61">
        <f t="shared" si="4"/>
        <v>0</v>
      </c>
      <c r="E21" s="62">
        <f t="shared" si="1"/>
        <v>500000</v>
      </c>
      <c r="F21" s="108">
        <f t="shared" si="3"/>
        <v>22157820.720330622</v>
      </c>
    </row>
    <row r="22" spans="2:6" x14ac:dyDescent="0.35">
      <c r="B22" s="67">
        <f t="shared" si="2"/>
        <v>17</v>
      </c>
      <c r="C22" s="30">
        <f t="shared" si="0"/>
        <v>500000</v>
      </c>
      <c r="D22" s="61">
        <f t="shared" si="4"/>
        <v>0</v>
      </c>
      <c r="E22" s="62">
        <f t="shared" si="1"/>
        <v>500000</v>
      </c>
      <c r="F22" s="108">
        <f t="shared" si="3"/>
        <v>24367150.001281403</v>
      </c>
    </row>
    <row r="23" spans="2:6" x14ac:dyDescent="0.35">
      <c r="B23" s="67">
        <f t="shared" si="2"/>
        <v>18</v>
      </c>
      <c r="C23" s="30">
        <f t="shared" si="0"/>
        <v>500000</v>
      </c>
      <c r="D23" s="61">
        <f t="shared" si="4"/>
        <v>0</v>
      </c>
      <c r="E23" s="62">
        <f t="shared" si="1"/>
        <v>500000</v>
      </c>
      <c r="F23" s="108">
        <f t="shared" si="3"/>
        <v>26746914.420184448</v>
      </c>
    </row>
    <row r="24" spans="2:6" x14ac:dyDescent="0.35">
      <c r="B24" s="67">
        <f t="shared" si="2"/>
        <v>19</v>
      </c>
      <c r="C24" s="30">
        <f t="shared" si="0"/>
        <v>500000</v>
      </c>
      <c r="D24" s="61">
        <f t="shared" si="4"/>
        <v>0</v>
      </c>
      <c r="E24" s="62">
        <f t="shared" si="1"/>
        <v>500000</v>
      </c>
      <c r="F24" s="108">
        <f t="shared" si="3"/>
        <v>29310261.920399431</v>
      </c>
    </row>
    <row r="25" spans="2:6" ht="15" thickBot="1" x14ac:dyDescent="0.4">
      <c r="B25" s="69">
        <f t="shared" si="2"/>
        <v>20</v>
      </c>
      <c r="C25" s="52">
        <f t="shared" si="0"/>
        <v>500000</v>
      </c>
      <c r="D25" s="109">
        <v>0</v>
      </c>
      <c r="E25" s="79">
        <f t="shared" si="1"/>
        <v>500000</v>
      </c>
      <c r="F25" s="110">
        <f t="shared" si="3"/>
        <v>32071354.722134486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76EB0-6C1D-49C4-AAF4-3898603B2808}">
  <dimension ref="B1:J45"/>
  <sheetViews>
    <sheetView showGridLines="0" workbookViewId="0"/>
  </sheetViews>
  <sheetFormatPr defaultRowHeight="14.5" x14ac:dyDescent="0.35"/>
  <cols>
    <col min="7" max="7" width="12.1796875" bestFit="1" customWidth="1"/>
    <col min="9" max="10" width="12.1796875" bestFit="1" customWidth="1"/>
  </cols>
  <sheetData>
    <row r="1" spans="2:10" x14ac:dyDescent="0.35">
      <c r="B1" s="1" t="s">
        <v>99</v>
      </c>
      <c r="E1" s="1" t="s">
        <v>100</v>
      </c>
    </row>
    <row r="3" spans="2:10" x14ac:dyDescent="0.35">
      <c r="B3" s="2" t="s">
        <v>1</v>
      </c>
      <c r="C3" s="2" t="s">
        <v>2</v>
      </c>
      <c r="E3" s="2" t="s">
        <v>66</v>
      </c>
      <c r="F3" s="2" t="s">
        <v>101</v>
      </c>
      <c r="I3" s="1" t="s">
        <v>109</v>
      </c>
    </row>
    <row r="4" spans="2:10" x14ac:dyDescent="0.35">
      <c r="B4" s="3">
        <v>18</v>
      </c>
      <c r="C4" s="3">
        <v>6.5900000000000008E-4</v>
      </c>
      <c r="E4" s="26">
        <v>1</v>
      </c>
      <c r="F4" s="43">
        <v>0.1</v>
      </c>
    </row>
    <row r="5" spans="2:10" x14ac:dyDescent="0.35">
      <c r="B5" s="3">
        <v>19</v>
      </c>
      <c r="C5" s="3">
        <v>6.9420000000000007E-4</v>
      </c>
      <c r="E5" s="26">
        <v>2</v>
      </c>
      <c r="F5" s="43">
        <v>0.05</v>
      </c>
      <c r="I5" s="26" t="s">
        <v>98</v>
      </c>
      <c r="J5" s="43">
        <v>1.1000000000000001</v>
      </c>
    </row>
    <row r="6" spans="2:10" x14ac:dyDescent="0.35">
      <c r="B6" s="3">
        <v>20</v>
      </c>
      <c r="C6" s="3">
        <v>7.224000000000001E-4</v>
      </c>
      <c r="E6" s="26">
        <v>3</v>
      </c>
      <c r="F6" s="43">
        <v>0.02</v>
      </c>
      <c r="I6" s="26" t="s">
        <v>110</v>
      </c>
      <c r="J6" s="43">
        <v>0.05</v>
      </c>
    </row>
    <row r="7" spans="2:10" x14ac:dyDescent="0.35">
      <c r="B7" s="3">
        <v>21</v>
      </c>
      <c r="C7" s="3">
        <v>7.444000000000001E-4</v>
      </c>
    </row>
    <row r="8" spans="2:10" x14ac:dyDescent="0.35">
      <c r="B8" s="3">
        <v>22</v>
      </c>
      <c r="C8" s="3">
        <v>7.6120000000000007E-4</v>
      </c>
      <c r="I8" s="26" t="s">
        <v>108</v>
      </c>
      <c r="J8" s="36">
        <f>1000000</f>
        <v>1000000</v>
      </c>
    </row>
    <row r="9" spans="2:10" x14ac:dyDescent="0.35">
      <c r="B9" s="3">
        <v>23</v>
      </c>
      <c r="C9" s="3">
        <v>7.7360000000000005E-4</v>
      </c>
      <c r="I9" s="26" t="s">
        <v>111</v>
      </c>
      <c r="J9" s="36">
        <f>100000</f>
        <v>100000</v>
      </c>
    </row>
    <row r="10" spans="2:10" x14ac:dyDescent="0.35">
      <c r="B10" s="3">
        <v>24</v>
      </c>
      <c r="C10" s="3">
        <v>7.8300000000000006E-4</v>
      </c>
    </row>
    <row r="11" spans="2:10" x14ac:dyDescent="0.35">
      <c r="B11" s="3">
        <v>25</v>
      </c>
      <c r="C11" s="3">
        <v>7.9100000000000004E-4</v>
      </c>
      <c r="I11" s="2" t="s">
        <v>66</v>
      </c>
      <c r="J11" s="2" t="s">
        <v>113</v>
      </c>
    </row>
    <row r="12" spans="2:10" x14ac:dyDescent="0.35">
      <c r="B12" s="3">
        <v>26</v>
      </c>
      <c r="C12" s="3">
        <v>7.9880000000000012E-4</v>
      </c>
      <c r="I12" s="26">
        <v>1</v>
      </c>
      <c r="J12" s="26">
        <v>180</v>
      </c>
    </row>
    <row r="13" spans="2:10" x14ac:dyDescent="0.35">
      <c r="B13" s="3">
        <v>27</v>
      </c>
      <c r="C13" s="3">
        <v>8.0800000000000012E-4</v>
      </c>
      <c r="I13" s="26">
        <f>I12+1</f>
        <v>2</v>
      </c>
      <c r="J13" s="26">
        <v>200</v>
      </c>
    </row>
    <row r="14" spans="2:10" x14ac:dyDescent="0.35">
      <c r="B14" s="3">
        <v>28</v>
      </c>
      <c r="C14" s="3">
        <v>8.2000000000000009E-4</v>
      </c>
      <c r="I14" s="26">
        <f t="shared" ref="I14:I21" si="0">I13+1</f>
        <v>3</v>
      </c>
      <c r="J14" s="26">
        <v>186</v>
      </c>
    </row>
    <row r="15" spans="2:10" x14ac:dyDescent="0.35">
      <c r="B15" s="3">
        <v>29</v>
      </c>
      <c r="C15" s="3">
        <v>8.3560000000000014E-4</v>
      </c>
      <c r="I15" s="26">
        <f t="shared" si="0"/>
        <v>4</v>
      </c>
      <c r="J15" s="26">
        <v>254</v>
      </c>
    </row>
    <row r="16" spans="2:10" x14ac:dyDescent="0.35">
      <c r="B16" s="3">
        <v>30</v>
      </c>
      <c r="C16" s="3">
        <v>8.5559999999999998E-4</v>
      </c>
      <c r="I16" s="26">
        <f t="shared" si="0"/>
        <v>5</v>
      </c>
      <c r="J16" s="26">
        <v>100</v>
      </c>
    </row>
    <row r="17" spans="2:10" x14ac:dyDescent="0.35">
      <c r="B17" s="3">
        <v>31</v>
      </c>
      <c r="C17" s="3">
        <v>8.8100000000000006E-4</v>
      </c>
      <c r="I17" s="26">
        <f t="shared" si="0"/>
        <v>6</v>
      </c>
      <c r="J17" s="26">
        <v>190</v>
      </c>
    </row>
    <row r="18" spans="2:10" x14ac:dyDescent="0.35">
      <c r="B18" s="3">
        <v>32</v>
      </c>
      <c r="C18" s="3">
        <v>9.1299999999999997E-4</v>
      </c>
      <c r="I18" s="26">
        <f t="shared" si="0"/>
        <v>7</v>
      </c>
      <c r="J18" s="26">
        <v>276</v>
      </c>
    </row>
    <row r="19" spans="2:10" x14ac:dyDescent="0.35">
      <c r="B19" s="3">
        <v>33</v>
      </c>
      <c r="C19" s="3">
        <v>9.5239999999999995E-4</v>
      </c>
      <c r="I19" s="26">
        <f t="shared" si="0"/>
        <v>8</v>
      </c>
      <c r="J19" s="26">
        <v>376</v>
      </c>
    </row>
    <row r="20" spans="2:10" x14ac:dyDescent="0.35">
      <c r="B20" s="3">
        <v>34</v>
      </c>
      <c r="C20" s="3">
        <v>9.9980000000000012E-4</v>
      </c>
      <c r="I20" s="26">
        <f t="shared" si="0"/>
        <v>9</v>
      </c>
      <c r="J20" s="26">
        <v>398</v>
      </c>
    </row>
    <row r="21" spans="2:10" x14ac:dyDescent="0.35">
      <c r="B21" s="3">
        <v>35</v>
      </c>
      <c r="C21" s="3">
        <v>1.0560000000000001E-3</v>
      </c>
      <c r="I21" s="26">
        <f t="shared" si="0"/>
        <v>10</v>
      </c>
      <c r="J21" s="26">
        <v>356</v>
      </c>
    </row>
    <row r="22" spans="2:10" x14ac:dyDescent="0.35">
      <c r="B22" s="3">
        <v>36</v>
      </c>
      <c r="C22" s="3">
        <v>1.1218000000000001E-3</v>
      </c>
    </row>
    <row r="23" spans="2:10" x14ac:dyDescent="0.35">
      <c r="B23" s="3">
        <v>37</v>
      </c>
      <c r="C23" s="3">
        <v>1.1982E-3</v>
      </c>
    </row>
    <row r="24" spans="2:10" x14ac:dyDescent="0.35">
      <c r="B24" s="3">
        <v>38</v>
      </c>
      <c r="C24" s="3">
        <v>1.2864E-3</v>
      </c>
    </row>
    <row r="25" spans="2:10" x14ac:dyDescent="0.35">
      <c r="B25" s="3">
        <v>39</v>
      </c>
      <c r="C25" s="3">
        <v>1.3878E-3</v>
      </c>
    </row>
    <row r="26" spans="2:10" x14ac:dyDescent="0.35">
      <c r="B26" s="3">
        <v>40</v>
      </c>
      <c r="C26" s="3">
        <v>1.5046E-3</v>
      </c>
    </row>
    <row r="27" spans="2:10" x14ac:dyDescent="0.35">
      <c r="B27" s="3">
        <v>41</v>
      </c>
      <c r="C27" s="3">
        <v>1.6396000000000002E-3</v>
      </c>
    </row>
    <row r="28" spans="2:10" x14ac:dyDescent="0.35">
      <c r="B28" s="3">
        <v>42</v>
      </c>
      <c r="C28" s="3">
        <v>1.7958E-3</v>
      </c>
    </row>
    <row r="29" spans="2:10" x14ac:dyDescent="0.35">
      <c r="B29" s="3">
        <v>43</v>
      </c>
      <c r="C29" s="3">
        <v>1.9768000000000003E-3</v>
      </c>
    </row>
    <row r="30" spans="2:10" x14ac:dyDescent="0.35">
      <c r="B30" s="3">
        <v>44</v>
      </c>
      <c r="C30" s="3">
        <v>2.1864000000000002E-3</v>
      </c>
    </row>
    <row r="31" spans="2:10" x14ac:dyDescent="0.35">
      <c r="B31" s="3">
        <v>45</v>
      </c>
      <c r="C31" s="3">
        <v>2.4282000000000001E-3</v>
      </c>
    </row>
    <row r="32" spans="2:10" x14ac:dyDescent="0.35">
      <c r="B32" s="3">
        <v>46</v>
      </c>
      <c r="C32" s="3">
        <v>2.7054000000000002E-3</v>
      </c>
    </row>
    <row r="33" spans="2:3" x14ac:dyDescent="0.35">
      <c r="B33" s="3">
        <v>47</v>
      </c>
      <c r="C33" s="3">
        <v>3.0196000000000003E-3</v>
      </c>
    </row>
    <row r="34" spans="2:3" x14ac:dyDescent="0.35">
      <c r="B34" s="3">
        <v>48</v>
      </c>
      <c r="C34" s="3">
        <v>3.3704E-3</v>
      </c>
    </row>
    <row r="35" spans="2:3" x14ac:dyDescent="0.35">
      <c r="B35" s="3">
        <v>49</v>
      </c>
      <c r="C35" s="3">
        <v>3.7556E-3</v>
      </c>
    </row>
    <row r="36" spans="2:3" x14ac:dyDescent="0.35">
      <c r="B36" s="3">
        <v>50</v>
      </c>
      <c r="C36" s="3">
        <v>4.1714000000000005E-3</v>
      </c>
    </row>
    <row r="37" spans="2:3" x14ac:dyDescent="0.35">
      <c r="B37" s="3">
        <v>51</v>
      </c>
      <c r="C37" s="3">
        <v>4.6134000000000001E-3</v>
      </c>
    </row>
    <row r="38" spans="2:3" x14ac:dyDescent="0.35">
      <c r="B38" s="3">
        <v>52</v>
      </c>
      <c r="C38" s="3">
        <v>5.0772000000000005E-3</v>
      </c>
    </row>
    <row r="39" spans="2:3" x14ac:dyDescent="0.35">
      <c r="B39" s="3">
        <v>53</v>
      </c>
      <c r="C39" s="3">
        <v>5.5592000000000003E-3</v>
      </c>
    </row>
    <row r="40" spans="2:3" x14ac:dyDescent="0.35">
      <c r="B40" s="3">
        <v>54</v>
      </c>
      <c r="C40" s="3">
        <v>6.057400000000001E-3</v>
      </c>
    </row>
    <row r="41" spans="2:3" x14ac:dyDescent="0.35">
      <c r="B41" s="3">
        <v>55</v>
      </c>
      <c r="C41" s="3">
        <v>6.5722000000000003E-3</v>
      </c>
    </row>
    <row r="42" spans="2:3" x14ac:dyDescent="0.35">
      <c r="B42" s="3">
        <v>56</v>
      </c>
      <c r="C42" s="3">
        <v>7.1069999999999996E-3</v>
      </c>
    </row>
    <row r="43" spans="2:3" x14ac:dyDescent="0.35">
      <c r="B43" s="3">
        <v>57</v>
      </c>
      <c r="C43" s="3">
        <v>7.6674000000000013E-3</v>
      </c>
    </row>
    <row r="44" spans="2:3" x14ac:dyDescent="0.35">
      <c r="B44" s="3">
        <v>58</v>
      </c>
      <c r="C44" s="3">
        <v>8.261000000000001E-3</v>
      </c>
    </row>
    <row r="45" spans="2:3" x14ac:dyDescent="0.35">
      <c r="B45" s="3">
        <v>59</v>
      </c>
      <c r="C45" s="3">
        <v>8.8970000000000004E-3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F797F-4E57-42A0-AEB9-A29128109B04}">
  <dimension ref="B1:L39"/>
  <sheetViews>
    <sheetView showGridLines="0" zoomScaleNormal="100" workbookViewId="0"/>
  </sheetViews>
  <sheetFormatPr defaultRowHeight="14.5" x14ac:dyDescent="0.35"/>
  <cols>
    <col min="5" max="5" width="17.81640625" bestFit="1" customWidth="1"/>
    <col min="6" max="6" width="18.54296875" bestFit="1" customWidth="1"/>
    <col min="7" max="7" width="15.81640625" bestFit="1" customWidth="1"/>
    <col min="8" max="8" width="9.08984375" bestFit="1" customWidth="1"/>
    <col min="9" max="9" width="18.36328125" bestFit="1" customWidth="1"/>
    <col min="11" max="11" width="10.453125" bestFit="1" customWidth="1"/>
    <col min="12" max="12" width="10.08984375" bestFit="1" customWidth="1"/>
  </cols>
  <sheetData>
    <row r="1" spans="2:12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2:12" ht="15" thickBot="1" x14ac:dyDescent="0.4"/>
    <row r="3" spans="2:12" ht="44" thickBot="1" x14ac:dyDescent="0.4">
      <c r="B3" s="46" t="s">
        <v>66</v>
      </c>
      <c r="C3" s="47" t="s">
        <v>38</v>
      </c>
      <c r="D3" s="53" t="s">
        <v>1</v>
      </c>
      <c r="E3" s="46" t="s">
        <v>102</v>
      </c>
      <c r="F3" s="47" t="s">
        <v>103</v>
      </c>
      <c r="G3" s="47" t="s">
        <v>11</v>
      </c>
      <c r="H3" s="47" t="s">
        <v>12</v>
      </c>
      <c r="I3" s="47" t="s">
        <v>104</v>
      </c>
      <c r="J3" s="47" t="s">
        <v>105</v>
      </c>
      <c r="K3" s="47" t="s">
        <v>106</v>
      </c>
      <c r="L3" s="48" t="s">
        <v>107</v>
      </c>
    </row>
    <row r="4" spans="2:12" x14ac:dyDescent="0.35">
      <c r="B4" s="98">
        <v>1</v>
      </c>
      <c r="C4" s="33">
        <v>1</v>
      </c>
      <c r="D4" s="127">
        <v>35</v>
      </c>
      <c r="E4" s="98">
        <f>VLOOKUP(D4,'Q.3.Input'!$B$4:$C$45,2,FALSE)</f>
        <v>1.0560000000000001E-3</v>
      </c>
      <c r="F4" s="88">
        <f>1-(1-E4)^(1/12)</f>
        <v>8.8042620757566858E-5</v>
      </c>
      <c r="G4" s="123">
        <v>1</v>
      </c>
      <c r="H4" s="124">
        <f>G4*F4</f>
        <v>8.8042620757566858E-5</v>
      </c>
      <c r="I4" s="33">
        <f>VLOOKUP(B4,'Q.3.Input'!$E$3:$F$6,2,FALSE)</f>
        <v>0.1</v>
      </c>
      <c r="J4" s="125">
        <v>0</v>
      </c>
      <c r="K4" s="88">
        <f>(1-H4)*J4</f>
        <v>0</v>
      </c>
      <c r="L4" s="126">
        <f>G4-H4-K4</f>
        <v>0.99991195737924243</v>
      </c>
    </row>
    <row r="5" spans="2:12" x14ac:dyDescent="0.35">
      <c r="B5" s="67">
        <v>1</v>
      </c>
      <c r="C5" s="26">
        <f>C4+1</f>
        <v>2</v>
      </c>
      <c r="D5" s="128">
        <v>35</v>
      </c>
      <c r="E5" s="67">
        <f>VLOOKUP(D5,'Q.3.Input'!$B$4:$C$45,2,FALSE)</f>
        <v>1.0560000000000001E-3</v>
      </c>
      <c r="F5" s="63">
        <f t="shared" ref="F5:F39" si="0">1-(1-E5)^(1/12)</f>
        <v>8.8042620757566858E-5</v>
      </c>
      <c r="G5" s="66">
        <f>L4</f>
        <v>0.99991195737924243</v>
      </c>
      <c r="H5" s="64">
        <f t="shared" ref="H5:H39" si="1">G5*F5</f>
        <v>8.8034869254497E-5</v>
      </c>
      <c r="I5" s="26">
        <f>VLOOKUP(B5,'Q.3.Input'!$E$3:$F$6,2,FALSE)</f>
        <v>0.1</v>
      </c>
      <c r="J5" s="65">
        <v>0</v>
      </c>
      <c r="K5" s="63">
        <f t="shared" ref="K5:K39" si="2">(1-H5)*J5</f>
        <v>0</v>
      </c>
      <c r="L5" s="118">
        <f t="shared" ref="L5:L39" si="3">G5-H5-K5</f>
        <v>0.99982392250998797</v>
      </c>
    </row>
    <row r="6" spans="2:12" x14ac:dyDescent="0.35">
      <c r="B6" s="67">
        <v>1</v>
      </c>
      <c r="C6" s="26">
        <f t="shared" ref="C6:C39" si="4">C5+1</f>
        <v>3</v>
      </c>
      <c r="D6" s="128">
        <v>35</v>
      </c>
      <c r="E6" s="67">
        <f>VLOOKUP(D6,'Q.3.Input'!$B$4:$C$45,2,FALSE)</f>
        <v>1.0560000000000001E-3</v>
      </c>
      <c r="F6" s="63">
        <f t="shared" si="0"/>
        <v>8.8042620757566858E-5</v>
      </c>
      <c r="G6" s="66">
        <f t="shared" ref="G6:G39" si="5">L5</f>
        <v>0.99982392250998797</v>
      </c>
      <c r="H6" s="64">
        <f t="shared" si="1"/>
        <v>8.8027118433889787E-5</v>
      </c>
      <c r="I6" s="26">
        <f>VLOOKUP(B6,'Q.3.Input'!$E$3:$F$6,2,FALSE)</f>
        <v>0.1</v>
      </c>
      <c r="J6" s="65">
        <v>0</v>
      </c>
      <c r="K6" s="63">
        <f t="shared" si="2"/>
        <v>0</v>
      </c>
      <c r="L6" s="118">
        <f t="shared" si="3"/>
        <v>0.99973589539155405</v>
      </c>
    </row>
    <row r="7" spans="2:12" x14ac:dyDescent="0.35">
      <c r="B7" s="67">
        <v>1</v>
      </c>
      <c r="C7" s="26">
        <f t="shared" si="4"/>
        <v>4</v>
      </c>
      <c r="D7" s="128">
        <v>35</v>
      </c>
      <c r="E7" s="67">
        <f>VLOOKUP(D7,'Q.3.Input'!$B$4:$C$45,2,FALSE)</f>
        <v>1.0560000000000001E-3</v>
      </c>
      <c r="F7" s="63">
        <f t="shared" si="0"/>
        <v>8.8042620757566858E-5</v>
      </c>
      <c r="G7" s="66">
        <f t="shared" si="5"/>
        <v>0.99973589539155405</v>
      </c>
      <c r="H7" s="64">
        <f t="shared" si="1"/>
        <v>8.8019368295685126E-5</v>
      </c>
      <c r="I7" s="26">
        <f>VLOOKUP(B7,'Q.3.Input'!$E$3:$F$6,2,FALSE)</f>
        <v>0.1</v>
      </c>
      <c r="J7" s="65">
        <v>0</v>
      </c>
      <c r="K7" s="63">
        <f t="shared" si="2"/>
        <v>0</v>
      </c>
      <c r="L7" s="118">
        <f t="shared" si="3"/>
        <v>0.99964787602325833</v>
      </c>
    </row>
    <row r="8" spans="2:12" x14ac:dyDescent="0.35">
      <c r="B8" s="67">
        <v>1</v>
      </c>
      <c r="C8" s="26">
        <f t="shared" si="4"/>
        <v>5</v>
      </c>
      <c r="D8" s="128">
        <v>35</v>
      </c>
      <c r="E8" s="67">
        <f>VLOOKUP(D8,'Q.3.Input'!$B$4:$C$45,2,FALSE)</f>
        <v>1.0560000000000001E-3</v>
      </c>
      <c r="F8" s="63">
        <f t="shared" si="0"/>
        <v>8.8042620757566858E-5</v>
      </c>
      <c r="G8" s="66">
        <f t="shared" si="5"/>
        <v>0.99964787602325833</v>
      </c>
      <c r="H8" s="64">
        <f t="shared" si="1"/>
        <v>8.801161883982294E-5</v>
      </c>
      <c r="I8" s="26">
        <f>VLOOKUP(B8,'Q.3.Input'!$E$3:$F$6,2,FALSE)</f>
        <v>0.1</v>
      </c>
      <c r="J8" s="65">
        <v>0</v>
      </c>
      <c r="K8" s="63">
        <f t="shared" si="2"/>
        <v>0</v>
      </c>
      <c r="L8" s="118">
        <f t="shared" si="3"/>
        <v>0.99955986440441846</v>
      </c>
    </row>
    <row r="9" spans="2:12" x14ac:dyDescent="0.35">
      <c r="B9" s="67">
        <v>1</v>
      </c>
      <c r="C9" s="26">
        <f t="shared" si="4"/>
        <v>6</v>
      </c>
      <c r="D9" s="128">
        <v>35</v>
      </c>
      <c r="E9" s="67">
        <f>VLOOKUP(D9,'Q.3.Input'!$B$4:$C$45,2,FALSE)</f>
        <v>1.0560000000000001E-3</v>
      </c>
      <c r="F9" s="63">
        <f t="shared" si="0"/>
        <v>8.8042620757566858E-5</v>
      </c>
      <c r="G9" s="66">
        <f t="shared" si="5"/>
        <v>0.99955986440441846</v>
      </c>
      <c r="H9" s="64">
        <f t="shared" si="1"/>
        <v>8.8003870066243164E-5</v>
      </c>
      <c r="I9" s="26">
        <f>VLOOKUP(B9,'Q.3.Input'!$E$3:$F$6,2,FALSE)</f>
        <v>0.1</v>
      </c>
      <c r="J9" s="65">
        <v>0</v>
      </c>
      <c r="K9" s="63">
        <f t="shared" si="2"/>
        <v>0</v>
      </c>
      <c r="L9" s="118">
        <f t="shared" si="3"/>
        <v>0.99947186053435222</v>
      </c>
    </row>
    <row r="10" spans="2:12" x14ac:dyDescent="0.35">
      <c r="B10" s="67">
        <v>1</v>
      </c>
      <c r="C10" s="26">
        <f t="shared" si="4"/>
        <v>7</v>
      </c>
      <c r="D10" s="128">
        <v>35</v>
      </c>
      <c r="E10" s="67">
        <f>VLOOKUP(D10,'Q.3.Input'!$B$4:$C$45,2,FALSE)</f>
        <v>1.0560000000000001E-3</v>
      </c>
      <c r="F10" s="63">
        <f t="shared" si="0"/>
        <v>8.8042620757566858E-5</v>
      </c>
      <c r="G10" s="66">
        <f t="shared" si="5"/>
        <v>0.99947186053435222</v>
      </c>
      <c r="H10" s="64">
        <f t="shared" si="1"/>
        <v>8.7996121974885734E-5</v>
      </c>
      <c r="I10" s="26">
        <f>VLOOKUP(B10,'Q.3.Input'!$E$3:$F$6,2,FALSE)</f>
        <v>0.1</v>
      </c>
      <c r="J10" s="65">
        <v>0</v>
      </c>
      <c r="K10" s="63">
        <f t="shared" si="2"/>
        <v>0</v>
      </c>
      <c r="L10" s="118">
        <f t="shared" si="3"/>
        <v>0.99938386441237737</v>
      </c>
    </row>
    <row r="11" spans="2:12" x14ac:dyDescent="0.35">
      <c r="B11" s="67">
        <v>1</v>
      </c>
      <c r="C11" s="26">
        <f t="shared" si="4"/>
        <v>8</v>
      </c>
      <c r="D11" s="128">
        <v>35</v>
      </c>
      <c r="E11" s="67">
        <f>VLOOKUP(D11,'Q.3.Input'!$B$4:$C$45,2,FALSE)</f>
        <v>1.0560000000000001E-3</v>
      </c>
      <c r="F11" s="63">
        <f t="shared" si="0"/>
        <v>8.8042620757566858E-5</v>
      </c>
      <c r="G11" s="66">
        <f t="shared" si="5"/>
        <v>0.99938386441237737</v>
      </c>
      <c r="H11" s="64">
        <f t="shared" si="1"/>
        <v>8.7988374565690556E-5</v>
      </c>
      <c r="I11" s="26">
        <f>VLOOKUP(B11,'Q.3.Input'!$E$3:$F$6,2,FALSE)</f>
        <v>0.1</v>
      </c>
      <c r="J11" s="65">
        <v>0</v>
      </c>
      <c r="K11" s="63">
        <f t="shared" si="2"/>
        <v>0</v>
      </c>
      <c r="L11" s="118">
        <f t="shared" si="3"/>
        <v>0.99929587603781167</v>
      </c>
    </row>
    <row r="12" spans="2:12" x14ac:dyDescent="0.35">
      <c r="B12" s="67">
        <v>1</v>
      </c>
      <c r="C12" s="26">
        <f t="shared" si="4"/>
        <v>9</v>
      </c>
      <c r="D12" s="128">
        <v>35</v>
      </c>
      <c r="E12" s="67">
        <f>VLOOKUP(D12,'Q.3.Input'!$B$4:$C$45,2,FALSE)</f>
        <v>1.0560000000000001E-3</v>
      </c>
      <c r="F12" s="63">
        <f t="shared" si="0"/>
        <v>8.8042620757566858E-5</v>
      </c>
      <c r="G12" s="66">
        <f t="shared" si="5"/>
        <v>0.99929587603781167</v>
      </c>
      <c r="H12" s="64">
        <f t="shared" si="1"/>
        <v>8.7980627838597593E-5</v>
      </c>
      <c r="I12" s="26">
        <f>VLOOKUP(B12,'Q.3.Input'!$E$3:$F$6,2,FALSE)</f>
        <v>0.1</v>
      </c>
      <c r="J12" s="65">
        <v>0</v>
      </c>
      <c r="K12" s="63">
        <f t="shared" si="2"/>
        <v>0</v>
      </c>
      <c r="L12" s="118">
        <f t="shared" si="3"/>
        <v>0.99920789540997312</v>
      </c>
    </row>
    <row r="13" spans="2:12" x14ac:dyDescent="0.35">
      <c r="B13" s="67">
        <v>1</v>
      </c>
      <c r="C13" s="26">
        <f t="shared" si="4"/>
        <v>10</v>
      </c>
      <c r="D13" s="128">
        <v>35</v>
      </c>
      <c r="E13" s="67">
        <f>VLOOKUP(D13,'Q.3.Input'!$B$4:$C$45,2,FALSE)</f>
        <v>1.0560000000000001E-3</v>
      </c>
      <c r="F13" s="63">
        <f t="shared" si="0"/>
        <v>8.8042620757566858E-5</v>
      </c>
      <c r="G13" s="66">
        <f t="shared" si="5"/>
        <v>0.99920789540997312</v>
      </c>
      <c r="H13" s="64">
        <f t="shared" si="1"/>
        <v>8.7972881793546795E-5</v>
      </c>
      <c r="I13" s="26">
        <f>VLOOKUP(B13,'Q.3.Input'!$E$3:$F$6,2,FALSE)</f>
        <v>0.1</v>
      </c>
      <c r="J13" s="65">
        <v>0</v>
      </c>
      <c r="K13" s="63">
        <f t="shared" si="2"/>
        <v>0</v>
      </c>
      <c r="L13" s="118">
        <f t="shared" si="3"/>
        <v>0.9991199225281796</v>
      </c>
    </row>
    <row r="14" spans="2:12" x14ac:dyDescent="0.35">
      <c r="B14" s="67">
        <v>1</v>
      </c>
      <c r="C14" s="26">
        <f t="shared" si="4"/>
        <v>11</v>
      </c>
      <c r="D14" s="128">
        <v>35</v>
      </c>
      <c r="E14" s="67">
        <f>VLOOKUP(D14,'Q.3.Input'!$B$4:$C$45,2,FALSE)</f>
        <v>1.0560000000000001E-3</v>
      </c>
      <c r="F14" s="63">
        <f t="shared" si="0"/>
        <v>8.8042620757566858E-5</v>
      </c>
      <c r="G14" s="66">
        <f t="shared" si="5"/>
        <v>0.9991199225281796</v>
      </c>
      <c r="H14" s="64">
        <f t="shared" si="1"/>
        <v>8.7965136430478096E-5</v>
      </c>
      <c r="I14" s="26">
        <f>VLOOKUP(B14,'Q.3.Input'!$E$3:$F$6,2,FALSE)</f>
        <v>0.1</v>
      </c>
      <c r="J14" s="65">
        <v>0</v>
      </c>
      <c r="K14" s="63">
        <f t="shared" si="2"/>
        <v>0</v>
      </c>
      <c r="L14" s="118">
        <f t="shared" si="3"/>
        <v>0.9990319573917491</v>
      </c>
    </row>
    <row r="15" spans="2:12" x14ac:dyDescent="0.35">
      <c r="B15" s="67">
        <v>1</v>
      </c>
      <c r="C15" s="26">
        <f t="shared" si="4"/>
        <v>12</v>
      </c>
      <c r="D15" s="128">
        <v>35</v>
      </c>
      <c r="E15" s="67">
        <f>VLOOKUP(D15,'Q.3.Input'!$B$4:$C$45,2,FALSE)</f>
        <v>1.0560000000000001E-3</v>
      </c>
      <c r="F15" s="63">
        <f t="shared" si="0"/>
        <v>8.8042620757566858E-5</v>
      </c>
      <c r="G15" s="66">
        <f t="shared" si="5"/>
        <v>0.9990319573917491</v>
      </c>
      <c r="H15" s="64">
        <f t="shared" si="1"/>
        <v>8.7957391749331459E-5</v>
      </c>
      <c r="I15" s="26">
        <f>VLOOKUP(B15,'Q.3.Input'!$E$3:$F$6,2,FALSE)</f>
        <v>0.1</v>
      </c>
      <c r="J15" s="65">
        <f>I15</f>
        <v>0.1</v>
      </c>
      <c r="K15" s="63">
        <f t="shared" si="2"/>
        <v>9.999120426082507E-2</v>
      </c>
      <c r="L15" s="118">
        <f t="shared" si="3"/>
        <v>0.89895279573917464</v>
      </c>
    </row>
    <row r="16" spans="2:12" x14ac:dyDescent="0.35">
      <c r="B16" s="67">
        <f>B4+1</f>
        <v>2</v>
      </c>
      <c r="C16" s="26">
        <f t="shared" si="4"/>
        <v>13</v>
      </c>
      <c r="D16" s="128">
        <f>D4+1</f>
        <v>36</v>
      </c>
      <c r="E16" s="67">
        <f>VLOOKUP(D16,'Q.3.Input'!$B$4:$C$45,2,FALSE)</f>
        <v>1.1218000000000001E-3</v>
      </c>
      <c r="F16" s="63">
        <f t="shared" si="0"/>
        <v>9.3531433045024315E-5</v>
      </c>
      <c r="G16" s="66">
        <f t="shared" si="5"/>
        <v>0.89895279573917464</v>
      </c>
      <c r="H16" s="64">
        <f t="shared" si="1"/>
        <v>8.4080343225316029E-5</v>
      </c>
      <c r="I16" s="26">
        <f>VLOOKUP(B16,'Q.3.Input'!$E$3:$F$6,2,FALSE)</f>
        <v>0.05</v>
      </c>
      <c r="J16" s="65">
        <f>1-(1-I16)^(1/12)</f>
        <v>4.2653187775606449E-3</v>
      </c>
      <c r="K16" s="63">
        <f t="shared" si="2"/>
        <v>4.2649601480938626E-3</v>
      </c>
      <c r="L16" s="118">
        <f t="shared" si="3"/>
        <v>0.89460375524785551</v>
      </c>
    </row>
    <row r="17" spans="2:12" x14ac:dyDescent="0.35">
      <c r="B17" s="67">
        <f t="shared" ref="B17:B39" si="6">B5+1</f>
        <v>2</v>
      </c>
      <c r="C17" s="26">
        <f t="shared" si="4"/>
        <v>14</v>
      </c>
      <c r="D17" s="128">
        <f t="shared" ref="D17:D39" si="7">D5+1</f>
        <v>36</v>
      </c>
      <c r="E17" s="67">
        <f>VLOOKUP(D17,'Q.3.Input'!$B$4:$C$45,2,FALSE)</f>
        <v>1.1218000000000001E-3</v>
      </c>
      <c r="F17" s="63">
        <f t="shared" si="0"/>
        <v>9.3531433045024315E-5</v>
      </c>
      <c r="G17" s="66">
        <f t="shared" si="5"/>
        <v>0.89460375524785551</v>
      </c>
      <c r="H17" s="64">
        <f t="shared" si="1"/>
        <v>8.3673571235792118E-5</v>
      </c>
      <c r="I17" s="26">
        <f>VLOOKUP(B17,'Q.3.Input'!$E$3:$F$6,2,FALSE)</f>
        <v>0.05</v>
      </c>
      <c r="J17" s="65">
        <f t="shared" ref="J17:J39" si="8">1-(1-I17)^(1/12)</f>
        <v>4.2653187775606449E-3</v>
      </c>
      <c r="K17" s="63">
        <f t="shared" si="2"/>
        <v>4.2649618831060668E-3</v>
      </c>
      <c r="L17" s="118">
        <f t="shared" si="3"/>
        <v>0.89025511979351357</v>
      </c>
    </row>
    <row r="18" spans="2:12" x14ac:dyDescent="0.35">
      <c r="B18" s="67">
        <f t="shared" si="6"/>
        <v>2</v>
      </c>
      <c r="C18" s="26">
        <f t="shared" si="4"/>
        <v>15</v>
      </c>
      <c r="D18" s="128">
        <f t="shared" si="7"/>
        <v>36</v>
      </c>
      <c r="E18" s="67">
        <f>VLOOKUP(D18,'Q.3.Input'!$B$4:$C$45,2,FALSE)</f>
        <v>1.1218000000000001E-3</v>
      </c>
      <c r="F18" s="63">
        <f t="shared" si="0"/>
        <v>9.3531433045024315E-5</v>
      </c>
      <c r="G18" s="66">
        <f t="shared" si="5"/>
        <v>0.89025511979351357</v>
      </c>
      <c r="H18" s="64">
        <f t="shared" si="1"/>
        <v>8.3266837129957109E-5</v>
      </c>
      <c r="I18" s="26">
        <f>VLOOKUP(B18,'Q.3.Input'!$E$3:$F$6,2,FALSE)</f>
        <v>0.05</v>
      </c>
      <c r="J18" s="65">
        <f t="shared" si="8"/>
        <v>4.2653187775606449E-3</v>
      </c>
      <c r="K18" s="63">
        <f t="shared" si="2"/>
        <v>4.2649636179566859E-3</v>
      </c>
      <c r="L18" s="118">
        <f t="shared" si="3"/>
        <v>0.88590688933842687</v>
      </c>
    </row>
    <row r="19" spans="2:12" x14ac:dyDescent="0.35">
      <c r="B19" s="67">
        <f t="shared" si="6"/>
        <v>2</v>
      </c>
      <c r="C19" s="26">
        <f t="shared" si="4"/>
        <v>16</v>
      </c>
      <c r="D19" s="128">
        <f t="shared" si="7"/>
        <v>36</v>
      </c>
      <c r="E19" s="67">
        <f>VLOOKUP(D19,'Q.3.Input'!$B$4:$C$45,2,FALSE)</f>
        <v>1.1218000000000001E-3</v>
      </c>
      <c r="F19" s="63">
        <f t="shared" si="0"/>
        <v>9.3531433045024315E-5</v>
      </c>
      <c r="G19" s="66">
        <f t="shared" si="5"/>
        <v>0.88590688933842687</v>
      </c>
      <c r="H19" s="64">
        <f t="shared" si="1"/>
        <v>8.2860140904282833E-5</v>
      </c>
      <c r="I19" s="26">
        <f>VLOOKUP(B19,'Q.3.Input'!$E$3:$F$6,2,FALSE)</f>
        <v>0.05</v>
      </c>
      <c r="J19" s="65">
        <f t="shared" si="8"/>
        <v>4.2653187775606449E-3</v>
      </c>
      <c r="K19" s="63">
        <f t="shared" si="2"/>
        <v>4.2649653526457346E-3</v>
      </c>
      <c r="L19" s="118">
        <f t="shared" si="3"/>
        <v>0.88155906384487681</v>
      </c>
    </row>
    <row r="20" spans="2:12" x14ac:dyDescent="0.35">
      <c r="B20" s="67">
        <f t="shared" si="6"/>
        <v>2</v>
      </c>
      <c r="C20" s="26">
        <f t="shared" si="4"/>
        <v>17</v>
      </c>
      <c r="D20" s="128">
        <f t="shared" si="7"/>
        <v>36</v>
      </c>
      <c r="E20" s="67">
        <f>VLOOKUP(D20,'Q.3.Input'!$B$4:$C$45,2,FALSE)</f>
        <v>1.1218000000000001E-3</v>
      </c>
      <c r="F20" s="63">
        <f t="shared" si="0"/>
        <v>9.3531433045024315E-5</v>
      </c>
      <c r="G20" s="66">
        <f t="shared" si="5"/>
        <v>0.88155906384487681</v>
      </c>
      <c r="H20" s="64">
        <f t="shared" si="1"/>
        <v>8.2453482555241417E-5</v>
      </c>
      <c r="I20" s="26">
        <f>VLOOKUP(B20,'Q.3.Input'!$E$3:$F$6,2,FALSE)</f>
        <v>0.05</v>
      </c>
      <c r="J20" s="65">
        <f t="shared" si="8"/>
        <v>4.2653187775606449E-3</v>
      </c>
      <c r="K20" s="63">
        <f t="shared" si="2"/>
        <v>4.2649670871732267E-3</v>
      </c>
      <c r="L20" s="118">
        <f t="shared" si="3"/>
        <v>0.87721164327514833</v>
      </c>
    </row>
    <row r="21" spans="2:12" x14ac:dyDescent="0.35">
      <c r="B21" s="67">
        <f t="shared" si="6"/>
        <v>2</v>
      </c>
      <c r="C21" s="26">
        <f t="shared" si="4"/>
        <v>18</v>
      </c>
      <c r="D21" s="128">
        <f t="shared" si="7"/>
        <v>36</v>
      </c>
      <c r="E21" s="67">
        <f>VLOOKUP(D21,'Q.3.Input'!$B$4:$C$45,2,FALSE)</f>
        <v>1.1218000000000001E-3</v>
      </c>
      <c r="F21" s="63">
        <f t="shared" si="0"/>
        <v>9.3531433045024315E-5</v>
      </c>
      <c r="G21" s="66">
        <f t="shared" si="5"/>
        <v>0.87721164327514833</v>
      </c>
      <c r="H21" s="64">
        <f t="shared" si="1"/>
        <v>8.2046862079305287E-5</v>
      </c>
      <c r="I21" s="26">
        <f>VLOOKUP(B21,'Q.3.Input'!$E$3:$F$6,2,FALSE)</f>
        <v>0.05</v>
      </c>
      <c r="J21" s="65">
        <f t="shared" si="8"/>
        <v>4.2653187775606449E-3</v>
      </c>
      <c r="K21" s="63">
        <f t="shared" si="2"/>
        <v>4.2649688215391779E-3</v>
      </c>
      <c r="L21" s="118">
        <f t="shared" si="3"/>
        <v>0.87286462759152983</v>
      </c>
    </row>
    <row r="22" spans="2:12" x14ac:dyDescent="0.35">
      <c r="B22" s="67">
        <f t="shared" si="6"/>
        <v>2</v>
      </c>
      <c r="C22" s="26">
        <f t="shared" si="4"/>
        <v>19</v>
      </c>
      <c r="D22" s="128">
        <f t="shared" si="7"/>
        <v>36</v>
      </c>
      <c r="E22" s="67">
        <f>VLOOKUP(D22,'Q.3.Input'!$B$4:$C$45,2,FALSE)</f>
        <v>1.1218000000000001E-3</v>
      </c>
      <c r="F22" s="63">
        <f t="shared" si="0"/>
        <v>9.3531433045024315E-5</v>
      </c>
      <c r="G22" s="66">
        <f t="shared" si="5"/>
        <v>0.87286462759152983</v>
      </c>
      <c r="H22" s="64">
        <f t="shared" si="1"/>
        <v>8.1640279472947251E-5</v>
      </c>
      <c r="I22" s="26">
        <f>VLOOKUP(B22,'Q.3.Input'!$E$3:$F$6,2,FALSE)</f>
        <v>0.05</v>
      </c>
      <c r="J22" s="65">
        <f t="shared" si="8"/>
        <v>4.2653187775606449E-3</v>
      </c>
      <c r="K22" s="63">
        <f t="shared" si="2"/>
        <v>4.2649705557436038E-3</v>
      </c>
      <c r="L22" s="118">
        <f t="shared" si="3"/>
        <v>0.86851801675631324</v>
      </c>
    </row>
    <row r="23" spans="2:12" x14ac:dyDescent="0.35">
      <c r="B23" s="67">
        <f t="shared" si="6"/>
        <v>2</v>
      </c>
      <c r="C23" s="26">
        <f t="shared" si="4"/>
        <v>20</v>
      </c>
      <c r="D23" s="128">
        <f t="shared" si="7"/>
        <v>36</v>
      </c>
      <c r="E23" s="67">
        <f>VLOOKUP(D23,'Q.3.Input'!$B$4:$C$45,2,FALSE)</f>
        <v>1.1218000000000001E-3</v>
      </c>
      <c r="F23" s="63">
        <f t="shared" si="0"/>
        <v>9.3531433045024315E-5</v>
      </c>
      <c r="G23" s="66">
        <f t="shared" si="5"/>
        <v>0.86851801675631324</v>
      </c>
      <c r="H23" s="64">
        <f t="shared" si="1"/>
        <v>8.1233734732640424E-5</v>
      </c>
      <c r="I23" s="26">
        <f>VLOOKUP(B23,'Q.3.Input'!$E$3:$F$6,2,FALSE)</f>
        <v>0.05</v>
      </c>
      <c r="J23" s="65">
        <f t="shared" si="8"/>
        <v>4.2653187775606449E-3</v>
      </c>
      <c r="K23" s="63">
        <f t="shared" si="2"/>
        <v>4.2649722897865183E-3</v>
      </c>
      <c r="L23" s="118">
        <f t="shared" si="3"/>
        <v>0.86417181073179405</v>
      </c>
    </row>
    <row r="24" spans="2:12" x14ac:dyDescent="0.35">
      <c r="B24" s="67">
        <f t="shared" si="6"/>
        <v>2</v>
      </c>
      <c r="C24" s="26">
        <f t="shared" si="4"/>
        <v>21</v>
      </c>
      <c r="D24" s="128">
        <f t="shared" si="7"/>
        <v>36</v>
      </c>
      <c r="E24" s="67">
        <f>VLOOKUP(D24,'Q.3.Input'!$B$4:$C$45,2,FALSE)</f>
        <v>1.1218000000000001E-3</v>
      </c>
      <c r="F24" s="63">
        <f t="shared" si="0"/>
        <v>9.3531433045024315E-5</v>
      </c>
      <c r="G24" s="66">
        <f t="shared" si="5"/>
        <v>0.86417181073179405</v>
      </c>
      <c r="H24" s="64">
        <f t="shared" si="1"/>
        <v>8.0827227854858222E-5</v>
      </c>
      <c r="I24" s="26">
        <f>VLOOKUP(B24,'Q.3.Input'!$E$3:$F$6,2,FALSE)</f>
        <v>0.05</v>
      </c>
      <c r="J24" s="65">
        <f t="shared" si="8"/>
        <v>4.2653187775606449E-3</v>
      </c>
      <c r="K24" s="63">
        <f t="shared" si="2"/>
        <v>4.2649740236679378E-3</v>
      </c>
      <c r="L24" s="118">
        <f t="shared" si="3"/>
        <v>0.85982600948027121</v>
      </c>
    </row>
    <row r="25" spans="2:12" x14ac:dyDescent="0.35">
      <c r="B25" s="67">
        <f t="shared" si="6"/>
        <v>2</v>
      </c>
      <c r="C25" s="26">
        <f t="shared" si="4"/>
        <v>22</v>
      </c>
      <c r="D25" s="128">
        <f t="shared" si="7"/>
        <v>36</v>
      </c>
      <c r="E25" s="67">
        <f>VLOOKUP(D25,'Q.3.Input'!$B$4:$C$45,2,FALSE)</f>
        <v>1.1218000000000001E-3</v>
      </c>
      <c r="F25" s="63">
        <f t="shared" si="0"/>
        <v>9.3531433045024315E-5</v>
      </c>
      <c r="G25" s="66">
        <f t="shared" si="5"/>
        <v>0.85982600948027121</v>
      </c>
      <c r="H25" s="64">
        <f t="shared" si="1"/>
        <v>8.0420758836074427E-5</v>
      </c>
      <c r="I25" s="26">
        <f>VLOOKUP(B25,'Q.3.Input'!$E$3:$F$6,2,FALSE)</f>
        <v>0.05</v>
      </c>
      <c r="J25" s="65">
        <f t="shared" si="8"/>
        <v>4.2653187775606449E-3</v>
      </c>
      <c r="K25" s="63">
        <f t="shared" si="2"/>
        <v>4.2649757573878753E-3</v>
      </c>
      <c r="L25" s="118">
        <f t="shared" si="3"/>
        <v>0.85548061296404732</v>
      </c>
    </row>
    <row r="26" spans="2:12" x14ac:dyDescent="0.35">
      <c r="B26" s="67">
        <f t="shared" si="6"/>
        <v>2</v>
      </c>
      <c r="C26" s="26">
        <f t="shared" si="4"/>
        <v>23</v>
      </c>
      <c r="D26" s="128">
        <f t="shared" si="7"/>
        <v>36</v>
      </c>
      <c r="E26" s="67">
        <f>VLOOKUP(D26,'Q.3.Input'!$B$4:$C$45,2,FALSE)</f>
        <v>1.1218000000000001E-3</v>
      </c>
      <c r="F26" s="63">
        <f t="shared" si="0"/>
        <v>9.3531433045024315E-5</v>
      </c>
      <c r="G26" s="66">
        <f t="shared" si="5"/>
        <v>0.85548061296404732</v>
      </c>
      <c r="H26" s="64">
        <f t="shared" si="1"/>
        <v>8.0014327672763146E-5</v>
      </c>
      <c r="I26" s="26">
        <f>VLOOKUP(B26,'Q.3.Input'!$E$3:$F$6,2,FALSE)</f>
        <v>0.05</v>
      </c>
      <c r="J26" s="65">
        <f t="shared" si="8"/>
        <v>4.2653187775606449E-3</v>
      </c>
      <c r="K26" s="63">
        <f t="shared" si="2"/>
        <v>4.2649774909463483E-3</v>
      </c>
      <c r="L26" s="118">
        <f t="shared" si="3"/>
        <v>0.85113562114542818</v>
      </c>
    </row>
    <row r="27" spans="2:12" x14ac:dyDescent="0.35">
      <c r="B27" s="67">
        <f t="shared" si="6"/>
        <v>2</v>
      </c>
      <c r="C27" s="26">
        <f t="shared" si="4"/>
        <v>24</v>
      </c>
      <c r="D27" s="128">
        <f t="shared" si="7"/>
        <v>36</v>
      </c>
      <c r="E27" s="67">
        <f>VLOOKUP(D27,'Q.3.Input'!$B$4:$C$45,2,FALSE)</f>
        <v>1.1218000000000001E-3</v>
      </c>
      <c r="F27" s="63">
        <f t="shared" si="0"/>
        <v>9.3531433045024315E-5</v>
      </c>
      <c r="G27" s="66">
        <f t="shared" si="5"/>
        <v>0.85113562114542818</v>
      </c>
      <c r="H27" s="64">
        <f t="shared" si="1"/>
        <v>7.9607934361398798E-5</v>
      </c>
      <c r="I27" s="26">
        <f>VLOOKUP(B27,'Q.3.Input'!$E$3:$F$6,2,FALSE)</f>
        <v>0.05</v>
      </c>
      <c r="J27" s="65">
        <f t="shared" si="8"/>
        <v>4.2653187775606449E-3</v>
      </c>
      <c r="K27" s="63">
        <f t="shared" si="2"/>
        <v>4.2649792243433706E-3</v>
      </c>
      <c r="L27" s="118">
        <f t="shared" si="3"/>
        <v>0.84679103398672351</v>
      </c>
    </row>
    <row r="28" spans="2:12" x14ac:dyDescent="0.35">
      <c r="B28" s="67">
        <f t="shared" si="6"/>
        <v>3</v>
      </c>
      <c r="C28" s="26">
        <f t="shared" si="4"/>
        <v>25</v>
      </c>
      <c r="D28" s="128">
        <f t="shared" si="7"/>
        <v>37</v>
      </c>
      <c r="E28" s="67">
        <f>VLOOKUP(D28,'Q.3.Input'!$B$4:$C$45,2,FALSE)</f>
        <v>1.1982E-3</v>
      </c>
      <c r="F28" s="63">
        <f t="shared" si="0"/>
        <v>9.9904877137624304E-5</v>
      </c>
      <c r="G28" s="66">
        <f t="shared" si="5"/>
        <v>0.84679103398672351</v>
      </c>
      <c r="H28" s="64">
        <f t="shared" si="1"/>
        <v>8.4598554211685461E-5</v>
      </c>
      <c r="I28" s="26">
        <f>VLOOKUP(B28,'Q.3.Input'!$E$3:$F$6,2,FALSE)</f>
        <v>0.02</v>
      </c>
      <c r="J28" s="65">
        <f t="shared" si="8"/>
        <v>1.6821425527395739E-3</v>
      </c>
      <c r="K28" s="63">
        <f t="shared" si="2"/>
        <v>1.6820002459116341E-3</v>
      </c>
      <c r="L28" s="118">
        <f t="shared" si="3"/>
        <v>0.8450244351866002</v>
      </c>
    </row>
    <row r="29" spans="2:12" x14ac:dyDescent="0.35">
      <c r="B29" s="67">
        <f t="shared" si="6"/>
        <v>3</v>
      </c>
      <c r="C29" s="26">
        <f t="shared" si="4"/>
        <v>26</v>
      </c>
      <c r="D29" s="128">
        <f t="shared" si="7"/>
        <v>37</v>
      </c>
      <c r="E29" s="67">
        <f>VLOOKUP(D29,'Q.3.Input'!$B$4:$C$45,2,FALSE)</f>
        <v>1.1982E-3</v>
      </c>
      <c r="F29" s="63">
        <f t="shared" si="0"/>
        <v>9.9904877137624304E-5</v>
      </c>
      <c r="G29" s="66">
        <f t="shared" si="5"/>
        <v>0.8450244351866002</v>
      </c>
      <c r="H29" s="64">
        <f t="shared" si="1"/>
        <v>8.4422062375607662E-5</v>
      </c>
      <c r="I29" s="26">
        <f>VLOOKUP(B29,'Q.3.Input'!$E$3:$F$6,2,FALSE)</f>
        <v>0.02</v>
      </c>
      <c r="J29" s="65">
        <f t="shared" si="8"/>
        <v>1.6821425527395739E-3</v>
      </c>
      <c r="K29" s="63">
        <f t="shared" si="2"/>
        <v>1.6820005427960619E-3</v>
      </c>
      <c r="L29" s="118">
        <f t="shared" si="3"/>
        <v>0.84325801258142852</v>
      </c>
    </row>
    <row r="30" spans="2:12" x14ac:dyDescent="0.35">
      <c r="B30" s="67">
        <f t="shared" si="6"/>
        <v>3</v>
      </c>
      <c r="C30" s="26">
        <f t="shared" si="4"/>
        <v>27</v>
      </c>
      <c r="D30" s="128">
        <f t="shared" si="7"/>
        <v>37</v>
      </c>
      <c r="E30" s="67">
        <f>VLOOKUP(D30,'Q.3.Input'!$B$4:$C$45,2,FALSE)</f>
        <v>1.1982E-3</v>
      </c>
      <c r="F30" s="63">
        <f t="shared" si="0"/>
        <v>9.9904877137624304E-5</v>
      </c>
      <c r="G30" s="66">
        <f t="shared" si="5"/>
        <v>0.84325801258142852</v>
      </c>
      <c r="H30" s="64">
        <f t="shared" si="1"/>
        <v>8.4245588142264861E-5</v>
      </c>
      <c r="I30" s="26">
        <f>VLOOKUP(B30,'Q.3.Input'!$E$3:$F$6,2,FALSE)</f>
        <v>0.02</v>
      </c>
      <c r="J30" s="65">
        <f t="shared" si="8"/>
        <v>1.6821425527395739E-3</v>
      </c>
      <c r="K30" s="63">
        <f t="shared" si="2"/>
        <v>1.6820008396508793E-3</v>
      </c>
      <c r="L30" s="118">
        <f t="shared" si="3"/>
        <v>0.84149176615363541</v>
      </c>
    </row>
    <row r="31" spans="2:12" x14ac:dyDescent="0.35">
      <c r="B31" s="67">
        <f t="shared" si="6"/>
        <v>3</v>
      </c>
      <c r="C31" s="26">
        <f t="shared" si="4"/>
        <v>28</v>
      </c>
      <c r="D31" s="128">
        <f t="shared" si="7"/>
        <v>37</v>
      </c>
      <c r="E31" s="67">
        <f>VLOOKUP(D31,'Q.3.Input'!$B$4:$C$45,2,FALSE)</f>
        <v>1.1982E-3</v>
      </c>
      <c r="F31" s="63">
        <f t="shared" si="0"/>
        <v>9.9904877137624304E-5</v>
      </c>
      <c r="G31" s="66">
        <f t="shared" si="5"/>
        <v>0.84149176615363541</v>
      </c>
      <c r="H31" s="64">
        <f t="shared" si="1"/>
        <v>8.4069131509901423E-5</v>
      </c>
      <c r="I31" s="26">
        <f>VLOOKUP(B31,'Q.3.Input'!$E$3:$F$6,2,FALSE)</f>
        <v>0.02</v>
      </c>
      <c r="J31" s="65">
        <f t="shared" si="8"/>
        <v>1.6821425527395739E-3</v>
      </c>
      <c r="K31" s="63">
        <f t="shared" si="2"/>
        <v>1.6820011364760891E-3</v>
      </c>
      <c r="L31" s="118">
        <f t="shared" si="3"/>
        <v>0.83972569588564938</v>
      </c>
    </row>
    <row r="32" spans="2:12" x14ac:dyDescent="0.35">
      <c r="B32" s="67">
        <f t="shared" si="6"/>
        <v>3</v>
      </c>
      <c r="C32" s="26">
        <f t="shared" si="4"/>
        <v>29</v>
      </c>
      <c r="D32" s="128">
        <f t="shared" si="7"/>
        <v>37</v>
      </c>
      <c r="E32" s="67">
        <f>VLOOKUP(D32,'Q.3.Input'!$B$4:$C$45,2,FALSE)</f>
        <v>1.1982E-3</v>
      </c>
      <c r="F32" s="63">
        <f t="shared" si="0"/>
        <v>9.9904877137624304E-5</v>
      </c>
      <c r="G32" s="66">
        <f t="shared" si="5"/>
        <v>0.83972569588564938</v>
      </c>
      <c r="H32" s="64">
        <f t="shared" si="1"/>
        <v>8.3892692476761875E-5</v>
      </c>
      <c r="I32" s="26">
        <f>VLOOKUP(B32,'Q.3.Input'!$E$3:$F$6,2,FALSE)</f>
        <v>0.02</v>
      </c>
      <c r="J32" s="65">
        <f t="shared" si="8"/>
        <v>1.6821425527395739E-3</v>
      </c>
      <c r="K32" s="63">
        <f t="shared" si="2"/>
        <v>1.6820014332716948E-3</v>
      </c>
      <c r="L32" s="118">
        <f t="shared" si="3"/>
        <v>0.83795980175990092</v>
      </c>
    </row>
    <row r="33" spans="2:12" x14ac:dyDescent="0.35">
      <c r="B33" s="67">
        <f t="shared" si="6"/>
        <v>3</v>
      </c>
      <c r="C33" s="26">
        <f t="shared" si="4"/>
        <v>30</v>
      </c>
      <c r="D33" s="128">
        <f t="shared" si="7"/>
        <v>37</v>
      </c>
      <c r="E33" s="67">
        <f>VLOOKUP(D33,'Q.3.Input'!$B$4:$C$45,2,FALSE)</f>
        <v>1.1982E-3</v>
      </c>
      <c r="F33" s="63">
        <f t="shared" si="0"/>
        <v>9.9904877137624304E-5</v>
      </c>
      <c r="G33" s="66">
        <f t="shared" si="5"/>
        <v>0.83795980175990092</v>
      </c>
      <c r="H33" s="64">
        <f t="shared" si="1"/>
        <v>8.3716271041090921E-5</v>
      </c>
      <c r="I33" s="26">
        <f>VLOOKUP(B33,'Q.3.Input'!$E$3:$F$6,2,FALSE)</f>
        <v>0.02</v>
      </c>
      <c r="J33" s="65">
        <f t="shared" si="8"/>
        <v>1.6821425527395739E-3</v>
      </c>
      <c r="K33" s="63">
        <f t="shared" si="2"/>
        <v>1.6820017300376989E-3</v>
      </c>
      <c r="L33" s="118">
        <f t="shared" si="3"/>
        <v>0.83619408375882209</v>
      </c>
    </row>
    <row r="34" spans="2:12" x14ac:dyDescent="0.35">
      <c r="B34" s="67">
        <f t="shared" si="6"/>
        <v>3</v>
      </c>
      <c r="C34" s="26">
        <f t="shared" si="4"/>
        <v>31</v>
      </c>
      <c r="D34" s="128">
        <f t="shared" si="7"/>
        <v>37</v>
      </c>
      <c r="E34" s="67">
        <f>VLOOKUP(D34,'Q.3.Input'!$B$4:$C$45,2,FALSE)</f>
        <v>1.1982E-3</v>
      </c>
      <c r="F34" s="63">
        <f t="shared" si="0"/>
        <v>9.9904877137624304E-5</v>
      </c>
      <c r="G34" s="66">
        <f t="shared" si="5"/>
        <v>0.83619408375882209</v>
      </c>
      <c r="H34" s="64">
        <f t="shared" si="1"/>
        <v>8.3539867201133441E-5</v>
      </c>
      <c r="I34" s="26">
        <f>VLOOKUP(B34,'Q.3.Input'!$E$3:$F$6,2,FALSE)</f>
        <v>0.02</v>
      </c>
      <c r="J34" s="65">
        <f t="shared" si="8"/>
        <v>1.6821425527395739E-3</v>
      </c>
      <c r="K34" s="63">
        <f t="shared" si="2"/>
        <v>1.6820020267741048E-3</v>
      </c>
      <c r="L34" s="118">
        <f t="shared" si="3"/>
        <v>0.83442854186484683</v>
      </c>
    </row>
    <row r="35" spans="2:12" x14ac:dyDescent="0.35">
      <c r="B35" s="67">
        <f t="shared" si="6"/>
        <v>3</v>
      </c>
      <c r="C35" s="26">
        <f t="shared" si="4"/>
        <v>32</v>
      </c>
      <c r="D35" s="128">
        <f t="shared" si="7"/>
        <v>37</v>
      </c>
      <c r="E35" s="67">
        <f>VLOOKUP(D35,'Q.3.Input'!$B$4:$C$45,2,FALSE)</f>
        <v>1.1982E-3</v>
      </c>
      <c r="F35" s="63">
        <f t="shared" si="0"/>
        <v>9.9904877137624304E-5</v>
      </c>
      <c r="G35" s="66">
        <f t="shared" si="5"/>
        <v>0.83442854186484683</v>
      </c>
      <c r="H35" s="64">
        <f t="shared" si="1"/>
        <v>8.3363480955134518E-5</v>
      </c>
      <c r="I35" s="26">
        <f>VLOOKUP(B35,'Q.3.Input'!$E$3:$F$6,2,FALSE)</f>
        <v>0.02</v>
      </c>
      <c r="J35" s="65">
        <f t="shared" si="8"/>
        <v>1.6821425527395739E-3</v>
      </c>
      <c r="K35" s="63">
        <f t="shared" si="2"/>
        <v>1.6820023234809147E-3</v>
      </c>
      <c r="L35" s="118">
        <f t="shared" si="3"/>
        <v>0.83266317606041074</v>
      </c>
    </row>
    <row r="36" spans="2:12" x14ac:dyDescent="0.35">
      <c r="B36" s="67">
        <f t="shared" si="6"/>
        <v>3</v>
      </c>
      <c r="C36" s="26">
        <f t="shared" si="4"/>
        <v>33</v>
      </c>
      <c r="D36" s="128">
        <f t="shared" si="7"/>
        <v>37</v>
      </c>
      <c r="E36" s="67">
        <f>VLOOKUP(D36,'Q.3.Input'!$B$4:$C$45,2,FALSE)</f>
        <v>1.1982E-3</v>
      </c>
      <c r="F36" s="63">
        <f t="shared" si="0"/>
        <v>9.9904877137624304E-5</v>
      </c>
      <c r="G36" s="66">
        <f t="shared" si="5"/>
        <v>0.83266317606041074</v>
      </c>
      <c r="H36" s="64">
        <f t="shared" si="1"/>
        <v>8.3187112301339372E-5</v>
      </c>
      <c r="I36" s="26">
        <f>VLOOKUP(B36,'Q.3.Input'!$E$3:$F$6,2,FALSE)</f>
        <v>0.02</v>
      </c>
      <c r="J36" s="65">
        <f t="shared" si="8"/>
        <v>1.6821425527395739E-3</v>
      </c>
      <c r="K36" s="63">
        <f t="shared" si="2"/>
        <v>1.6820026201581322E-3</v>
      </c>
      <c r="L36" s="118">
        <f t="shared" si="3"/>
        <v>0.8308979863279512</v>
      </c>
    </row>
    <row r="37" spans="2:12" x14ac:dyDescent="0.35">
      <c r="B37" s="67">
        <f t="shared" si="6"/>
        <v>3</v>
      </c>
      <c r="C37" s="26">
        <f t="shared" si="4"/>
        <v>34</v>
      </c>
      <c r="D37" s="128">
        <f t="shared" si="7"/>
        <v>37</v>
      </c>
      <c r="E37" s="67">
        <f>VLOOKUP(D37,'Q.3.Input'!$B$4:$C$45,2,FALSE)</f>
        <v>1.1982E-3</v>
      </c>
      <c r="F37" s="63">
        <f t="shared" si="0"/>
        <v>9.9904877137624304E-5</v>
      </c>
      <c r="G37" s="66">
        <f t="shared" si="5"/>
        <v>0.8308979863279512</v>
      </c>
      <c r="H37" s="64">
        <f t="shared" si="1"/>
        <v>8.3010761237993397E-5</v>
      </c>
      <c r="I37" s="26">
        <f>VLOOKUP(B37,'Q.3.Input'!$E$3:$F$6,2,FALSE)</f>
        <v>0.02</v>
      </c>
      <c r="J37" s="65">
        <f t="shared" si="8"/>
        <v>1.6821425527395739E-3</v>
      </c>
      <c r="K37" s="63">
        <f t="shared" si="2"/>
        <v>1.6820029168057601E-3</v>
      </c>
      <c r="L37" s="118">
        <f t="shared" si="3"/>
        <v>0.82913297264990748</v>
      </c>
    </row>
    <row r="38" spans="2:12" x14ac:dyDescent="0.35">
      <c r="B38" s="67">
        <f t="shared" si="6"/>
        <v>3</v>
      </c>
      <c r="C38" s="26">
        <f t="shared" si="4"/>
        <v>35</v>
      </c>
      <c r="D38" s="128">
        <f t="shared" si="7"/>
        <v>37</v>
      </c>
      <c r="E38" s="67">
        <f>VLOOKUP(D38,'Q.3.Input'!$B$4:$C$45,2,FALSE)</f>
        <v>1.1982E-3</v>
      </c>
      <c r="F38" s="63">
        <f t="shared" si="0"/>
        <v>9.9904877137624304E-5</v>
      </c>
      <c r="G38" s="66">
        <f t="shared" si="5"/>
        <v>0.82913297264990748</v>
      </c>
      <c r="H38" s="64">
        <f t="shared" si="1"/>
        <v>8.2834427763342218E-5</v>
      </c>
      <c r="I38" s="26">
        <f>VLOOKUP(B38,'Q.3.Input'!$E$3:$F$6,2,FALSE)</f>
        <v>0.02</v>
      </c>
      <c r="J38" s="65">
        <f t="shared" si="8"/>
        <v>1.6821425527395739E-3</v>
      </c>
      <c r="K38" s="63">
        <f t="shared" si="2"/>
        <v>1.6820032134238013E-3</v>
      </c>
      <c r="L38" s="118">
        <f t="shared" si="3"/>
        <v>0.82736813500872031</v>
      </c>
    </row>
    <row r="39" spans="2:12" ht="15" thickBot="1" x14ac:dyDescent="0.4">
      <c r="B39" s="69">
        <f t="shared" si="6"/>
        <v>3</v>
      </c>
      <c r="C39" s="40">
        <f t="shared" si="4"/>
        <v>36</v>
      </c>
      <c r="D39" s="129">
        <f t="shared" si="7"/>
        <v>37</v>
      </c>
      <c r="E39" s="69">
        <f>VLOOKUP(D39,'Q.3.Input'!$B$4:$C$45,2,FALSE)</f>
        <v>1.1982E-3</v>
      </c>
      <c r="F39" s="74">
        <f t="shared" si="0"/>
        <v>9.9904877137624304E-5</v>
      </c>
      <c r="G39" s="119">
        <f t="shared" si="5"/>
        <v>0.82736813500872031</v>
      </c>
      <c r="H39" s="120">
        <f t="shared" si="1"/>
        <v>8.2658111875631555E-5</v>
      </c>
      <c r="I39" s="40">
        <f>VLOOKUP(B39,'Q.3.Input'!$E$3:$F$6,2,FALSE)</f>
        <v>0.02</v>
      </c>
      <c r="J39" s="121">
        <f t="shared" si="8"/>
        <v>1.6821425527395739E-3</v>
      </c>
      <c r="K39" s="74">
        <f t="shared" si="2"/>
        <v>1.6820035100122588E-3</v>
      </c>
      <c r="L39" s="122">
        <f t="shared" si="3"/>
        <v>0.82560347338683249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882D-7007-4497-9155-8CC65B5D33AC}">
  <dimension ref="B2:M14"/>
  <sheetViews>
    <sheetView showGridLines="0" topLeftCell="B1" zoomScaleNormal="100" workbookViewId="0">
      <selection activeCell="L2" sqref="L2"/>
    </sheetView>
  </sheetViews>
  <sheetFormatPr defaultRowHeight="14.5" x14ac:dyDescent="0.35"/>
  <cols>
    <col min="3" max="3" width="11.1796875" bestFit="1" customWidth="1"/>
    <col min="4" max="4" width="11.54296875" bestFit="1" customWidth="1"/>
    <col min="5" max="5" width="16.1796875" bestFit="1" customWidth="1"/>
    <col min="6" max="7" width="16.1796875" customWidth="1"/>
    <col min="8" max="8" width="12.1796875" bestFit="1" customWidth="1"/>
    <col min="9" max="9" width="14.81640625" bestFit="1" customWidth="1"/>
    <col min="10" max="10" width="17.08984375" bestFit="1" customWidth="1"/>
    <col min="11" max="11" width="17.08984375" customWidth="1"/>
    <col min="12" max="12" width="19.453125" bestFit="1" customWidth="1"/>
    <col min="13" max="13" width="9.6328125" bestFit="1" customWidth="1"/>
  </cols>
  <sheetData>
    <row r="2" spans="2:13" s="23" customFormat="1" x14ac:dyDescent="0.35"/>
    <row r="3" spans="2:13" ht="15" thickBot="1" x14ac:dyDescent="0.4"/>
    <row r="4" spans="2:13" ht="44" thickBot="1" x14ac:dyDescent="0.4">
      <c r="B4" s="100" t="s">
        <v>66</v>
      </c>
      <c r="C4" s="131" t="s">
        <v>1</v>
      </c>
      <c r="D4" s="131" t="s">
        <v>98</v>
      </c>
      <c r="E4" s="131" t="s">
        <v>11</v>
      </c>
      <c r="F4" s="131" t="s">
        <v>12</v>
      </c>
      <c r="G4" s="131" t="s">
        <v>13</v>
      </c>
      <c r="H4" s="131" t="s">
        <v>108</v>
      </c>
      <c r="I4" s="47" t="s">
        <v>133</v>
      </c>
      <c r="J4" s="47" t="s">
        <v>29</v>
      </c>
      <c r="K4" s="47" t="s">
        <v>134</v>
      </c>
      <c r="L4" s="101" t="s">
        <v>112</v>
      </c>
    </row>
    <row r="5" spans="2:13" x14ac:dyDescent="0.35">
      <c r="B5" s="98">
        <v>1</v>
      </c>
      <c r="C5" s="33">
        <v>40</v>
      </c>
      <c r="D5" s="33">
        <f>VLOOKUP(C5,'Q.3.Input'!B:C,2,FALSE)*'Q.3.Input'!$J$5</f>
        <v>1.6550600000000001E-3</v>
      </c>
      <c r="E5" s="111">
        <f>'Q.3.Input'!J9</f>
        <v>100000</v>
      </c>
      <c r="F5" s="111">
        <f>E5*D5</f>
        <v>165.506</v>
      </c>
      <c r="G5" s="111">
        <f>E5-F5</f>
        <v>99834.494000000006</v>
      </c>
      <c r="H5" s="50">
        <f>'Q.3.Input'!$J$8</f>
        <v>1000000</v>
      </c>
      <c r="I5" s="34">
        <f>H5*F5</f>
        <v>165506000</v>
      </c>
      <c r="J5" s="111">
        <f>(J6+I6)/(1+'Q.3.Input'!$J$6)</f>
        <v>1898592134.2319844</v>
      </c>
      <c r="K5" s="141">
        <f>J5/G5</f>
        <v>19017.396274197417</v>
      </c>
      <c r="L5" s="112">
        <f>(H5-K5)*F5</f>
        <v>162358506.81224269</v>
      </c>
      <c r="M5" s="13"/>
    </row>
    <row r="6" spans="2:13" x14ac:dyDescent="0.35">
      <c r="B6" s="67">
        <f>B5+1</f>
        <v>2</v>
      </c>
      <c r="C6" s="26">
        <f>C5+1</f>
        <v>41</v>
      </c>
      <c r="D6" s="26">
        <f>VLOOKUP(C6,'Q.3.Input'!B:C,2,FALSE)*'Q.3.Input'!$J$5</f>
        <v>1.8035600000000003E-3</v>
      </c>
      <c r="E6" s="61">
        <f>G5</f>
        <v>99834.494000000006</v>
      </c>
      <c r="F6" s="61">
        <f>E6*D6</f>
        <v>180.05749999864003</v>
      </c>
      <c r="G6" s="61">
        <f>E6-F6</f>
        <v>99654.436500001364</v>
      </c>
      <c r="H6" s="30">
        <f>'Q.3.Input'!$J$8</f>
        <v>1000000</v>
      </c>
      <c r="I6" s="36">
        <f t="shared" ref="I6:I14" si="0">H6*F6</f>
        <v>180057499.99864003</v>
      </c>
      <c r="J6" s="61">
        <f>(J7+I7)/(1+'Q.3.Input'!$J$6)</f>
        <v>1813464240.9449437</v>
      </c>
      <c r="K6" s="142">
        <f t="shared" ref="K6:K14" si="1">J6/G6</f>
        <v>18197.526418654918</v>
      </c>
      <c r="L6" s="108">
        <f t="shared" ref="L6:L14" si="2">(H6-K6)*F6</f>
        <v>176780898.8855378</v>
      </c>
      <c r="M6" s="13"/>
    </row>
    <row r="7" spans="2:13" x14ac:dyDescent="0.35">
      <c r="B7" s="67">
        <f t="shared" ref="B7:B14" si="3">B6+1</f>
        <v>3</v>
      </c>
      <c r="C7" s="26">
        <f t="shared" ref="C7:C14" si="4">C6+1</f>
        <v>42</v>
      </c>
      <c r="D7" s="26">
        <f>VLOOKUP(C7,'Q.3.Input'!B:C,2,FALSE)*'Q.3.Input'!$J$5</f>
        <v>1.9753800000000001E-3</v>
      </c>
      <c r="E7" s="61">
        <f t="shared" ref="E7:E14" si="5">G6</f>
        <v>99654.436500001364</v>
      </c>
      <c r="F7" s="61">
        <f t="shared" ref="F7:F14" si="6">E7*D7</f>
        <v>196.8553807733727</v>
      </c>
      <c r="G7" s="61">
        <f t="shared" ref="G7:G14" si="7">E7-F7</f>
        <v>99457.581119227994</v>
      </c>
      <c r="H7" s="30">
        <f>'Q.3.Input'!$J$8</f>
        <v>1000000</v>
      </c>
      <c r="I7" s="36">
        <f t="shared" si="0"/>
        <v>196855380.77337271</v>
      </c>
      <c r="J7" s="61">
        <f>(J8+I8)/(1+'Q.3.Input'!$J$6)</f>
        <v>1707282072.2188182</v>
      </c>
      <c r="K7" s="142">
        <f t="shared" si="1"/>
        <v>17165.931978298955</v>
      </c>
      <c r="L7" s="108">
        <f t="shared" si="2"/>
        <v>193476174.69745484</v>
      </c>
      <c r="M7" s="13"/>
    </row>
    <row r="8" spans="2:13" x14ac:dyDescent="0.35">
      <c r="B8" s="67">
        <f t="shared" si="3"/>
        <v>4</v>
      </c>
      <c r="C8" s="26">
        <f t="shared" si="4"/>
        <v>43</v>
      </c>
      <c r="D8" s="26">
        <f>VLOOKUP(C8,'Q.3.Input'!B:C,2,FALSE)*'Q.3.Input'!$J$5</f>
        <v>2.1744800000000008E-3</v>
      </c>
      <c r="E8" s="61">
        <f t="shared" si="5"/>
        <v>99457.581119227994</v>
      </c>
      <c r="F8" s="61">
        <f t="shared" si="6"/>
        <v>216.26852099213897</v>
      </c>
      <c r="G8" s="61">
        <f t="shared" si="7"/>
        <v>99241.312598235862</v>
      </c>
      <c r="H8" s="30">
        <f>'Q.3.Input'!$J$8</f>
        <v>1000000</v>
      </c>
      <c r="I8" s="36">
        <f t="shared" si="0"/>
        <v>216268520.99213898</v>
      </c>
      <c r="J8" s="61">
        <f>(J9+I9)/(1+'Q.3.Input'!$J$6)</f>
        <v>1576377654.8376203</v>
      </c>
      <c r="K8" s="142">
        <f t="shared" si="1"/>
        <v>15884.288645187089</v>
      </c>
      <c r="L8" s="108">
        <f t="shared" si="2"/>
        <v>212833249.37983215</v>
      </c>
      <c r="M8" s="13"/>
    </row>
    <row r="9" spans="2:13" x14ac:dyDescent="0.35">
      <c r="B9" s="67">
        <f t="shared" si="3"/>
        <v>5</v>
      </c>
      <c r="C9" s="26">
        <f t="shared" si="4"/>
        <v>44</v>
      </c>
      <c r="D9" s="26">
        <f>VLOOKUP(C9,'Q.3.Input'!B:C,2,FALSE)*'Q.3.Input'!$J$5</f>
        <v>2.4050400000000006E-3</v>
      </c>
      <c r="E9" s="61">
        <f t="shared" si="5"/>
        <v>99241.312598235862</v>
      </c>
      <c r="F9" s="61">
        <f t="shared" si="6"/>
        <v>238.67932645126123</v>
      </c>
      <c r="G9" s="61">
        <f t="shared" si="7"/>
        <v>99002.633271784594</v>
      </c>
      <c r="H9" s="30">
        <f>'Q.3.Input'!$J$8</f>
        <v>1000000</v>
      </c>
      <c r="I9" s="36">
        <f t="shared" si="0"/>
        <v>238679326.45126122</v>
      </c>
      <c r="J9" s="61">
        <f>(J10+I10)/(1+'Q.3.Input'!$J$6)</f>
        <v>1416517211.1282401</v>
      </c>
      <c r="K9" s="142">
        <f t="shared" si="1"/>
        <v>14307.874086940499</v>
      </c>
      <c r="L9" s="108">
        <f t="shared" si="2"/>
        <v>235264332.70124081</v>
      </c>
      <c r="M9" s="13"/>
    </row>
    <row r="10" spans="2:13" x14ac:dyDescent="0.35">
      <c r="B10" s="67">
        <f t="shared" si="3"/>
        <v>6</v>
      </c>
      <c r="C10" s="26">
        <f t="shared" si="4"/>
        <v>45</v>
      </c>
      <c r="D10" s="26">
        <f>VLOOKUP(C10,'Q.3.Input'!B:C,2,FALSE)*'Q.3.Input'!$J$5</f>
        <v>2.6710200000000005E-3</v>
      </c>
      <c r="E10" s="61">
        <f t="shared" si="5"/>
        <v>99002.633271784594</v>
      </c>
      <c r="F10" s="61">
        <f t="shared" si="6"/>
        <v>264.43801352160216</v>
      </c>
      <c r="G10" s="61">
        <f t="shared" si="7"/>
        <v>98738.195258262989</v>
      </c>
      <c r="H10" s="30">
        <f>'Q.3.Input'!$J$8</f>
        <v>1000000</v>
      </c>
      <c r="I10" s="36">
        <f t="shared" si="0"/>
        <v>264438013.52160215</v>
      </c>
      <c r="J10" s="61">
        <f>(J11+I11)/(1+'Q.3.Input'!$J$6)</f>
        <v>1222905058.1630499</v>
      </c>
      <c r="K10" s="142">
        <f t="shared" si="1"/>
        <v>12385.32925343002</v>
      </c>
      <c r="L10" s="108">
        <f t="shared" si="2"/>
        <v>261162861.65701413</v>
      </c>
      <c r="M10" s="13"/>
    </row>
    <row r="11" spans="2:13" x14ac:dyDescent="0.35">
      <c r="B11" s="67">
        <f t="shared" si="3"/>
        <v>7</v>
      </c>
      <c r="C11" s="26">
        <f t="shared" si="4"/>
        <v>46</v>
      </c>
      <c r="D11" s="26">
        <f>VLOOKUP(C11,'Q.3.Input'!B:C,2,FALSE)*'Q.3.Input'!$J$5</f>
        <v>2.9759400000000003E-3</v>
      </c>
      <c r="E11" s="61">
        <f t="shared" si="5"/>
        <v>98738.195258262989</v>
      </c>
      <c r="F11" s="61">
        <f t="shared" si="6"/>
        <v>293.83894479687518</v>
      </c>
      <c r="G11" s="61">
        <f t="shared" si="7"/>
        <v>98444.356313466109</v>
      </c>
      <c r="H11" s="30">
        <f>'Q.3.Input'!$J$8</f>
        <v>1000000</v>
      </c>
      <c r="I11" s="36">
        <f t="shared" si="0"/>
        <v>293838944.79687518</v>
      </c>
      <c r="J11" s="61">
        <f>(J12+I12)/(1+'Q.3.Input'!$J$6)</f>
        <v>990211366.27432728</v>
      </c>
      <c r="K11" s="142">
        <f t="shared" si="1"/>
        <v>10058.589474863347</v>
      </c>
      <c r="L11" s="108">
        <f t="shared" si="2"/>
        <v>290883339.4794364</v>
      </c>
      <c r="M11" s="13"/>
    </row>
    <row r="12" spans="2:13" x14ac:dyDescent="0.35">
      <c r="B12" s="67">
        <f t="shared" si="3"/>
        <v>8</v>
      </c>
      <c r="C12" s="26">
        <f t="shared" si="4"/>
        <v>47</v>
      </c>
      <c r="D12" s="26">
        <f>VLOOKUP(C12,'Q.3.Input'!B:C,2,FALSE)*'Q.3.Input'!$J$5</f>
        <v>3.3215600000000007E-3</v>
      </c>
      <c r="E12" s="61">
        <f t="shared" si="5"/>
        <v>98444.356313466109</v>
      </c>
      <c r="F12" s="61">
        <f t="shared" si="6"/>
        <v>326.98883615655654</v>
      </c>
      <c r="G12" s="61">
        <f t="shared" si="7"/>
        <v>98117.367477309555</v>
      </c>
      <c r="H12" s="30">
        <f>'Q.3.Input'!$J$8</f>
        <v>1000000</v>
      </c>
      <c r="I12" s="36">
        <f t="shared" si="0"/>
        <v>326988836.15655655</v>
      </c>
      <c r="J12" s="61">
        <f>(J13+I13)/(1+'Q.3.Input'!$J$6)</f>
        <v>712733098.43148708</v>
      </c>
      <c r="K12" s="142">
        <f t="shared" si="1"/>
        <v>7264.0870495869394</v>
      </c>
      <c r="L12" s="108">
        <f t="shared" si="2"/>
        <v>324613560.7864722</v>
      </c>
      <c r="M12" s="13"/>
    </row>
    <row r="13" spans="2:13" x14ac:dyDescent="0.35">
      <c r="B13" s="67">
        <f t="shared" si="3"/>
        <v>9</v>
      </c>
      <c r="C13" s="26">
        <f t="shared" si="4"/>
        <v>48</v>
      </c>
      <c r="D13" s="26">
        <f>VLOOKUP(C13,'Q.3.Input'!B:C,2,FALSE)*'Q.3.Input'!$J$5</f>
        <v>3.7074400000000002E-3</v>
      </c>
      <c r="E13" s="61">
        <f t="shared" si="5"/>
        <v>98117.367477309555</v>
      </c>
      <c r="F13" s="61">
        <f t="shared" si="6"/>
        <v>363.76425288007658</v>
      </c>
      <c r="G13" s="61">
        <f t="shared" si="7"/>
        <v>97753.603224429477</v>
      </c>
      <c r="H13" s="30">
        <f>'Q.3.Input'!$J$8</f>
        <v>1000000</v>
      </c>
      <c r="I13" s="36">
        <f t="shared" si="0"/>
        <v>363764252.88007659</v>
      </c>
      <c r="J13" s="61">
        <f>(J14+I14)/(1+'Q.3.Input'!$J$6)</f>
        <v>384605500.47298479</v>
      </c>
      <c r="K13" s="142">
        <f t="shared" si="1"/>
        <v>3934.4380952380948</v>
      </c>
      <c r="L13" s="108">
        <f t="shared" si="2"/>
        <v>362333044.94585937</v>
      </c>
      <c r="M13" s="13"/>
    </row>
    <row r="14" spans="2:13" ht="15" thickBot="1" x14ac:dyDescent="0.4">
      <c r="B14" s="69">
        <f t="shared" si="3"/>
        <v>10</v>
      </c>
      <c r="C14" s="40">
        <f t="shared" si="4"/>
        <v>49</v>
      </c>
      <c r="D14" s="40">
        <f>VLOOKUP(C14,'Q.3.Input'!B:C,2,FALSE)*'Q.3.Input'!$J$5</f>
        <v>4.13116E-3</v>
      </c>
      <c r="E14" s="109">
        <f t="shared" si="5"/>
        <v>97753.603224429477</v>
      </c>
      <c r="F14" s="109">
        <f t="shared" si="6"/>
        <v>403.83577549663408</v>
      </c>
      <c r="G14" s="109">
        <f t="shared" si="7"/>
        <v>97349.767448932849</v>
      </c>
      <c r="H14" s="52">
        <f>'Q.3.Input'!$J$8</f>
        <v>1000000</v>
      </c>
      <c r="I14" s="41">
        <f t="shared" si="0"/>
        <v>403835775.49663407</v>
      </c>
      <c r="J14" s="109">
        <f>(J15+I15)/(1+'Q.3.Input'!$J$6)</f>
        <v>0</v>
      </c>
      <c r="K14" s="143">
        <f t="shared" si="1"/>
        <v>0</v>
      </c>
      <c r="L14" s="110">
        <f t="shared" si="2"/>
        <v>403835775.49663407</v>
      </c>
      <c r="M14" s="1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5CB8-D77D-45F0-933C-52A137C12374}">
  <dimension ref="B2:I14"/>
  <sheetViews>
    <sheetView showGridLines="0" workbookViewId="0"/>
  </sheetViews>
  <sheetFormatPr defaultRowHeight="14.5" x14ac:dyDescent="0.35"/>
  <cols>
    <col min="4" max="4" width="11.90625" bestFit="1" customWidth="1"/>
    <col min="5" max="5" width="12.1796875" bestFit="1" customWidth="1"/>
    <col min="6" max="6" width="16.36328125" bestFit="1" customWidth="1"/>
    <col min="7" max="7" width="19.6328125" bestFit="1" customWidth="1"/>
    <col min="8" max="8" width="15" bestFit="1" customWidth="1"/>
    <col min="9" max="9" width="19" bestFit="1" customWidth="1"/>
  </cols>
  <sheetData>
    <row r="2" spans="2:9" x14ac:dyDescent="0.35">
      <c r="D2" s="23"/>
      <c r="G2" s="23"/>
      <c r="H2" s="23"/>
      <c r="I2" s="23"/>
    </row>
    <row r="3" spans="2:9" ht="15" thickBot="1" x14ac:dyDescent="0.4"/>
    <row r="4" spans="2:9" ht="29" x14ac:dyDescent="0.35">
      <c r="B4" s="4" t="s">
        <v>66</v>
      </c>
      <c r="C4" s="134" t="s">
        <v>1</v>
      </c>
      <c r="D4" s="4" t="s">
        <v>113</v>
      </c>
      <c r="E4" s="130" t="s">
        <v>114</v>
      </c>
      <c r="F4" s="130" t="s">
        <v>115</v>
      </c>
      <c r="G4" s="7" t="s">
        <v>116</v>
      </c>
      <c r="H4" s="7" t="s">
        <v>117</v>
      </c>
      <c r="I4" s="5" t="s">
        <v>118</v>
      </c>
    </row>
    <row r="5" spans="2:9" x14ac:dyDescent="0.35">
      <c r="B5" s="67">
        <v>1</v>
      </c>
      <c r="C5" s="128">
        <v>40</v>
      </c>
      <c r="D5" s="67">
        <f>'Q.3.Input'!J12</f>
        <v>180</v>
      </c>
      <c r="E5" s="30">
        <f>'Q.3.ii'!H5</f>
        <v>1000000</v>
      </c>
      <c r="F5" s="61">
        <f>'Q.3.ii'!K5</f>
        <v>19017.396274197417</v>
      </c>
      <c r="G5" s="61">
        <f>(E5-F5)*D5</f>
        <v>176576868.67064446</v>
      </c>
      <c r="H5" s="61">
        <f>'Q.3.ii'!L5</f>
        <v>162358506.81224269</v>
      </c>
      <c r="I5" s="132">
        <f>H5-G5</f>
        <v>-14218361.858401775</v>
      </c>
    </row>
    <row r="6" spans="2:9" x14ac:dyDescent="0.35">
      <c r="B6" s="67">
        <f>B5+1</f>
        <v>2</v>
      </c>
      <c r="C6" s="128">
        <f>C5+1</f>
        <v>41</v>
      </c>
      <c r="D6" s="67">
        <f>'Q.3.Input'!J13</f>
        <v>200</v>
      </c>
      <c r="E6" s="30">
        <f>'Q.3.ii'!H6</f>
        <v>1000000</v>
      </c>
      <c r="F6" s="61">
        <f>'Q.3.ii'!K6</f>
        <v>18197.526418654918</v>
      </c>
      <c r="G6" s="61">
        <f t="shared" ref="G6:G14" si="0">(E6-F6)*D6</f>
        <v>196360494.71626902</v>
      </c>
      <c r="H6" s="61">
        <f>'Q.3.ii'!L6</f>
        <v>176780898.8855378</v>
      </c>
      <c r="I6" s="132">
        <f t="shared" ref="I6:I14" si="1">H6-G6</f>
        <v>-19579595.830731213</v>
      </c>
    </row>
    <row r="7" spans="2:9" x14ac:dyDescent="0.35">
      <c r="B7" s="67">
        <f t="shared" ref="B7:C14" si="2">B6+1</f>
        <v>3</v>
      </c>
      <c r="C7" s="128">
        <f t="shared" si="2"/>
        <v>42</v>
      </c>
      <c r="D7" s="67">
        <f>'Q.3.Input'!J14</f>
        <v>186</v>
      </c>
      <c r="E7" s="30">
        <f>'Q.3.ii'!H7</f>
        <v>1000000</v>
      </c>
      <c r="F7" s="61">
        <f>'Q.3.ii'!K7</f>
        <v>17165.931978298955</v>
      </c>
      <c r="G7" s="61">
        <f t="shared" si="0"/>
        <v>182807136.6520364</v>
      </c>
      <c r="H7" s="61">
        <f>'Q.3.ii'!L7</f>
        <v>193476174.69745484</v>
      </c>
      <c r="I7" s="132">
        <f t="shared" si="1"/>
        <v>10669038.045418441</v>
      </c>
    </row>
    <row r="8" spans="2:9" x14ac:dyDescent="0.35">
      <c r="B8" s="67">
        <f t="shared" si="2"/>
        <v>4</v>
      </c>
      <c r="C8" s="128">
        <f t="shared" si="2"/>
        <v>43</v>
      </c>
      <c r="D8" s="67">
        <f>'Q.3.Input'!J15</f>
        <v>254</v>
      </c>
      <c r="E8" s="30">
        <f>'Q.3.ii'!H8</f>
        <v>1000000</v>
      </c>
      <c r="F8" s="61">
        <f>'Q.3.ii'!K8</f>
        <v>15884.288645187089</v>
      </c>
      <c r="G8" s="61">
        <f t="shared" si="0"/>
        <v>249965390.6841225</v>
      </c>
      <c r="H8" s="61">
        <f>'Q.3.ii'!L8</f>
        <v>212833249.37983215</v>
      </c>
      <c r="I8" s="132">
        <f t="shared" si="1"/>
        <v>-37132141.304290354</v>
      </c>
    </row>
    <row r="9" spans="2:9" x14ac:dyDescent="0.35">
      <c r="B9" s="67">
        <f t="shared" si="2"/>
        <v>5</v>
      </c>
      <c r="C9" s="128">
        <f t="shared" si="2"/>
        <v>44</v>
      </c>
      <c r="D9" s="67">
        <f>'Q.3.Input'!J16</f>
        <v>100</v>
      </c>
      <c r="E9" s="30">
        <f>'Q.3.ii'!H9</f>
        <v>1000000</v>
      </c>
      <c r="F9" s="61">
        <f>'Q.3.ii'!K9</f>
        <v>14307.874086940499</v>
      </c>
      <c r="G9" s="61">
        <f t="shared" si="0"/>
        <v>98569212.591305941</v>
      </c>
      <c r="H9" s="61">
        <f>'Q.3.ii'!L9</f>
        <v>235264332.70124081</v>
      </c>
      <c r="I9" s="132">
        <f t="shared" si="1"/>
        <v>136695120.10993487</v>
      </c>
    </row>
    <row r="10" spans="2:9" x14ac:dyDescent="0.35">
      <c r="B10" s="67">
        <f t="shared" si="2"/>
        <v>6</v>
      </c>
      <c r="C10" s="128">
        <f t="shared" si="2"/>
        <v>45</v>
      </c>
      <c r="D10" s="67">
        <f>'Q.3.Input'!J17</f>
        <v>190</v>
      </c>
      <c r="E10" s="30">
        <f>'Q.3.ii'!H10</f>
        <v>1000000</v>
      </c>
      <c r="F10" s="61">
        <f>'Q.3.ii'!K10</f>
        <v>12385.32925343002</v>
      </c>
      <c r="G10" s="61">
        <f t="shared" si="0"/>
        <v>187646787.44184831</v>
      </c>
      <c r="H10" s="61">
        <f>'Q.3.ii'!L10</f>
        <v>261162861.65701413</v>
      </c>
      <c r="I10" s="132">
        <f t="shared" si="1"/>
        <v>73516074.215165824</v>
      </c>
    </row>
    <row r="11" spans="2:9" x14ac:dyDescent="0.35">
      <c r="B11" s="67">
        <f t="shared" si="2"/>
        <v>7</v>
      </c>
      <c r="C11" s="128">
        <f t="shared" si="2"/>
        <v>46</v>
      </c>
      <c r="D11" s="67">
        <f>'Q.3.Input'!J18</f>
        <v>276</v>
      </c>
      <c r="E11" s="30">
        <f>'Q.3.ii'!H11</f>
        <v>1000000</v>
      </c>
      <c r="F11" s="61">
        <f>'Q.3.ii'!K11</f>
        <v>10058.589474863347</v>
      </c>
      <c r="G11" s="61">
        <f t="shared" si="0"/>
        <v>273223829.30493772</v>
      </c>
      <c r="H11" s="61">
        <f>'Q.3.ii'!L11</f>
        <v>290883339.4794364</v>
      </c>
      <c r="I11" s="132">
        <f t="shared" si="1"/>
        <v>17659510.174498677</v>
      </c>
    </row>
    <row r="12" spans="2:9" x14ac:dyDescent="0.35">
      <c r="B12" s="67">
        <f t="shared" si="2"/>
        <v>8</v>
      </c>
      <c r="C12" s="128">
        <f t="shared" si="2"/>
        <v>47</v>
      </c>
      <c r="D12" s="67">
        <f>'Q.3.Input'!J19</f>
        <v>376</v>
      </c>
      <c r="E12" s="30">
        <f>'Q.3.ii'!H12</f>
        <v>1000000</v>
      </c>
      <c r="F12" s="61">
        <f>'Q.3.ii'!K12</f>
        <v>7264.0870495869394</v>
      </c>
      <c r="G12" s="61">
        <f t="shared" si="0"/>
        <v>373268703.2693553</v>
      </c>
      <c r="H12" s="61">
        <f>'Q.3.ii'!L12</f>
        <v>324613560.7864722</v>
      </c>
      <c r="I12" s="132">
        <f t="shared" si="1"/>
        <v>-48655142.482883096</v>
      </c>
    </row>
    <row r="13" spans="2:9" x14ac:dyDescent="0.35">
      <c r="B13" s="67">
        <f t="shared" si="2"/>
        <v>9</v>
      </c>
      <c r="C13" s="128">
        <f t="shared" si="2"/>
        <v>48</v>
      </c>
      <c r="D13" s="67">
        <f>'Q.3.Input'!J20</f>
        <v>398</v>
      </c>
      <c r="E13" s="30">
        <f>'Q.3.ii'!H13</f>
        <v>1000000</v>
      </c>
      <c r="F13" s="61">
        <f>'Q.3.ii'!K13</f>
        <v>3934.4380952380948</v>
      </c>
      <c r="G13" s="61">
        <f t="shared" si="0"/>
        <v>396434093.63809526</v>
      </c>
      <c r="H13" s="61">
        <f>'Q.3.ii'!L13</f>
        <v>362333044.94585937</v>
      </c>
      <c r="I13" s="132">
        <f t="shared" si="1"/>
        <v>-34101048.692235887</v>
      </c>
    </row>
    <row r="14" spans="2:9" ht="15" thickBot="1" x14ac:dyDescent="0.4">
      <c r="B14" s="69">
        <f t="shared" si="2"/>
        <v>10</v>
      </c>
      <c r="C14" s="129">
        <f t="shared" si="2"/>
        <v>49</v>
      </c>
      <c r="D14" s="69">
        <f>'Q.3.Input'!J21</f>
        <v>356</v>
      </c>
      <c r="E14" s="52">
        <f>'Q.3.ii'!H14</f>
        <v>1000000</v>
      </c>
      <c r="F14" s="109">
        <f>'Q.3.ii'!K14</f>
        <v>0</v>
      </c>
      <c r="G14" s="109">
        <f t="shared" si="0"/>
        <v>356000000</v>
      </c>
      <c r="H14" s="109">
        <f>'Q.3.ii'!L14</f>
        <v>403835775.49663407</v>
      </c>
      <c r="I14" s="133">
        <f t="shared" si="1"/>
        <v>47835775.496634066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C105-7486-4B1C-8F61-1B444CE3B616}">
  <dimension ref="B3:K7"/>
  <sheetViews>
    <sheetView showGridLines="0" workbookViewId="0"/>
  </sheetViews>
  <sheetFormatPr defaultRowHeight="14.5" x14ac:dyDescent="0.35"/>
  <sheetData>
    <row r="3" spans="2:11" x14ac:dyDescent="0.35">
      <c r="B3" t="s">
        <v>75</v>
      </c>
      <c r="C3" t="s">
        <v>119</v>
      </c>
      <c r="K3" s="23"/>
    </row>
    <row r="4" spans="2:11" x14ac:dyDescent="0.35">
      <c r="C4" t="s">
        <v>120</v>
      </c>
      <c r="K4" s="23"/>
    </row>
    <row r="5" spans="2:11" x14ac:dyDescent="0.35">
      <c r="K5" s="23"/>
    </row>
    <row r="6" spans="2:11" x14ac:dyDescent="0.35">
      <c r="B6" t="s">
        <v>78</v>
      </c>
      <c r="C6" t="s">
        <v>121</v>
      </c>
      <c r="K6" s="23"/>
    </row>
    <row r="7" spans="2:11" x14ac:dyDescent="0.35">
      <c r="C7" t="s">
        <v>122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4D6C390916B4A8494C33A5D3CA82B" ma:contentTypeVersion="17" ma:contentTypeDescription="Create a new document." ma:contentTypeScope="" ma:versionID="eeaf27003bc6ef8b97a491cee091336a">
  <xsd:schema xmlns:xsd="http://www.w3.org/2001/XMLSchema" xmlns:xs="http://www.w3.org/2001/XMLSchema" xmlns:p="http://schemas.microsoft.com/office/2006/metadata/properties" xmlns:ns1="http://schemas.microsoft.com/sharepoint/v3" xmlns:ns2="307a12b3-3a39-4e5f-afa6-4629bb16037e" xmlns:ns3="1f0d55de-41a8-442a-939a-8c7a93a15acc" targetNamespace="http://schemas.microsoft.com/office/2006/metadata/properties" ma:root="true" ma:fieldsID="b739585612418cb0ce26f5ceb61b5725" ns1:_="" ns2:_="" ns3:_="">
    <xsd:import namespace="http://schemas.microsoft.com/sharepoint/v3"/>
    <xsd:import namespace="307a12b3-3a39-4e5f-afa6-4629bb16037e"/>
    <xsd:import namespace="1f0d55de-41a8-442a-939a-8c7a93a15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a12b3-3a39-4e5f-afa6-4629bb160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90f828-4d96-4d10-bc53-6c3febba0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d55de-41a8-442a-939a-8c7a93a15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38ea2c-1d97-4ed9-8a85-6ab57bb76901}" ma:internalName="TaxCatchAll" ma:showField="CatchAllData" ma:web="1f0d55de-41a8-442a-939a-8c7a93a15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a12b3-3a39-4e5f-afa6-4629bb16037e">
      <Terms xmlns="http://schemas.microsoft.com/office/infopath/2007/PartnerControls"/>
    </lcf76f155ced4ddcb4097134ff3c332f>
    <_ip_UnifiedCompliancePolicyUIAction xmlns="http://schemas.microsoft.com/sharepoint/v3" xsi:nil="true"/>
    <TaxCatchAll xmlns="1f0d55de-41a8-442a-939a-8c7a93a15acc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E4837E-C206-49CE-9F43-F8EB4498F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7a12b3-3a39-4e5f-afa6-4629bb16037e"/>
    <ds:schemaRef ds:uri="1f0d55de-41a8-442a-939a-8c7a93a15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7BF50A-AE89-4C87-A433-EDED97ACFE0B}">
  <ds:schemaRefs>
    <ds:schemaRef ds:uri="http://schemas.microsoft.com/office/2006/metadata/properties"/>
    <ds:schemaRef ds:uri="http://schemas.microsoft.com/office/infopath/2007/PartnerControls"/>
    <ds:schemaRef ds:uri="307a12b3-3a39-4e5f-afa6-4629bb16037e"/>
    <ds:schemaRef ds:uri="http://schemas.microsoft.com/sharepoint/v3"/>
    <ds:schemaRef ds:uri="1f0d55de-41a8-442a-939a-8c7a93a15acc"/>
  </ds:schemaRefs>
</ds:datastoreItem>
</file>

<file path=customXml/itemProps3.xml><?xml version="1.0" encoding="utf-8"?>
<ds:datastoreItem xmlns:ds="http://schemas.openxmlformats.org/officeDocument/2006/customXml" ds:itemID="{CFCE2A80-98FB-44AC-AA22-ACEED18DF0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Q.1.Input</vt:lpstr>
      <vt:lpstr>Q.1.i</vt:lpstr>
      <vt:lpstr>Q.1.ii</vt:lpstr>
      <vt:lpstr>Q.1.iii</vt:lpstr>
      <vt:lpstr>Q.1.iv</vt:lpstr>
      <vt:lpstr>Q.1.v</vt:lpstr>
      <vt:lpstr>Q.2.Input</vt:lpstr>
      <vt:lpstr>Q.2.i</vt:lpstr>
      <vt:lpstr>Q.2.ii</vt:lpstr>
      <vt:lpstr>Q.2.iii</vt:lpstr>
      <vt:lpstr>Q.2.iv</vt:lpstr>
      <vt:lpstr>Q.2.v</vt:lpstr>
      <vt:lpstr>Q.2.vi</vt:lpstr>
      <vt:lpstr>Q.2.vii</vt:lpstr>
      <vt:lpstr>Q.3.Input</vt:lpstr>
      <vt:lpstr>Q.3.i</vt:lpstr>
      <vt:lpstr>Q.3.ii</vt:lpstr>
      <vt:lpstr>Q.3.iii</vt:lpstr>
      <vt:lpstr>Q.3.iv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2025-04-14T15:01:25Z</dcterms:created>
  <dcterms:modified xsi:type="dcterms:W3CDTF">2025-06-10T08:56:31Z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0x010100FE74D6C390916B4A8494C33A5D3CA82B</vt:lpwstr>
  </property>
  <property fmtid="{D5CDD505-2E9C-101B-9397-08002B2CF9AE}" pid="3" name="MediaServiceImageTags">
    <vt:lpwstr/>
  </property>
</Properties>
</file>