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uriJamwal-Manager\Desktop\"/>
    </mc:Choice>
  </mc:AlternateContent>
  <xr:revisionPtr revIDLastSave="0" documentId="13_ncr:8001_{3819E9D8-9E7A-445D-8553-AB37A4FE597C}" xr6:coauthVersionLast="47" xr6:coauthVersionMax="47" xr10:uidLastSave="{00000000-0000-0000-0000-000000000000}"/>
  <bookViews>
    <workbookView xWindow="-108" yWindow="-108" windowWidth="23256" windowHeight="12456" tabRatio="903" xr2:uid="{00000000-000D-0000-FFFF-FFFF00000000}"/>
  </bookViews>
  <sheets>
    <sheet name="Q1 inputs" sheetId="1" r:id="rId1"/>
    <sheet name="Q.1 (i)" sheetId="2" r:id="rId2"/>
    <sheet name="Q.1 (ii)" sheetId="16" r:id="rId3"/>
    <sheet name="Q.1(iii) a,b&amp;c" sheetId="4" r:id="rId4"/>
    <sheet name="Q.1 (iv)" sheetId="5" r:id="rId5"/>
    <sheet name="Q.2 inputs" sheetId="6" r:id="rId6"/>
    <sheet name="Q.2 (i) a &amp; b" sheetId="7" r:id="rId7"/>
    <sheet name="Q.2(i) c" sheetId="8" r:id="rId8"/>
    <sheet name="Q.2 (ii)" sheetId="10" r:id="rId9"/>
    <sheet name="Q.2 (iii)" sheetId="9" r:id="rId10"/>
    <sheet name="Q3 mortality" sheetId="13" r:id="rId11"/>
    <sheet name="Q.3 (i)" sheetId="14" r:id="rId12"/>
    <sheet name="Q.3 (ii)" sheetId="15" r:id="rId13"/>
  </sheets>
  <definedNames>
    <definedName name="claims">'Q.1(iii) a,b&amp;c'!$B$11</definedName>
    <definedName name="claims2">'Q.1(iii) a,b&amp;c'!$P$11</definedName>
    <definedName name="growth">'Q.1(iii) a,b&amp;c'!$B$14</definedName>
    <definedName name="inflation">'Q.1(iii) a,b&amp;c'!$B$12</definedName>
    <definedName name="lapse">'Q.1(iii) a,b&amp;c'!$B$13</definedName>
    <definedName name="lapse2">'Q.1(iii) a,b&amp;c'!$P$13</definedName>
    <definedName name="reserves1">'Q.1(iii) a,b&amp;c'!$B$7</definedName>
    <definedName name="reserves2">'Q.1(iii) a,b&amp;c'!$P$7</definedName>
    <definedName name="step">'Q.2(i) c'!$I$4</definedName>
    <definedName name="ti">'Q.1(iii) a,b&amp;c'!$B$16</definedName>
    <definedName name="tp">'Q.1(iii) a,b&amp;c'!$B$15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A3" i="2"/>
  <c r="B3" i="2"/>
  <c r="C3" i="2"/>
  <c r="D3" i="2"/>
  <c r="A4" i="2"/>
  <c r="A4" i="16" s="1"/>
  <c r="B4" i="2"/>
  <c r="C4" i="2"/>
  <c r="D4" i="2"/>
  <c r="E4" i="2"/>
  <c r="B4" i="16" s="1"/>
  <c r="C4" i="16" s="1"/>
  <c r="B5" i="2"/>
  <c r="C5" i="2"/>
  <c r="D5" i="2" s="1"/>
  <c r="B6" i="2"/>
  <c r="C6" i="2"/>
  <c r="D6" i="2" s="1"/>
  <c r="B7" i="2"/>
  <c r="C7" i="2"/>
  <c r="D7" i="2"/>
  <c r="B8" i="2"/>
  <c r="C8" i="2"/>
  <c r="D8" i="2" s="1"/>
  <c r="B9" i="2"/>
  <c r="C9" i="2"/>
  <c r="D9" i="2"/>
  <c r="B10" i="2"/>
  <c r="C10" i="2"/>
  <c r="D10" i="2"/>
  <c r="B11" i="2"/>
  <c r="C11" i="2"/>
  <c r="D11" i="2" s="1"/>
  <c r="B12" i="2"/>
  <c r="C12" i="2"/>
  <c r="D12" i="2"/>
  <c r="B13" i="2"/>
  <c r="C13" i="2"/>
  <c r="D13" i="2"/>
  <c r="B14" i="2"/>
  <c r="C14" i="2"/>
  <c r="D14" i="2" s="1"/>
  <c r="B15" i="2"/>
  <c r="C15" i="2"/>
  <c r="D15" i="2" s="1"/>
  <c r="B16" i="2"/>
  <c r="C16" i="2"/>
  <c r="D16" i="2" s="1"/>
  <c r="B17" i="2"/>
  <c r="C17" i="2"/>
  <c r="D17" i="2" s="1"/>
  <c r="B18" i="2"/>
  <c r="C18" i="2"/>
  <c r="D18" i="2" s="1"/>
  <c r="B19" i="2"/>
  <c r="C19" i="2"/>
  <c r="D19" i="2" s="1"/>
  <c r="B20" i="2"/>
  <c r="C20" i="2"/>
  <c r="D20" i="2" s="1"/>
  <c r="B21" i="2"/>
  <c r="C21" i="2"/>
  <c r="D21" i="2"/>
  <c r="B22" i="2"/>
  <c r="C22" i="2"/>
  <c r="D22" i="2" s="1"/>
  <c r="B23" i="2"/>
  <c r="C23" i="2"/>
  <c r="D23" i="2" s="1"/>
  <c r="B24" i="2"/>
  <c r="C24" i="2"/>
  <c r="D24" i="2" s="1"/>
  <c r="B25" i="2"/>
  <c r="C25" i="2"/>
  <c r="D25" i="2" s="1"/>
  <c r="B26" i="2"/>
  <c r="C26" i="2"/>
  <c r="D26" i="2" s="1"/>
  <c r="B27" i="2"/>
  <c r="C27" i="2"/>
  <c r="D27" i="2" s="1"/>
  <c r="B28" i="2"/>
  <c r="C28" i="2"/>
  <c r="D28" i="2" s="1"/>
  <c r="B29" i="2"/>
  <c r="C29" i="2"/>
  <c r="D29" i="2"/>
  <c r="B30" i="2"/>
  <c r="C30" i="2"/>
  <c r="D30" i="2" s="1"/>
  <c r="B31" i="2"/>
  <c r="C31" i="2"/>
  <c r="D31" i="2" s="1"/>
  <c r="B32" i="2"/>
  <c r="C32" i="2"/>
  <c r="D32" i="2" s="1"/>
  <c r="B33" i="2"/>
  <c r="C33" i="2"/>
  <c r="D33" i="2" s="1"/>
  <c r="B2" i="16"/>
  <c r="A3" i="16"/>
  <c r="F2" i="4"/>
  <c r="F3" i="4"/>
  <c r="F4" i="4"/>
  <c r="F5" i="4"/>
  <c r="X20" i="4"/>
  <c r="Y20" i="4"/>
  <c r="G21" i="4"/>
  <c r="I21" i="4"/>
  <c r="U21" i="4"/>
  <c r="W21" i="4" s="1"/>
  <c r="X21" i="4"/>
  <c r="A22" i="4"/>
  <c r="A23" i="4" s="1"/>
  <c r="B22" i="4"/>
  <c r="C22" i="4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D22" i="4"/>
  <c r="E22" i="4"/>
  <c r="F22" i="4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J22" i="4"/>
  <c r="X22" i="4" s="1"/>
  <c r="O22" i="4"/>
  <c r="O23" i="4" s="1"/>
  <c r="P22" i="4"/>
  <c r="P23" i="4" s="1"/>
  <c r="Q22" i="4"/>
  <c r="Q23" i="4" s="1"/>
  <c r="Q24" i="4" s="1"/>
  <c r="Q25" i="4" s="1"/>
  <c r="Q26" i="4" s="1"/>
  <c r="Q27" i="4" s="1"/>
  <c r="R22" i="4"/>
  <c r="J23" i="4"/>
  <c r="X23" i="4" s="1"/>
  <c r="J24" i="4"/>
  <c r="X24" i="4" s="1"/>
  <c r="J25" i="4"/>
  <c r="X25" i="4" s="1"/>
  <c r="J26" i="4"/>
  <c r="X26" i="4" s="1"/>
  <c r="J27" i="4"/>
  <c r="X27" i="4" s="1"/>
  <c r="J28" i="4"/>
  <c r="X28" i="4"/>
  <c r="J29" i="4"/>
  <c r="X29" i="4" s="1"/>
  <c r="J30" i="4"/>
  <c r="X30" i="4" s="1"/>
  <c r="J31" i="4"/>
  <c r="X31" i="4" s="1"/>
  <c r="J32" i="4"/>
  <c r="X32" i="4"/>
  <c r="J33" i="4"/>
  <c r="X33" i="4" s="1"/>
  <c r="J34" i="4"/>
  <c r="X34" i="4" s="1"/>
  <c r="J35" i="4"/>
  <c r="X35" i="4"/>
  <c r="J36" i="4"/>
  <c r="X36" i="4" s="1"/>
  <c r="J37" i="4"/>
  <c r="X37" i="4" s="1"/>
  <c r="J38" i="4"/>
  <c r="J39" i="4"/>
  <c r="J40" i="4"/>
  <c r="J41" i="4"/>
  <c r="J42" i="4"/>
  <c r="J43" i="4"/>
  <c r="J44" i="4"/>
  <c r="J45" i="4"/>
  <c r="J46" i="4"/>
  <c r="B5" i="7"/>
  <c r="B6" i="7" s="1"/>
  <c r="B7" i="8"/>
  <c r="C7" i="8"/>
  <c r="D7" i="8"/>
  <c r="E7" i="8"/>
  <c r="F7" i="8"/>
  <c r="B8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C8" i="8"/>
  <c r="C9" i="8" s="1"/>
  <c r="C4" i="10"/>
  <c r="C5" i="10"/>
  <c r="C9" i="9"/>
  <c r="C10" i="9" s="1"/>
  <c r="C12" i="9" s="1"/>
  <c r="C13" i="14"/>
  <c r="D13" i="14" s="1"/>
  <c r="A14" i="14"/>
  <c r="A15" i="14" s="1"/>
  <c r="C14" i="14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13" i="15"/>
  <c r="D13" i="15" s="1"/>
  <c r="L13" i="15"/>
  <c r="O13" i="15" s="1"/>
  <c r="P13" i="15" s="1"/>
  <c r="Q14" i="15" s="1"/>
  <c r="N13" i="15"/>
  <c r="T13" i="15"/>
  <c r="W13" i="15"/>
  <c r="X13" i="15"/>
  <c r="A14" i="15"/>
  <c r="C14" i="15"/>
  <c r="K14" i="15"/>
  <c r="K15" i="15" s="1"/>
  <c r="L14" i="15"/>
  <c r="O14" i="15" s="1"/>
  <c r="P14" i="15" s="1"/>
  <c r="M14" i="15"/>
  <c r="M15" i="15" s="1"/>
  <c r="N14" i="15"/>
  <c r="W14" i="15"/>
  <c r="X14" i="15"/>
  <c r="C15" i="15"/>
  <c r="C16" i="15" s="1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D8" i="8" l="1"/>
  <c r="E8" i="8" s="1"/>
  <c r="F8" i="8" s="1"/>
  <c r="B9" i="8" s="1"/>
  <c r="D9" i="8" s="1"/>
  <c r="E9" i="8" s="1"/>
  <c r="F9" i="8" s="1"/>
  <c r="B10" i="8" s="1"/>
  <c r="D14" i="14"/>
  <c r="E14" i="14" s="1"/>
  <c r="H22" i="4"/>
  <c r="X15" i="15"/>
  <c r="I22" i="4"/>
  <c r="L22" i="4" s="1"/>
  <c r="E5" i="2"/>
  <c r="B5" i="16" s="1"/>
  <c r="A24" i="4"/>
  <c r="Z21" i="4"/>
  <c r="O24" i="4"/>
  <c r="Q28" i="4"/>
  <c r="P24" i="4"/>
  <c r="L21" i="4"/>
  <c r="S22" i="4"/>
  <c r="D23" i="4"/>
  <c r="R23" i="4"/>
  <c r="B23" i="4"/>
  <c r="G5" i="7"/>
  <c r="G6" i="7" s="1"/>
  <c r="G8" i="7" s="1"/>
  <c r="B8" i="7"/>
  <c r="B4" i="10" s="1"/>
  <c r="D4" i="10" s="1"/>
  <c r="C10" i="8"/>
  <c r="D15" i="14"/>
  <c r="E15" i="14" s="1"/>
  <c r="A16" i="14"/>
  <c r="E13" i="14"/>
  <c r="F13" i="14" s="1"/>
  <c r="G13" i="14" s="1"/>
  <c r="D14" i="15"/>
  <c r="T14" i="15"/>
  <c r="A15" i="15"/>
  <c r="N15" i="15"/>
  <c r="M16" i="15"/>
  <c r="Q15" i="15"/>
  <c r="L15" i="15"/>
  <c r="K16" i="15"/>
  <c r="C17" i="15"/>
  <c r="X16" i="15"/>
  <c r="U13" i="15"/>
  <c r="E13" i="15"/>
  <c r="V13" i="15" s="1"/>
  <c r="H3" i="1"/>
  <c r="T22" i="4" s="1"/>
  <c r="V22" i="4" s="1"/>
  <c r="H4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A4" i="1"/>
  <c r="A5" i="1" l="1"/>
  <c r="A5" i="2"/>
  <c r="O15" i="15"/>
  <c r="P15" i="15" s="1"/>
  <c r="T23" i="4"/>
  <c r="V23" i="4" s="1"/>
  <c r="W22" i="4"/>
  <c r="R24" i="4"/>
  <c r="S25" i="4" s="1"/>
  <c r="E23" i="4"/>
  <c r="I23" i="4" s="1"/>
  <c r="R25" i="4"/>
  <c r="O25" i="4"/>
  <c r="Q29" i="4"/>
  <c r="S23" i="4"/>
  <c r="W23" i="4" s="1"/>
  <c r="Z22" i="4"/>
  <c r="D24" i="4"/>
  <c r="D25" i="4"/>
  <c r="A25" i="4"/>
  <c r="B24" i="4"/>
  <c r="H23" i="4"/>
  <c r="S24" i="4"/>
  <c r="P25" i="4"/>
  <c r="I8" i="8"/>
  <c r="B8" i="10"/>
  <c r="D10" i="8"/>
  <c r="E10" i="8" s="1"/>
  <c r="F10" i="8" s="1"/>
  <c r="B11" i="8" s="1"/>
  <c r="C11" i="8"/>
  <c r="H13" i="14"/>
  <c r="I13" i="14" s="1"/>
  <c r="B14" i="14" s="1"/>
  <c r="F14" i="14" s="1"/>
  <c r="G14" i="14" s="1"/>
  <c r="D16" i="14"/>
  <c r="E16" i="14" s="1"/>
  <c r="A17" i="14"/>
  <c r="Q16" i="15"/>
  <c r="N16" i="15"/>
  <c r="M17" i="15"/>
  <c r="C18" i="15"/>
  <c r="X17" i="15"/>
  <c r="D15" i="15"/>
  <c r="T15" i="15"/>
  <c r="A16" i="15"/>
  <c r="F13" i="15"/>
  <c r="G13" i="15" s="1"/>
  <c r="Y13" i="15"/>
  <c r="L16" i="15"/>
  <c r="K17" i="15"/>
  <c r="E14" i="15"/>
  <c r="V14" i="15" s="1"/>
  <c r="U14" i="15"/>
  <c r="H15" i="1"/>
  <c r="T34" i="4" s="1"/>
  <c r="V34" i="4" s="1"/>
  <c r="H14" i="1"/>
  <c r="T33" i="4" s="1"/>
  <c r="V33" i="4" s="1"/>
  <c r="H13" i="1"/>
  <c r="T32" i="4" s="1"/>
  <c r="V32" i="4" s="1"/>
  <c r="H8" i="1"/>
  <c r="T27" i="4" s="1"/>
  <c r="V27" i="4" s="1"/>
  <c r="H7" i="1"/>
  <c r="T26" i="4" s="1"/>
  <c r="H18" i="1"/>
  <c r="T37" i="4" s="1"/>
  <c r="V37" i="4" s="1"/>
  <c r="H6" i="1"/>
  <c r="T25" i="4" s="1"/>
  <c r="H12" i="1"/>
  <c r="T31" i="4" s="1"/>
  <c r="V31" i="4" s="1"/>
  <c r="H11" i="1"/>
  <c r="T30" i="4" s="1"/>
  <c r="V30" i="4" s="1"/>
  <c r="H10" i="1"/>
  <c r="T29" i="4" s="1"/>
  <c r="V29" i="4" s="1"/>
  <c r="H9" i="1"/>
  <c r="T28" i="4" s="1"/>
  <c r="V28" i="4" s="1"/>
  <c r="H17" i="1"/>
  <c r="T36" i="4" s="1"/>
  <c r="V36" i="4" s="1"/>
  <c r="H5" i="1"/>
  <c r="T24" i="4" s="1"/>
  <c r="V24" i="4" s="1"/>
  <c r="W24" i="4" s="1"/>
  <c r="H16" i="1"/>
  <c r="T35" i="4" s="1"/>
  <c r="V35" i="4" s="1"/>
  <c r="O16" i="15" l="1"/>
  <c r="P16" i="15" s="1"/>
  <c r="A5" i="16"/>
  <c r="C5" i="16" s="1"/>
  <c r="E6" i="2"/>
  <c r="B6" i="16" s="1"/>
  <c r="A6" i="1"/>
  <c r="A6" i="2"/>
  <c r="Z24" i="4"/>
  <c r="V25" i="4"/>
  <c r="P26" i="4"/>
  <c r="W25" i="4"/>
  <c r="Q30" i="4"/>
  <c r="L23" i="4"/>
  <c r="R26" i="4"/>
  <c r="O26" i="4"/>
  <c r="B25" i="4"/>
  <c r="H24" i="4"/>
  <c r="Z23" i="4"/>
  <c r="E24" i="4"/>
  <c r="E25" i="4"/>
  <c r="D26" i="4"/>
  <c r="A26" i="4"/>
  <c r="D11" i="8"/>
  <c r="E11" i="8"/>
  <c r="F11" i="8" s="1"/>
  <c r="B12" i="8" s="1"/>
  <c r="C12" i="8"/>
  <c r="H14" i="14"/>
  <c r="I14" i="14" s="1"/>
  <c r="B15" i="14" s="1"/>
  <c r="F15" i="14" s="1"/>
  <c r="G15" i="14" s="1"/>
  <c r="D17" i="14"/>
  <c r="E17" i="14" s="1"/>
  <c r="A18" i="14"/>
  <c r="H13" i="15"/>
  <c r="Z13" i="15" s="1"/>
  <c r="I13" i="15"/>
  <c r="D16" i="15"/>
  <c r="A17" i="15"/>
  <c r="T16" i="15"/>
  <c r="E15" i="15"/>
  <c r="V15" i="15" s="1"/>
  <c r="U15" i="15"/>
  <c r="Y14" i="15"/>
  <c r="X18" i="15"/>
  <c r="C19" i="15"/>
  <c r="K18" i="15"/>
  <c r="L17" i="15"/>
  <c r="M18" i="15"/>
  <c r="N17" i="15"/>
  <c r="Q17" i="15"/>
  <c r="A6" i="16" l="1"/>
  <c r="E7" i="2"/>
  <c r="B7" i="16" s="1"/>
  <c r="C6" i="16"/>
  <c r="I24" i="4"/>
  <c r="A7" i="1"/>
  <c r="A7" i="2"/>
  <c r="L24" i="4"/>
  <c r="Q31" i="4"/>
  <c r="H25" i="4"/>
  <c r="I25" i="4"/>
  <c r="B26" i="4"/>
  <c r="Z25" i="4"/>
  <c r="S26" i="4"/>
  <c r="A27" i="4"/>
  <c r="D27" i="4"/>
  <c r="V26" i="4"/>
  <c r="W26" i="4" s="1"/>
  <c r="O27" i="4"/>
  <c r="R27" i="4"/>
  <c r="E26" i="4"/>
  <c r="E27" i="4"/>
  <c r="D12" i="8"/>
  <c r="E12" i="8" s="1"/>
  <c r="F12" i="8" s="1"/>
  <c r="B13" i="8" s="1"/>
  <c r="C13" i="8"/>
  <c r="H15" i="14"/>
  <c r="I15" i="14" s="1"/>
  <c r="B16" i="14" s="1"/>
  <c r="F16" i="14" s="1"/>
  <c r="G16" i="14" s="1"/>
  <c r="A19" i="14"/>
  <c r="D18" i="14"/>
  <c r="E18" i="14" s="1"/>
  <c r="Y15" i="15"/>
  <c r="N18" i="15"/>
  <c r="M19" i="15"/>
  <c r="E16" i="15"/>
  <c r="V16" i="15" s="1"/>
  <c r="U16" i="15"/>
  <c r="L18" i="15"/>
  <c r="O18" i="15" s="1"/>
  <c r="P18" i="15" s="1"/>
  <c r="K19" i="15"/>
  <c r="C20" i="15"/>
  <c r="X19" i="15"/>
  <c r="D17" i="15"/>
  <c r="T17" i="15"/>
  <c r="A18" i="15"/>
  <c r="O17" i="15"/>
  <c r="P17" i="15" s="1"/>
  <c r="Q18" i="15" s="1"/>
  <c r="B14" i="15"/>
  <c r="F14" i="15" s="1"/>
  <c r="G14" i="15" s="1"/>
  <c r="AA13" i="15"/>
  <c r="A8" i="1" l="1"/>
  <c r="A8" i="2"/>
  <c r="A7" i="16"/>
  <c r="E8" i="2"/>
  <c r="B8" i="16" s="1"/>
  <c r="C7" i="16"/>
  <c r="Q19" i="15"/>
  <c r="D28" i="4"/>
  <c r="A28" i="4"/>
  <c r="S27" i="4"/>
  <c r="W27" i="4" s="1"/>
  <c r="R28" i="4"/>
  <c r="O28" i="4"/>
  <c r="H26" i="4"/>
  <c r="I26" i="4"/>
  <c r="B27" i="4"/>
  <c r="Q32" i="4"/>
  <c r="Z26" i="4"/>
  <c r="L25" i="4"/>
  <c r="C14" i="8"/>
  <c r="D13" i="8"/>
  <c r="E13" i="8" s="1"/>
  <c r="F13" i="8" s="1"/>
  <c r="B14" i="8" s="1"/>
  <c r="H16" i="14"/>
  <c r="I16" i="14"/>
  <c r="B17" i="14" s="1"/>
  <c r="F17" i="14" s="1"/>
  <c r="G17" i="14" s="1"/>
  <c r="A20" i="14"/>
  <c r="D19" i="14"/>
  <c r="E19" i="14" s="1"/>
  <c r="H14" i="15"/>
  <c r="Z14" i="15" s="1"/>
  <c r="I14" i="15"/>
  <c r="L19" i="15"/>
  <c r="K20" i="15"/>
  <c r="Y16" i="15"/>
  <c r="AB13" i="15"/>
  <c r="AC13" i="15"/>
  <c r="AD13" i="15" s="1"/>
  <c r="AE13" i="15" s="1"/>
  <c r="D18" i="15"/>
  <c r="A19" i="15"/>
  <c r="T18" i="15"/>
  <c r="N19" i="15"/>
  <c r="M20" i="15"/>
  <c r="E17" i="15"/>
  <c r="V17" i="15" s="1"/>
  <c r="U17" i="15"/>
  <c r="C21" i="15"/>
  <c r="X20" i="15"/>
  <c r="A8" i="16" l="1"/>
  <c r="E9" i="2"/>
  <c r="B9" i="16" s="1"/>
  <c r="C8" i="16"/>
  <c r="A9" i="1"/>
  <c r="A9" i="2"/>
  <c r="O29" i="4"/>
  <c r="R29" i="4"/>
  <c r="S29" i="4" s="1"/>
  <c r="W29" i="4" s="1"/>
  <c r="H27" i="4"/>
  <c r="I27" i="4"/>
  <c r="B28" i="4"/>
  <c r="L26" i="4"/>
  <c r="Z27" i="4"/>
  <c r="E28" i="4"/>
  <c r="S28" i="4"/>
  <c r="W28" i="4" s="1"/>
  <c r="A29" i="4"/>
  <c r="D29" i="4"/>
  <c r="Q33" i="4"/>
  <c r="D14" i="8"/>
  <c r="C15" i="8"/>
  <c r="E14" i="8"/>
  <c r="F14" i="8" s="1"/>
  <c r="B15" i="8" s="1"/>
  <c r="D20" i="14"/>
  <c r="E20" i="14" s="1"/>
  <c r="A21" i="14"/>
  <c r="H17" i="14"/>
  <c r="I17" i="14" s="1"/>
  <c r="B18" i="14" s="1"/>
  <c r="F18" i="14" s="1"/>
  <c r="G18" i="14" s="1"/>
  <c r="E18" i="15"/>
  <c r="V18" i="15" s="1"/>
  <c r="U18" i="15"/>
  <c r="X21" i="15"/>
  <c r="C22" i="15"/>
  <c r="Y17" i="15"/>
  <c r="K21" i="15"/>
  <c r="L20" i="15"/>
  <c r="B15" i="15"/>
  <c r="F15" i="15" s="1"/>
  <c r="G15" i="15" s="1"/>
  <c r="AA14" i="15"/>
  <c r="O19" i="15"/>
  <c r="P19" i="15" s="1"/>
  <c r="Q20" i="15" s="1"/>
  <c r="M21" i="15"/>
  <c r="N20" i="15"/>
  <c r="D19" i="15"/>
  <c r="A20" i="15"/>
  <c r="T19" i="15"/>
  <c r="A9" i="16" l="1"/>
  <c r="E10" i="2"/>
  <c r="B10" i="16" s="1"/>
  <c r="A10" i="1"/>
  <c r="A10" i="2"/>
  <c r="O20" i="15"/>
  <c r="P20" i="15" s="1"/>
  <c r="C9" i="16"/>
  <c r="B29" i="4"/>
  <c r="H28" i="4"/>
  <c r="I28" i="4" s="1"/>
  <c r="E29" i="4"/>
  <c r="D30" i="4"/>
  <c r="E30" i="4" s="1"/>
  <c r="A30" i="4"/>
  <c r="L27" i="4"/>
  <c r="O30" i="4"/>
  <c r="R30" i="4"/>
  <c r="Z28" i="4"/>
  <c r="Z29" i="4"/>
  <c r="Q34" i="4"/>
  <c r="D15" i="8"/>
  <c r="E15" i="8"/>
  <c r="F15" i="8" s="1"/>
  <c r="B16" i="8" s="1"/>
  <c r="C16" i="8"/>
  <c r="H18" i="14"/>
  <c r="I18" i="14"/>
  <c r="B19" i="14" s="1"/>
  <c r="F19" i="14" s="1"/>
  <c r="G19" i="14" s="1"/>
  <c r="D21" i="14"/>
  <c r="E21" i="14" s="1"/>
  <c r="A22" i="14"/>
  <c r="L21" i="15"/>
  <c r="K22" i="15"/>
  <c r="C23" i="15"/>
  <c r="X22" i="15"/>
  <c r="AB14" i="15"/>
  <c r="AC14" i="15"/>
  <c r="H15" i="15"/>
  <c r="Z15" i="15" s="1"/>
  <c r="D20" i="15"/>
  <c r="T20" i="15"/>
  <c r="A21" i="15"/>
  <c r="E19" i="15"/>
  <c r="V19" i="15" s="1"/>
  <c r="U19" i="15"/>
  <c r="N21" i="15"/>
  <c r="M22" i="15"/>
  <c r="Y18" i="15"/>
  <c r="Q21" i="15"/>
  <c r="AD14" i="15" l="1"/>
  <c r="AE14" i="15" s="1"/>
  <c r="A10" i="16"/>
  <c r="E11" i="2"/>
  <c r="B11" i="16" s="1"/>
  <c r="A11" i="1"/>
  <c r="A11" i="2"/>
  <c r="C10" i="16"/>
  <c r="L28" i="4"/>
  <c r="Q35" i="4"/>
  <c r="B30" i="4"/>
  <c r="H29" i="4"/>
  <c r="I29" i="4"/>
  <c r="O31" i="4"/>
  <c r="R31" i="4"/>
  <c r="A31" i="4"/>
  <c r="D31" i="4"/>
  <c r="E31" i="4" s="1"/>
  <c r="S30" i="4"/>
  <c r="W30" i="4" s="1"/>
  <c r="D16" i="8"/>
  <c r="E16" i="8" s="1"/>
  <c r="F16" i="8" s="1"/>
  <c r="B17" i="8" s="1"/>
  <c r="C17" i="8"/>
  <c r="A23" i="14"/>
  <c r="D22" i="14"/>
  <c r="E22" i="14" s="1"/>
  <c r="H19" i="14"/>
  <c r="I19" i="14" s="1"/>
  <c r="B20" i="14" s="1"/>
  <c r="F20" i="14" s="1"/>
  <c r="G20" i="14" s="1"/>
  <c r="C24" i="15"/>
  <c r="X23" i="15"/>
  <c r="Y19" i="15"/>
  <c r="N22" i="15"/>
  <c r="M23" i="15"/>
  <c r="L22" i="15"/>
  <c r="O22" i="15" s="1"/>
  <c r="P22" i="15" s="1"/>
  <c r="K23" i="15"/>
  <c r="E20" i="15"/>
  <c r="V20" i="15" s="1"/>
  <c r="U20" i="15"/>
  <c r="I15" i="15"/>
  <c r="O21" i="15"/>
  <c r="P21" i="15" s="1"/>
  <c r="Q22" i="15" s="1"/>
  <c r="Q23" i="15" s="1"/>
  <c r="D21" i="15"/>
  <c r="A22" i="15"/>
  <c r="T21" i="15"/>
  <c r="A11" i="16" l="1"/>
  <c r="E12" i="2"/>
  <c r="B12" i="16" s="1"/>
  <c r="A12" i="1"/>
  <c r="A12" i="2"/>
  <c r="C11" i="16"/>
  <c r="L29" i="4"/>
  <c r="R32" i="4"/>
  <c r="S32" i="4" s="1"/>
  <c r="W32" i="4" s="1"/>
  <c r="O32" i="4"/>
  <c r="H30" i="4"/>
  <c r="I30" i="4" s="1"/>
  <c r="B31" i="4"/>
  <c r="S31" i="4"/>
  <c r="W31" i="4" s="1"/>
  <c r="Q36" i="4"/>
  <c r="Z30" i="4"/>
  <c r="A32" i="4"/>
  <c r="D32" i="4"/>
  <c r="E32" i="4" s="1"/>
  <c r="D17" i="8"/>
  <c r="C18" i="8"/>
  <c r="E17" i="8"/>
  <c r="F17" i="8" s="1"/>
  <c r="B18" i="8" s="1"/>
  <c r="H20" i="14"/>
  <c r="I20" i="14" s="1"/>
  <c r="B21" i="14" s="1"/>
  <c r="F21" i="14" s="1"/>
  <c r="G21" i="14" s="1"/>
  <c r="D23" i="14"/>
  <c r="E23" i="14" s="1"/>
  <c r="A24" i="14"/>
  <c r="K24" i="15"/>
  <c r="L23" i="15"/>
  <c r="D22" i="15"/>
  <c r="A23" i="15"/>
  <c r="T22" i="15"/>
  <c r="X24" i="15"/>
  <c r="C25" i="15"/>
  <c r="M24" i="15"/>
  <c r="N23" i="15"/>
  <c r="E21" i="15"/>
  <c r="V21" i="15" s="1"/>
  <c r="U21" i="15"/>
  <c r="AA15" i="15"/>
  <c r="B16" i="15"/>
  <c r="F16" i="15" s="1"/>
  <c r="G16" i="15" s="1"/>
  <c r="Y20" i="15"/>
  <c r="A13" i="1" l="1"/>
  <c r="A13" i="2"/>
  <c r="E13" i="2"/>
  <c r="B13" i="16" s="1"/>
  <c r="A12" i="16"/>
  <c r="C12" i="16" s="1"/>
  <c r="Z31" i="4"/>
  <c r="L30" i="4"/>
  <c r="Z32" i="4"/>
  <c r="A33" i="4"/>
  <c r="D33" i="4"/>
  <c r="E33" i="4" s="1"/>
  <c r="Q37" i="4"/>
  <c r="O33" i="4"/>
  <c r="R33" i="4"/>
  <c r="S33" i="4" s="1"/>
  <c r="W33" i="4" s="1"/>
  <c r="H31" i="4"/>
  <c r="I31" i="4"/>
  <c r="B32" i="4"/>
  <c r="D18" i="8"/>
  <c r="E18" i="8"/>
  <c r="F18" i="8" s="1"/>
  <c r="B19" i="8" s="1"/>
  <c r="C19" i="8"/>
  <c r="H21" i="14"/>
  <c r="I21" i="14"/>
  <c r="B22" i="14" s="1"/>
  <c r="F22" i="14" s="1"/>
  <c r="G22" i="14" s="1"/>
  <c r="D24" i="14"/>
  <c r="E24" i="14" s="1"/>
  <c r="A25" i="14"/>
  <c r="O23" i="15"/>
  <c r="P23" i="15" s="1"/>
  <c r="Q24" i="15" s="1"/>
  <c r="C26" i="15"/>
  <c r="X25" i="15"/>
  <c r="L24" i="15"/>
  <c r="K25" i="15"/>
  <c r="E22" i="15"/>
  <c r="V22" i="15" s="1"/>
  <c r="U22" i="15"/>
  <c r="AB15" i="15"/>
  <c r="AC15" i="15"/>
  <c r="Y21" i="15"/>
  <c r="N24" i="15"/>
  <c r="M25" i="15"/>
  <c r="D23" i="15"/>
  <c r="T23" i="15"/>
  <c r="A24" i="15"/>
  <c r="H16" i="15"/>
  <c r="Z16" i="15" s="1"/>
  <c r="I16" i="15"/>
  <c r="A13" i="16" l="1"/>
  <c r="C13" i="16" s="1"/>
  <c r="E14" i="2"/>
  <c r="B14" i="16" s="1"/>
  <c r="AD15" i="15"/>
  <c r="AE15" i="15" s="1"/>
  <c r="O24" i="15"/>
  <c r="P24" i="15" s="1"/>
  <c r="Q25" i="15" s="1"/>
  <c r="A14" i="1"/>
  <c r="A14" i="2"/>
  <c r="Z33" i="4"/>
  <c r="R34" i="4"/>
  <c r="S34" i="4" s="1"/>
  <c r="W34" i="4" s="1"/>
  <c r="O34" i="4"/>
  <c r="D34" i="4"/>
  <c r="E34" i="4" s="1"/>
  <c r="A34" i="4"/>
  <c r="B33" i="4"/>
  <c r="H32" i="4"/>
  <c r="I32" i="4" s="1"/>
  <c r="L31" i="4"/>
  <c r="D19" i="8"/>
  <c r="E19" i="8" s="1"/>
  <c r="F19" i="8" s="1"/>
  <c r="B20" i="8" s="1"/>
  <c r="C20" i="8"/>
  <c r="D25" i="14"/>
  <c r="E25" i="14" s="1"/>
  <c r="A26" i="14"/>
  <c r="H22" i="14"/>
  <c r="I22" i="14"/>
  <c r="B23" i="14" s="1"/>
  <c r="F23" i="14" s="1"/>
  <c r="G23" i="14" s="1"/>
  <c r="L25" i="15"/>
  <c r="K26" i="15"/>
  <c r="E23" i="15"/>
  <c r="V23" i="15" s="1"/>
  <c r="U23" i="15"/>
  <c r="X26" i="15"/>
  <c r="C27" i="15"/>
  <c r="N25" i="15"/>
  <c r="M26" i="15"/>
  <c r="B17" i="15"/>
  <c r="F17" i="15" s="1"/>
  <c r="G17" i="15" s="1"/>
  <c r="AA16" i="15"/>
  <c r="Y22" i="15"/>
  <c r="D24" i="15"/>
  <c r="A25" i="15"/>
  <c r="T24" i="15"/>
  <c r="A15" i="1" l="1"/>
  <c r="A15" i="2"/>
  <c r="A14" i="16"/>
  <c r="E15" i="2"/>
  <c r="B15" i="16" s="1"/>
  <c r="C14" i="16"/>
  <c r="L32" i="4"/>
  <c r="H33" i="4"/>
  <c r="B34" i="4"/>
  <c r="I33" i="4"/>
  <c r="O35" i="4"/>
  <c r="R35" i="4"/>
  <c r="S35" i="4" s="1"/>
  <c r="W35" i="4" s="1"/>
  <c r="Z34" i="4"/>
  <c r="A35" i="4"/>
  <c r="D35" i="4"/>
  <c r="E35" i="4" s="1"/>
  <c r="D20" i="8"/>
  <c r="C21" i="8"/>
  <c r="E20" i="8"/>
  <c r="F20" i="8" s="1"/>
  <c r="B21" i="8" s="1"/>
  <c r="H23" i="14"/>
  <c r="I23" i="14" s="1"/>
  <c r="B24" i="14" s="1"/>
  <c r="F24" i="14" s="1"/>
  <c r="G24" i="14" s="1"/>
  <c r="A27" i="14"/>
  <c r="D26" i="14"/>
  <c r="E26" i="14" s="1"/>
  <c r="E24" i="15"/>
  <c r="V24" i="15" s="1"/>
  <c r="U24" i="15"/>
  <c r="M27" i="15"/>
  <c r="N26" i="15"/>
  <c r="X27" i="15"/>
  <c r="C28" i="15"/>
  <c r="Y23" i="15"/>
  <c r="T25" i="15"/>
  <c r="A26" i="15"/>
  <c r="D25" i="15"/>
  <c r="K27" i="15"/>
  <c r="L26" i="15"/>
  <c r="O25" i="15"/>
  <c r="P25" i="15" s="1"/>
  <c r="Q26" i="15" s="1"/>
  <c r="AB16" i="15"/>
  <c r="AC16" i="15"/>
  <c r="H17" i="15"/>
  <c r="Z17" i="15" s="1"/>
  <c r="A15" i="16" l="1"/>
  <c r="C15" i="16" s="1"/>
  <c r="E16" i="2"/>
  <c r="B16" i="16" s="1"/>
  <c r="O26" i="15"/>
  <c r="P26" i="15" s="1"/>
  <c r="Q27" i="15" s="1"/>
  <c r="A16" i="1"/>
  <c r="A16" i="2"/>
  <c r="A36" i="4"/>
  <c r="D36" i="4"/>
  <c r="E36" i="4" s="1"/>
  <c r="L33" i="4"/>
  <c r="R36" i="4"/>
  <c r="S36" i="4" s="1"/>
  <c r="W36" i="4" s="1"/>
  <c r="O36" i="4"/>
  <c r="Z35" i="4"/>
  <c r="H34" i="4"/>
  <c r="I34" i="4" s="1"/>
  <c r="B35" i="4"/>
  <c r="D21" i="8"/>
  <c r="E21" i="8" s="1"/>
  <c r="F21" i="8" s="1"/>
  <c r="B5" i="10"/>
  <c r="D5" i="10" s="1"/>
  <c r="H24" i="14"/>
  <c r="I24" i="14"/>
  <c r="B25" i="14" s="1"/>
  <c r="F25" i="14" s="1"/>
  <c r="G25" i="14" s="1"/>
  <c r="A28" i="14"/>
  <c r="D27" i="14"/>
  <c r="E27" i="14" s="1"/>
  <c r="D26" i="15"/>
  <c r="T26" i="15"/>
  <c r="A27" i="15"/>
  <c r="Y24" i="15"/>
  <c r="AD16" i="15"/>
  <c r="AE16" i="15" s="1"/>
  <c r="L27" i="15"/>
  <c r="K28" i="15"/>
  <c r="I17" i="15"/>
  <c r="C29" i="15"/>
  <c r="X28" i="15"/>
  <c r="N27" i="15"/>
  <c r="M28" i="15"/>
  <c r="E25" i="15"/>
  <c r="V25" i="15" s="1"/>
  <c r="U25" i="15"/>
  <c r="A16" i="16" l="1"/>
  <c r="E17" i="2"/>
  <c r="B17" i="16" s="1"/>
  <c r="A17" i="1"/>
  <c r="A17" i="2"/>
  <c r="O27" i="15"/>
  <c r="P27" i="15" s="1"/>
  <c r="Q28" i="15" s="1"/>
  <c r="C16" i="16"/>
  <c r="L34" i="4"/>
  <c r="B36" i="4"/>
  <c r="H35" i="4"/>
  <c r="I35" i="4"/>
  <c r="O37" i="4"/>
  <c r="O38" i="4" s="1"/>
  <c r="O39" i="4" s="1"/>
  <c r="O40" i="4" s="1"/>
  <c r="O41" i="4" s="1"/>
  <c r="O42" i="4" s="1"/>
  <c r="R37" i="4"/>
  <c r="S37" i="4" s="1"/>
  <c r="W37" i="4" s="1"/>
  <c r="Z36" i="4"/>
  <c r="A37" i="4"/>
  <c r="D37" i="4"/>
  <c r="E37" i="4" s="1"/>
  <c r="H25" i="14"/>
  <c r="I25" i="14" s="1"/>
  <c r="B26" i="14" s="1"/>
  <c r="F26" i="14" s="1"/>
  <c r="G26" i="14" s="1"/>
  <c r="D28" i="14"/>
  <c r="E28" i="14" s="1"/>
  <c r="A29" i="14"/>
  <c r="L28" i="15"/>
  <c r="K29" i="15"/>
  <c r="N28" i="15"/>
  <c r="M29" i="15"/>
  <c r="D27" i="15"/>
  <c r="T27" i="15"/>
  <c r="A28" i="15"/>
  <c r="Y25" i="15"/>
  <c r="E26" i="15"/>
  <c r="V26" i="15" s="1"/>
  <c r="U26" i="15"/>
  <c r="C30" i="15"/>
  <c r="X29" i="15"/>
  <c r="B18" i="15"/>
  <c r="F18" i="15" s="1"/>
  <c r="G18" i="15" s="1"/>
  <c r="AA17" i="15"/>
  <c r="A17" i="16" l="1"/>
  <c r="C17" i="16" s="1"/>
  <c r="E18" i="2"/>
  <c r="B18" i="16" s="1"/>
  <c r="A18" i="1"/>
  <c r="A18" i="2"/>
  <c r="D38" i="4"/>
  <c r="E38" i="4" s="1"/>
  <c r="A38" i="4"/>
  <c r="B37" i="4"/>
  <c r="H36" i="4"/>
  <c r="I36" i="4" s="1"/>
  <c r="L35" i="4"/>
  <c r="Z37" i="4"/>
  <c r="Z13" i="4" s="1"/>
  <c r="Y37" i="4"/>
  <c r="Y36" i="4" s="1"/>
  <c r="Y35" i="4" s="1"/>
  <c r="Y34" i="4" s="1"/>
  <c r="Y33" i="4" s="1"/>
  <c r="Y32" i="4" s="1"/>
  <c r="Y31" i="4" s="1"/>
  <c r="Y30" i="4" s="1"/>
  <c r="Y29" i="4" s="1"/>
  <c r="Y28" i="4" s="1"/>
  <c r="Y27" i="4" s="1"/>
  <c r="Y26" i="4" s="1"/>
  <c r="Y25" i="4" s="1"/>
  <c r="Y24" i="4" s="1"/>
  <c r="Y23" i="4" s="1"/>
  <c r="Y22" i="4" s="1"/>
  <c r="Y21" i="4" s="1"/>
  <c r="D29" i="14"/>
  <c r="E29" i="14" s="1"/>
  <c r="A30" i="14"/>
  <c r="H26" i="14"/>
  <c r="I26" i="14"/>
  <c r="B27" i="14" s="1"/>
  <c r="F27" i="14" s="1"/>
  <c r="G27" i="14" s="1"/>
  <c r="E27" i="15"/>
  <c r="V27" i="15" s="1"/>
  <c r="U27" i="15"/>
  <c r="D28" i="15"/>
  <c r="T28" i="15"/>
  <c r="A29" i="15"/>
  <c r="AB17" i="15"/>
  <c r="AC17" i="15"/>
  <c r="AD17" i="15" s="1"/>
  <c r="AE17" i="15" s="1"/>
  <c r="H18" i="15"/>
  <c r="Z18" i="15" s="1"/>
  <c r="I18" i="15"/>
  <c r="M30" i="15"/>
  <c r="N29" i="15"/>
  <c r="K30" i="15"/>
  <c r="L29" i="15"/>
  <c r="O28" i="15"/>
  <c r="P28" i="15" s="1"/>
  <c r="Q29" i="15" s="1"/>
  <c r="X30" i="15"/>
  <c r="C31" i="15"/>
  <c r="Y26" i="15"/>
  <c r="A18" i="16" l="1"/>
  <c r="E19" i="2"/>
  <c r="B19" i="16" s="1"/>
  <c r="C18" i="16"/>
  <c r="A19" i="1"/>
  <c r="A19" i="2"/>
  <c r="L36" i="4"/>
  <c r="H37" i="4"/>
  <c r="I37" i="4"/>
  <c r="B38" i="4"/>
  <c r="A39" i="4"/>
  <c r="D39" i="4"/>
  <c r="E39" i="4" s="1"/>
  <c r="I27" i="14"/>
  <c r="B28" i="14" s="1"/>
  <c r="F28" i="14" s="1"/>
  <c r="G28" i="14" s="1"/>
  <c r="H27" i="14"/>
  <c r="A31" i="14"/>
  <c r="D30" i="14"/>
  <c r="E30" i="14" s="1"/>
  <c r="C32" i="15"/>
  <c r="X31" i="15"/>
  <c r="D29" i="15"/>
  <c r="T29" i="15"/>
  <c r="A30" i="15"/>
  <c r="E28" i="15"/>
  <c r="V28" i="15" s="1"/>
  <c r="U28" i="15"/>
  <c r="N30" i="15"/>
  <c r="M31" i="15"/>
  <c r="AA18" i="15"/>
  <c r="B19" i="15"/>
  <c r="F19" i="15" s="1"/>
  <c r="G19" i="15" s="1"/>
  <c r="Y27" i="15"/>
  <c r="O29" i="15"/>
  <c r="P29" i="15" s="1"/>
  <c r="Q30" i="15" s="1"/>
  <c r="L30" i="15"/>
  <c r="K31" i="15"/>
  <c r="A19" i="16" l="1"/>
  <c r="E20" i="2"/>
  <c r="B20" i="16" s="1"/>
  <c r="A20" i="2"/>
  <c r="A20" i="1"/>
  <c r="C19" i="16"/>
  <c r="B39" i="4"/>
  <c r="H38" i="4"/>
  <c r="I38" i="4" s="1"/>
  <c r="L37" i="4"/>
  <c r="D40" i="4"/>
  <c r="E40" i="4" s="1"/>
  <c r="A40" i="4"/>
  <c r="D31" i="14"/>
  <c r="E31" i="14" s="1"/>
  <c r="A32" i="14"/>
  <c r="H28" i="14"/>
  <c r="I28" i="14" s="1"/>
  <c r="B29" i="14" s="1"/>
  <c r="F29" i="14" s="1"/>
  <c r="G29" i="14" s="1"/>
  <c r="D30" i="15"/>
  <c r="A31" i="15"/>
  <c r="T30" i="15"/>
  <c r="E29" i="15"/>
  <c r="V29" i="15" s="1"/>
  <c r="U29" i="15"/>
  <c r="O30" i="15"/>
  <c r="P30" i="15" s="1"/>
  <c r="Q31" i="15" s="1"/>
  <c r="K32" i="15"/>
  <c r="L31" i="15"/>
  <c r="O31" i="15" s="1"/>
  <c r="P31" i="15" s="1"/>
  <c r="C33" i="15"/>
  <c r="X32" i="15"/>
  <c r="Y28" i="15"/>
  <c r="H19" i="15"/>
  <c r="Z19" i="15" s="1"/>
  <c r="I19" i="15"/>
  <c r="M32" i="15"/>
  <c r="N31" i="15"/>
  <c r="AB18" i="15"/>
  <c r="AC18" i="15"/>
  <c r="Q32" i="15" l="1"/>
  <c r="AD18" i="15"/>
  <c r="AE18" i="15" s="1"/>
  <c r="A21" i="2"/>
  <c r="A21" i="1"/>
  <c r="A20" i="16"/>
  <c r="C20" i="16" s="1"/>
  <c r="E21" i="2"/>
  <c r="B21" i="16" s="1"/>
  <c r="L38" i="4"/>
  <c r="D41" i="4"/>
  <c r="E41" i="4" s="1"/>
  <c r="A41" i="4"/>
  <c r="B40" i="4"/>
  <c r="H39" i="4"/>
  <c r="I39" i="4" s="1"/>
  <c r="H29" i="14"/>
  <c r="I29" i="14" s="1"/>
  <c r="B30" i="14" s="1"/>
  <c r="F30" i="14" s="1"/>
  <c r="G30" i="14" s="1"/>
  <c r="D32" i="14"/>
  <c r="E32" i="14" s="1"/>
  <c r="A33" i="14"/>
  <c r="C34" i="15"/>
  <c r="X33" i="15"/>
  <c r="Y29" i="15"/>
  <c r="B20" i="15"/>
  <c r="F20" i="15" s="1"/>
  <c r="G20" i="15" s="1"/>
  <c r="AA19" i="15"/>
  <c r="A32" i="15"/>
  <c r="T31" i="15"/>
  <c r="D31" i="15"/>
  <c r="K33" i="15"/>
  <c r="L32" i="15"/>
  <c r="E30" i="15"/>
  <c r="V30" i="15" s="1"/>
  <c r="U30" i="15"/>
  <c r="M33" i="15"/>
  <c r="N32" i="15"/>
  <c r="A22" i="2" l="1"/>
  <c r="A22" i="1"/>
  <c r="A21" i="16"/>
  <c r="E22" i="2"/>
  <c r="B22" i="16" s="1"/>
  <c r="C21" i="16"/>
  <c r="L39" i="4"/>
  <c r="B41" i="4"/>
  <c r="H40" i="4"/>
  <c r="I40" i="4" s="1"/>
  <c r="D42" i="4"/>
  <c r="E42" i="4" s="1"/>
  <c r="A42" i="4"/>
  <c r="H30" i="14"/>
  <c r="I30" i="14"/>
  <c r="B31" i="14" s="1"/>
  <c r="F31" i="14" s="1"/>
  <c r="G31" i="14" s="1"/>
  <c r="D33" i="14"/>
  <c r="E33" i="14" s="1"/>
  <c r="A34" i="14"/>
  <c r="L33" i="15"/>
  <c r="K34" i="15"/>
  <c r="N33" i="15"/>
  <c r="M34" i="15"/>
  <c r="D32" i="15"/>
  <c r="T32" i="15"/>
  <c r="A33" i="15"/>
  <c r="AB19" i="15"/>
  <c r="AD19" i="15" s="1"/>
  <c r="AE19" i="15" s="1"/>
  <c r="AC19" i="15"/>
  <c r="Y30" i="15"/>
  <c r="C35" i="15"/>
  <c r="X34" i="15"/>
  <c r="E31" i="15"/>
  <c r="V31" i="15" s="1"/>
  <c r="U31" i="15"/>
  <c r="H20" i="15"/>
  <c r="Z20" i="15" s="1"/>
  <c r="O32" i="15"/>
  <c r="P32" i="15" s="1"/>
  <c r="Q33" i="15" s="1"/>
  <c r="A23" i="2" l="1"/>
  <c r="A23" i="1"/>
  <c r="A22" i="16"/>
  <c r="C22" i="16" s="1"/>
  <c r="E23" i="2"/>
  <c r="B23" i="16" s="1"/>
  <c r="L40" i="4"/>
  <c r="D43" i="4"/>
  <c r="E43" i="4" s="1"/>
  <c r="A43" i="4"/>
  <c r="H41" i="4"/>
  <c r="I41" i="4" s="1"/>
  <c r="B42" i="4"/>
  <c r="A35" i="14"/>
  <c r="D34" i="14"/>
  <c r="E34" i="14" s="1"/>
  <c r="H31" i="14"/>
  <c r="I31" i="14" s="1"/>
  <c r="B32" i="14" s="1"/>
  <c r="F32" i="14" s="1"/>
  <c r="G32" i="14" s="1"/>
  <c r="N34" i="15"/>
  <c r="M35" i="15"/>
  <c r="D33" i="15"/>
  <c r="A34" i="15"/>
  <c r="T33" i="15"/>
  <c r="X35" i="15"/>
  <c r="C36" i="15"/>
  <c r="L34" i="15"/>
  <c r="O34" i="15" s="1"/>
  <c r="P34" i="15" s="1"/>
  <c r="K35" i="15"/>
  <c r="E32" i="15"/>
  <c r="V32" i="15" s="1"/>
  <c r="U32" i="15"/>
  <c r="O33" i="15"/>
  <c r="P33" i="15" s="1"/>
  <c r="Q34" i="15"/>
  <c r="I20" i="15"/>
  <c r="Y31" i="15"/>
  <c r="A24" i="2" l="1"/>
  <c r="A24" i="1"/>
  <c r="E24" i="2"/>
  <c r="B24" i="16" s="1"/>
  <c r="A23" i="16"/>
  <c r="C23" i="16" s="1"/>
  <c r="L41" i="4"/>
  <c r="B43" i="4"/>
  <c r="H42" i="4"/>
  <c r="I42" i="4" s="1"/>
  <c r="D44" i="4"/>
  <c r="E44" i="4" s="1"/>
  <c r="A44" i="4"/>
  <c r="H32" i="14"/>
  <c r="I32" i="14"/>
  <c r="B33" i="14" s="1"/>
  <c r="F33" i="14" s="1"/>
  <c r="G33" i="14" s="1"/>
  <c r="A36" i="14"/>
  <c r="D35" i="14"/>
  <c r="E35" i="14" s="1"/>
  <c r="A35" i="15"/>
  <c r="D34" i="15"/>
  <c r="T34" i="15"/>
  <c r="E33" i="15"/>
  <c r="V33" i="15" s="1"/>
  <c r="U33" i="15"/>
  <c r="Q35" i="15"/>
  <c r="M36" i="15"/>
  <c r="N35" i="15"/>
  <c r="B21" i="15"/>
  <c r="F21" i="15" s="1"/>
  <c r="G21" i="15" s="1"/>
  <c r="AA20" i="15"/>
  <c r="Y32" i="15"/>
  <c r="C37" i="15"/>
  <c r="X36" i="15"/>
  <c r="K36" i="15"/>
  <c r="L35" i="15"/>
  <c r="A24" i="16" l="1"/>
  <c r="C24" i="16" s="1"/>
  <c r="E25" i="2"/>
  <c r="B25" i="16" s="1"/>
  <c r="A25" i="2"/>
  <c r="A25" i="1"/>
  <c r="L42" i="4"/>
  <c r="A45" i="4"/>
  <c r="D45" i="4"/>
  <c r="E45" i="4" s="1"/>
  <c r="B44" i="4"/>
  <c r="H43" i="4"/>
  <c r="I43" i="4" s="1"/>
  <c r="D36" i="14"/>
  <c r="E36" i="14" s="1"/>
  <c r="A37" i="14"/>
  <c r="H33" i="14"/>
  <c r="I33" i="14" s="1"/>
  <c r="B34" i="14" s="1"/>
  <c r="F34" i="14" s="1"/>
  <c r="G34" i="14" s="1"/>
  <c r="O35" i="15"/>
  <c r="P35" i="15" s="1"/>
  <c r="Y33" i="15"/>
  <c r="L36" i="15"/>
  <c r="K37" i="15"/>
  <c r="AB20" i="15"/>
  <c r="AC20" i="15"/>
  <c r="AD20" i="15" s="1"/>
  <c r="AE20" i="15" s="1"/>
  <c r="E34" i="15"/>
  <c r="V34" i="15" s="1"/>
  <c r="U34" i="15"/>
  <c r="C38" i="15"/>
  <c r="X37" i="15"/>
  <c r="H21" i="15"/>
  <c r="Z21" i="15" s="1"/>
  <c r="N36" i="15"/>
  <c r="M37" i="15"/>
  <c r="Q36" i="15"/>
  <c r="D35" i="15"/>
  <c r="T35" i="15"/>
  <c r="A36" i="15"/>
  <c r="A25" i="16" l="1"/>
  <c r="E26" i="2"/>
  <c r="B26" i="16" s="1"/>
  <c r="C25" i="16"/>
  <c r="A26" i="2"/>
  <c r="A26" i="1"/>
  <c r="I21" i="15"/>
  <c r="AA21" i="15" s="1"/>
  <c r="L43" i="4"/>
  <c r="H44" i="4"/>
  <c r="I44" i="4" s="1"/>
  <c r="B45" i="4"/>
  <c r="A46" i="4"/>
  <c r="A47" i="4" s="1"/>
  <c r="A48" i="4" s="1"/>
  <c r="A49" i="4" s="1"/>
  <c r="D46" i="4"/>
  <c r="E46" i="4" s="1"/>
  <c r="H34" i="14"/>
  <c r="I34" i="14" s="1"/>
  <c r="B35" i="14" s="1"/>
  <c r="F35" i="14" s="1"/>
  <c r="G35" i="14" s="1"/>
  <c r="A38" i="14"/>
  <c r="D37" i="14"/>
  <c r="E37" i="14" s="1"/>
  <c r="Y34" i="15"/>
  <c r="M38" i="15"/>
  <c r="N37" i="15"/>
  <c r="L37" i="15"/>
  <c r="O37" i="15" s="1"/>
  <c r="P37" i="15" s="1"/>
  <c r="K38" i="15"/>
  <c r="O36" i="15"/>
  <c r="P36" i="15" s="1"/>
  <c r="Q37" i="15" s="1"/>
  <c r="X38" i="15"/>
  <c r="C39" i="15"/>
  <c r="A37" i="15"/>
  <c r="T36" i="15"/>
  <c r="D36" i="15"/>
  <c r="E35" i="15"/>
  <c r="V35" i="15" s="1"/>
  <c r="U35" i="15"/>
  <c r="Q38" i="15" l="1"/>
  <c r="A27" i="2"/>
  <c r="A27" i="1"/>
  <c r="B22" i="15"/>
  <c r="F22" i="15" s="1"/>
  <c r="G22" i="15" s="1"/>
  <c r="A26" i="16"/>
  <c r="C26" i="16" s="1"/>
  <c r="E27" i="2"/>
  <c r="B27" i="16" s="1"/>
  <c r="L44" i="4"/>
  <c r="H45" i="4"/>
  <c r="I45" i="4"/>
  <c r="B46" i="4"/>
  <c r="A39" i="14"/>
  <c r="D38" i="14"/>
  <c r="E38" i="14" s="1"/>
  <c r="H35" i="14"/>
  <c r="I35" i="14" s="1"/>
  <c r="B36" i="14" s="1"/>
  <c r="F36" i="14" s="1"/>
  <c r="G36" i="14" s="1"/>
  <c r="M39" i="15"/>
  <c r="N38" i="15"/>
  <c r="C40" i="15"/>
  <c r="X39" i="15"/>
  <c r="Y35" i="15"/>
  <c r="H22" i="15"/>
  <c r="Z22" i="15" s="1"/>
  <c r="AB21" i="15"/>
  <c r="AC21" i="15"/>
  <c r="AD21" i="15" s="1"/>
  <c r="AE21" i="15" s="1"/>
  <c r="E36" i="15"/>
  <c r="V36" i="15" s="1"/>
  <c r="U36" i="15"/>
  <c r="K39" i="15"/>
  <c r="L38" i="15"/>
  <c r="D37" i="15"/>
  <c r="A38" i="15"/>
  <c r="T37" i="15"/>
  <c r="A28" i="2" l="1"/>
  <c r="A28" i="1"/>
  <c r="O38" i="15"/>
  <c r="P38" i="15" s="1"/>
  <c r="Q39" i="15" s="1"/>
  <c r="A27" i="16"/>
  <c r="C27" i="16" s="1"/>
  <c r="E28" i="2"/>
  <c r="B28" i="16" s="1"/>
  <c r="H46" i="4"/>
  <c r="I46" i="4" s="1"/>
  <c r="L45" i="4"/>
  <c r="H36" i="14"/>
  <c r="I36" i="14" s="1"/>
  <c r="B37" i="14" s="1"/>
  <c r="F37" i="14" s="1"/>
  <c r="G37" i="14" s="1"/>
  <c r="A40" i="14"/>
  <c r="D39" i="14"/>
  <c r="E39" i="14" s="1"/>
  <c r="X40" i="15"/>
  <c r="C41" i="15"/>
  <c r="D38" i="15"/>
  <c r="T38" i="15"/>
  <c r="A39" i="15"/>
  <c r="Y36" i="15"/>
  <c r="N39" i="15"/>
  <c r="M40" i="15"/>
  <c r="I22" i="15"/>
  <c r="E37" i="15"/>
  <c r="V37" i="15" s="1"/>
  <c r="U37" i="15"/>
  <c r="L39" i="15"/>
  <c r="K40" i="15"/>
  <c r="A29" i="2" l="1"/>
  <c r="A29" i="1"/>
  <c r="E29" i="2"/>
  <c r="B29" i="16" s="1"/>
  <c r="A28" i="16"/>
  <c r="C28" i="16"/>
  <c r="K46" i="4"/>
  <c r="K45" i="4" s="1"/>
  <c r="K44" i="4" s="1"/>
  <c r="K43" i="4" s="1"/>
  <c r="K42" i="4" s="1"/>
  <c r="K41" i="4" s="1"/>
  <c r="K40" i="4" s="1"/>
  <c r="K39" i="4" s="1"/>
  <c r="K38" i="4" s="1"/>
  <c r="K37" i="4" s="1"/>
  <c r="K36" i="4" s="1"/>
  <c r="K35" i="4" s="1"/>
  <c r="K34" i="4" s="1"/>
  <c r="K33" i="4" s="1"/>
  <c r="K32" i="4" s="1"/>
  <c r="K31" i="4" s="1"/>
  <c r="K30" i="4" s="1"/>
  <c r="K29" i="4" s="1"/>
  <c r="K28" i="4" s="1"/>
  <c r="K27" i="4" s="1"/>
  <c r="K26" i="4" s="1"/>
  <c r="K25" i="4" s="1"/>
  <c r="K24" i="4" s="1"/>
  <c r="K23" i="4" s="1"/>
  <c r="K22" i="4" s="1"/>
  <c r="K21" i="4" s="1"/>
  <c r="L46" i="4"/>
  <c r="L13" i="4" s="1"/>
  <c r="H37" i="14"/>
  <c r="I37" i="14" s="1"/>
  <c r="B38" i="14" s="1"/>
  <c r="F38" i="14" s="1"/>
  <c r="G38" i="14" s="1"/>
  <c r="D40" i="14"/>
  <c r="E40" i="14" s="1"/>
  <c r="A41" i="14"/>
  <c r="A40" i="15"/>
  <c r="T39" i="15"/>
  <c r="D39" i="15"/>
  <c r="Y37" i="15"/>
  <c r="K41" i="15"/>
  <c r="L40" i="15"/>
  <c r="O39" i="15"/>
  <c r="P39" i="15" s="1"/>
  <c r="Q40" i="15" s="1"/>
  <c r="B23" i="15"/>
  <c r="F23" i="15" s="1"/>
  <c r="G23" i="15" s="1"/>
  <c r="AA22" i="15"/>
  <c r="E38" i="15"/>
  <c r="V38" i="15" s="1"/>
  <c r="U38" i="15"/>
  <c r="C42" i="15"/>
  <c r="X41" i="15"/>
  <c r="M41" i="15"/>
  <c r="N40" i="15"/>
  <c r="O40" i="15" l="1"/>
  <c r="P40" i="15" s="1"/>
  <c r="A30" i="2"/>
  <c r="A30" i="1"/>
  <c r="A29" i="16"/>
  <c r="C29" i="16" s="1"/>
  <c r="E30" i="2"/>
  <c r="B30" i="16" s="1"/>
  <c r="H38" i="14"/>
  <c r="I38" i="14"/>
  <c r="B39" i="14" s="1"/>
  <c r="F39" i="14" s="1"/>
  <c r="G39" i="14" s="1"/>
  <c r="A42" i="14"/>
  <c r="D42" i="14" s="1"/>
  <c r="E42" i="14" s="1"/>
  <c r="D41" i="14"/>
  <c r="E41" i="14" s="1"/>
  <c r="Q41" i="15"/>
  <c r="K42" i="15"/>
  <c r="L42" i="15" s="1"/>
  <c r="L41" i="15"/>
  <c r="M42" i="15"/>
  <c r="N42" i="15" s="1"/>
  <c r="N41" i="15"/>
  <c r="AB22" i="15"/>
  <c r="AC22" i="15"/>
  <c r="E39" i="15"/>
  <c r="V39" i="15" s="1"/>
  <c r="U39" i="15"/>
  <c r="H23" i="15"/>
  <c r="Z23" i="15" s="1"/>
  <c r="X42" i="15"/>
  <c r="Y38" i="15"/>
  <c r="T40" i="15"/>
  <c r="D40" i="15"/>
  <c r="A41" i="15"/>
  <c r="A31" i="2" l="1"/>
  <c r="A31" i="1"/>
  <c r="E31" i="2"/>
  <c r="B31" i="16" s="1"/>
  <c r="A30" i="16"/>
  <c r="C30" i="16" s="1"/>
  <c r="AD22" i="15"/>
  <c r="AE22" i="15" s="1"/>
  <c r="H39" i="14"/>
  <c r="I39" i="14" s="1"/>
  <c r="B40" i="14" s="1"/>
  <c r="F40" i="14" s="1"/>
  <c r="G40" i="14" s="1"/>
  <c r="I23" i="15"/>
  <c r="E40" i="15"/>
  <c r="V40" i="15" s="1"/>
  <c r="U40" i="15"/>
  <c r="O42" i="15"/>
  <c r="P42" i="15" s="1"/>
  <c r="Y39" i="15"/>
  <c r="D41" i="15"/>
  <c r="T41" i="15"/>
  <c r="A42" i="15"/>
  <c r="O41" i="15"/>
  <c r="P41" i="15" s="1"/>
  <c r="Q42" i="15"/>
  <c r="A32" i="2" l="1"/>
  <c r="A32" i="1"/>
  <c r="A33" i="2" s="1"/>
  <c r="A33" i="16" s="1"/>
  <c r="A31" i="16"/>
  <c r="C31" i="16" s="1"/>
  <c r="E32" i="2"/>
  <c r="B32" i="16" s="1"/>
  <c r="H40" i="14"/>
  <c r="I40" i="14"/>
  <c r="B41" i="14" s="1"/>
  <c r="F41" i="14" s="1"/>
  <c r="G41" i="14" s="1"/>
  <c r="Y40" i="15"/>
  <c r="B24" i="15"/>
  <c r="F24" i="15" s="1"/>
  <c r="G24" i="15" s="1"/>
  <c r="AA23" i="15"/>
  <c r="E41" i="15"/>
  <c r="V41" i="15" s="1"/>
  <c r="U41" i="15"/>
  <c r="D42" i="15"/>
  <c r="T42" i="15"/>
  <c r="A32" i="16" l="1"/>
  <c r="E33" i="2"/>
  <c r="B33" i="16" s="1"/>
  <c r="C33" i="16" s="1"/>
  <c r="D4" i="16" s="1"/>
  <c r="F2" i="16" s="1"/>
  <c r="C32" i="16"/>
  <c r="H41" i="14"/>
  <c r="I41" i="14" s="1"/>
  <c r="B42" i="14" s="1"/>
  <c r="F42" i="14" s="1"/>
  <c r="G42" i="14" s="1"/>
  <c r="E42" i="15"/>
  <c r="V42" i="15" s="1"/>
  <c r="U42" i="15"/>
  <c r="Y41" i="15"/>
  <c r="AB23" i="15"/>
  <c r="AC23" i="15"/>
  <c r="AD23" i="15" s="1"/>
  <c r="AE23" i="15" s="1"/>
  <c r="H24" i="15"/>
  <c r="Z24" i="15" s="1"/>
  <c r="H42" i="14" l="1"/>
  <c r="I42" i="14"/>
  <c r="I24" i="15"/>
  <c r="Y42" i="15"/>
  <c r="AA24" i="15" l="1"/>
  <c r="B25" i="15"/>
  <c r="F25" i="15" s="1"/>
  <c r="G25" i="15" s="1"/>
  <c r="H25" i="15" l="1"/>
  <c r="Z25" i="15" s="1"/>
  <c r="I25" i="15"/>
  <c r="AB24" i="15"/>
  <c r="AC24" i="15"/>
  <c r="AD24" i="15" l="1"/>
  <c r="AE24" i="15" s="1"/>
  <c r="B26" i="15"/>
  <c r="F26" i="15" s="1"/>
  <c r="G26" i="15" s="1"/>
  <c r="AA25" i="15"/>
  <c r="AB25" i="15" l="1"/>
  <c r="AC25" i="15"/>
  <c r="H26" i="15"/>
  <c r="Z26" i="15" s="1"/>
  <c r="I26" i="15"/>
  <c r="B27" i="15" l="1"/>
  <c r="F27" i="15" s="1"/>
  <c r="G27" i="15" s="1"/>
  <c r="AA26" i="15"/>
  <c r="AD25" i="15"/>
  <c r="AE25" i="15" s="1"/>
  <c r="AB26" i="15" l="1"/>
  <c r="AC26" i="15"/>
  <c r="AD26" i="15" s="1"/>
  <c r="AE26" i="15" s="1"/>
  <c r="H27" i="15"/>
  <c r="Z27" i="15" s="1"/>
  <c r="I27" i="15"/>
  <c r="AA27" i="15" l="1"/>
  <c r="B28" i="15"/>
  <c r="F28" i="15" s="1"/>
  <c r="G28" i="15" s="1"/>
  <c r="H28" i="15" l="1"/>
  <c r="Z28" i="15" s="1"/>
  <c r="I28" i="15"/>
  <c r="AB27" i="15"/>
  <c r="AC27" i="15"/>
  <c r="AD27" i="15" l="1"/>
  <c r="AE27" i="15" s="1"/>
  <c r="B29" i="15"/>
  <c r="F29" i="15" s="1"/>
  <c r="G29" i="15" s="1"/>
  <c r="AA28" i="15"/>
  <c r="AB28" i="15" l="1"/>
  <c r="AC28" i="15"/>
  <c r="H29" i="15"/>
  <c r="Z29" i="15" s="1"/>
  <c r="I29" i="15" l="1"/>
  <c r="B30" i="15"/>
  <c r="F30" i="15" s="1"/>
  <c r="G30" i="15" s="1"/>
  <c r="AA29" i="15"/>
  <c r="AD28" i="15"/>
  <c r="AE28" i="15" s="1"/>
  <c r="AB29" i="15" l="1"/>
  <c r="AC29" i="15"/>
  <c r="AD29" i="15" s="1"/>
  <c r="AE29" i="15" s="1"/>
  <c r="H30" i="15"/>
  <c r="Z30" i="15" s="1"/>
  <c r="I30" i="15" l="1"/>
  <c r="AA30" i="15" l="1"/>
  <c r="B31" i="15"/>
  <c r="F31" i="15" s="1"/>
  <c r="G31" i="15" s="1"/>
  <c r="H31" i="15" l="1"/>
  <c r="Z31" i="15" s="1"/>
  <c r="I31" i="15"/>
  <c r="AB30" i="15"/>
  <c r="AC30" i="15"/>
  <c r="AD30" i="15" s="1"/>
  <c r="AE30" i="15" s="1"/>
  <c r="B32" i="15" l="1"/>
  <c r="F32" i="15" s="1"/>
  <c r="G32" i="15" s="1"/>
  <c r="AA31" i="15"/>
  <c r="AB31" i="15" l="1"/>
  <c r="AC31" i="15"/>
  <c r="H32" i="15"/>
  <c r="Z32" i="15" s="1"/>
  <c r="I32" i="15"/>
  <c r="B33" i="15" l="1"/>
  <c r="F33" i="15" s="1"/>
  <c r="G33" i="15" s="1"/>
  <c r="AA32" i="15"/>
  <c r="AD31" i="15"/>
  <c r="AE31" i="15" s="1"/>
  <c r="AB32" i="15" l="1"/>
  <c r="AC32" i="15"/>
  <c r="H33" i="15"/>
  <c r="Z33" i="15" s="1"/>
  <c r="I33" i="15"/>
  <c r="AA33" i="15" l="1"/>
  <c r="B34" i="15"/>
  <c r="F34" i="15" s="1"/>
  <c r="G34" i="15" s="1"/>
  <c r="AD32" i="15"/>
  <c r="AE32" i="15" s="1"/>
  <c r="H34" i="15" l="1"/>
  <c r="Z34" i="15" s="1"/>
  <c r="AB33" i="15"/>
  <c r="AC33" i="15"/>
  <c r="AD33" i="15" l="1"/>
  <c r="AE33" i="15" s="1"/>
  <c r="I34" i="15"/>
  <c r="B35" i="15" l="1"/>
  <c r="F35" i="15" s="1"/>
  <c r="G35" i="15" s="1"/>
  <c r="AA34" i="15"/>
  <c r="AB34" i="15" l="1"/>
  <c r="AC34" i="15"/>
  <c r="H35" i="15"/>
  <c r="Z35" i="15" s="1"/>
  <c r="I35" i="15" l="1"/>
  <c r="AD34" i="15"/>
  <c r="AE34" i="15" s="1"/>
  <c r="B36" i="15"/>
  <c r="F36" i="15" s="1"/>
  <c r="G36" i="15" s="1"/>
  <c r="AA35" i="15"/>
  <c r="AB35" i="15" l="1"/>
  <c r="AC35" i="15"/>
  <c r="AD35" i="15" s="1"/>
  <c r="AE35" i="15" s="1"/>
  <c r="H36" i="15"/>
  <c r="Z36" i="15" s="1"/>
  <c r="I36" i="15"/>
  <c r="AA36" i="15" l="1"/>
  <c r="B37" i="15"/>
  <c r="F37" i="15" s="1"/>
  <c r="G37" i="15" s="1"/>
  <c r="H37" i="15" l="1"/>
  <c r="Z37" i="15" s="1"/>
  <c r="AB36" i="15"/>
  <c r="AD36" i="15" s="1"/>
  <c r="AE36" i="15" s="1"/>
  <c r="AC36" i="15"/>
  <c r="I37" i="15" l="1"/>
  <c r="B38" i="15"/>
  <c r="F38" i="15" s="1"/>
  <c r="G38" i="15" s="1"/>
  <c r="AA37" i="15"/>
  <c r="AB37" i="15" l="1"/>
  <c r="AC37" i="15"/>
  <c r="H38" i="15"/>
  <c r="Z38" i="15" s="1"/>
  <c r="I38" i="15" l="1"/>
  <c r="AD37" i="15"/>
  <c r="AE37" i="15" s="1"/>
  <c r="B39" i="15" l="1"/>
  <c r="F39" i="15" s="1"/>
  <c r="G39" i="15" s="1"/>
  <c r="AA38" i="15"/>
  <c r="AB38" i="15" l="1"/>
  <c r="AC38" i="15"/>
  <c r="AD38" i="15" s="1"/>
  <c r="AE38" i="15" s="1"/>
  <c r="H39" i="15"/>
  <c r="Z39" i="15" s="1"/>
  <c r="I39" i="15" l="1"/>
  <c r="AA39" i="15" l="1"/>
  <c r="B40" i="15"/>
  <c r="F40" i="15" s="1"/>
  <c r="G40" i="15" s="1"/>
  <c r="H40" i="15" l="1"/>
  <c r="Z40" i="15" s="1"/>
  <c r="I40" i="15"/>
  <c r="AB39" i="15"/>
  <c r="AC39" i="15"/>
  <c r="AD39" i="15" l="1"/>
  <c r="AE39" i="15" s="1"/>
  <c r="B41" i="15"/>
  <c r="F41" i="15" s="1"/>
  <c r="G41" i="15" s="1"/>
  <c r="AA40" i="15"/>
  <c r="AB40" i="15" l="1"/>
  <c r="AC40" i="15"/>
  <c r="H41" i="15"/>
  <c r="Z41" i="15" s="1"/>
  <c r="I41" i="15"/>
  <c r="B42" i="15" l="1"/>
  <c r="F42" i="15" s="1"/>
  <c r="G42" i="15" s="1"/>
  <c r="AA41" i="15"/>
  <c r="AD40" i="15"/>
  <c r="AE40" i="15" s="1"/>
  <c r="AB41" i="15" l="1"/>
  <c r="AC41" i="15"/>
  <c r="H42" i="15"/>
  <c r="Z42" i="15" s="1"/>
  <c r="I42" i="15"/>
  <c r="AA42" i="15" s="1"/>
  <c r="AB42" i="15" l="1"/>
  <c r="AC42" i="15"/>
  <c r="AD41" i="15"/>
  <c r="AE41" i="15" s="1"/>
  <c r="AD42" i="15" l="1"/>
  <c r="AE42" i="15" s="1"/>
</calcChain>
</file>

<file path=xl/sharedStrings.xml><?xml version="1.0" encoding="utf-8"?>
<sst xmlns="http://schemas.openxmlformats.org/spreadsheetml/2006/main" count="200" uniqueCount="132">
  <si>
    <t>t</t>
  </si>
  <si>
    <t>r</t>
  </si>
  <si>
    <t>ft+r</t>
  </si>
  <si>
    <t>Year</t>
  </si>
  <si>
    <t>Fund value at end of the year</t>
  </si>
  <si>
    <t>Returns earned during the year</t>
  </si>
  <si>
    <t>Fund value at start of the year</t>
  </si>
  <si>
    <t>(1+ft+r)</t>
  </si>
  <si>
    <t>yt</t>
  </si>
  <si>
    <t>&lt;for correct first spot rate</t>
  </si>
  <si>
    <t>v^n</t>
  </si>
  <si>
    <t>PWR Company</t>
  </si>
  <si>
    <t>XYZ Health</t>
  </si>
  <si>
    <t>Time</t>
  </si>
  <si>
    <t>Time period</t>
  </si>
  <si>
    <t>Premium Income</t>
  </si>
  <si>
    <t>Solved in lakhs</t>
  </si>
  <si>
    <t>Expenses</t>
  </si>
  <si>
    <t>Inflation</t>
  </si>
  <si>
    <t>Lapse for premiums</t>
  </si>
  <si>
    <t>Premium income at start</t>
  </si>
  <si>
    <t>Expected Claims</t>
  </si>
  <si>
    <t>Investment returns</t>
  </si>
  <si>
    <t xml:space="preserve">Investment growth </t>
  </si>
  <si>
    <t>Tax</t>
  </si>
  <si>
    <t>Tax on premium</t>
  </si>
  <si>
    <t>Tax on inv income</t>
  </si>
  <si>
    <t>Total cashflows</t>
  </si>
  <si>
    <t>Expenses at start</t>
  </si>
  <si>
    <t>Reserves</t>
  </si>
  <si>
    <t>Expected claims year 1</t>
  </si>
  <si>
    <t>Actual payout net of reserves</t>
  </si>
  <si>
    <t>One time capital</t>
  </si>
  <si>
    <t>PMR Health</t>
  </si>
  <si>
    <t>Growth in claims</t>
  </si>
  <si>
    <t>NPV</t>
  </si>
  <si>
    <t>Forward rates</t>
  </si>
  <si>
    <t>IRR</t>
  </si>
  <si>
    <t>PV at IRR</t>
  </si>
  <si>
    <t>Important to remember that NPV for PMR is higher but there are several years of negative returns as well which may be worse in the long term</t>
  </si>
  <si>
    <t>The investments being in volatile markets might be very risky, as there are no consistent returns</t>
  </si>
  <si>
    <t>To be on the safe side, XYZ is the better and safer choice, but purely on numbers PMR is the company to purchase.</t>
  </si>
  <si>
    <t>Time (in years)</t>
  </si>
  <si>
    <t>Cost of takeover</t>
  </si>
  <si>
    <t>lapse</t>
  </si>
  <si>
    <t>inflation</t>
  </si>
  <si>
    <t>claims</t>
  </si>
  <si>
    <t>growth</t>
  </si>
  <si>
    <t>reserves1</t>
  </si>
  <si>
    <t>tp</t>
  </si>
  <si>
    <t>ti</t>
  </si>
  <si>
    <t>Investment income at start</t>
  </si>
  <si>
    <t>&lt;goal seek to make M13 0</t>
  </si>
  <si>
    <t>&lt;goal seek to make AA13 0</t>
  </si>
  <si>
    <t>Loan amount</t>
  </si>
  <si>
    <t>Term</t>
  </si>
  <si>
    <t>Interest rate</t>
  </si>
  <si>
    <t xml:space="preserve">a. </t>
  </si>
  <si>
    <t>Annuity factor</t>
  </si>
  <si>
    <t>Repayment amount</t>
  </si>
  <si>
    <t>b.</t>
  </si>
  <si>
    <t>Repayment</t>
  </si>
  <si>
    <t>Interest</t>
  </si>
  <si>
    <t>Capital</t>
  </si>
  <si>
    <t>Loan at start</t>
  </si>
  <si>
    <t>Loan at end</t>
  </si>
  <si>
    <t>Step</t>
  </si>
  <si>
    <t>Increasing annuity</t>
  </si>
  <si>
    <t>Annuity advance</t>
  </si>
  <si>
    <t>Repayment before payments begin</t>
  </si>
  <si>
    <t>CHECK</t>
  </si>
  <si>
    <t>&lt;by goal seek</t>
  </si>
  <si>
    <t>Decreasing amount</t>
  </si>
  <si>
    <t>c.</t>
  </si>
  <si>
    <t>Repayments for first 6 years</t>
  </si>
  <si>
    <t>Repayments for next 6 years</t>
  </si>
  <si>
    <t>Loan Amount</t>
  </si>
  <si>
    <t>Annutiy for 6 years</t>
  </si>
  <si>
    <t>v^6</t>
  </si>
  <si>
    <t>Total repayments</t>
  </si>
  <si>
    <t>Part i a</t>
  </si>
  <si>
    <t>Part i b</t>
  </si>
  <si>
    <t>Interest component</t>
  </si>
  <si>
    <t>Age</t>
  </si>
  <si>
    <t>Independent rate of mortality</t>
  </si>
  <si>
    <t>Male</t>
  </si>
  <si>
    <t>Female</t>
  </si>
  <si>
    <t>qx</t>
  </si>
  <si>
    <t>qy</t>
  </si>
  <si>
    <t>Policy year</t>
  </si>
  <si>
    <t>Premium</t>
  </si>
  <si>
    <t>Growth</t>
  </si>
  <si>
    <t>Initial</t>
  </si>
  <si>
    <t>Renewal</t>
  </si>
  <si>
    <t>Commission</t>
  </si>
  <si>
    <t>Growth rate</t>
  </si>
  <si>
    <t>Unit fund</t>
  </si>
  <si>
    <t>Non unit cashflows</t>
  </si>
  <si>
    <t>Premium allocation</t>
  </si>
  <si>
    <t>Bid offer spread</t>
  </si>
  <si>
    <t>Management fees</t>
  </si>
  <si>
    <t>Risk discount rate</t>
  </si>
  <si>
    <t>Sum Assured</t>
  </si>
  <si>
    <t>Unit fund at start</t>
  </si>
  <si>
    <t>Allocated premium</t>
  </si>
  <si>
    <t>Bid-offer spread</t>
  </si>
  <si>
    <t>Unit fund before growth</t>
  </si>
  <si>
    <t>Unit fund after growth</t>
  </si>
  <si>
    <t>Value of units at end</t>
  </si>
  <si>
    <t>Copy of previous sheet</t>
  </si>
  <si>
    <t>Age (male)</t>
  </si>
  <si>
    <t>Age (Female)</t>
  </si>
  <si>
    <t>Dependent aq(xy) rates</t>
  </si>
  <si>
    <t>Survival rates ap(xy)</t>
  </si>
  <si>
    <t>Cumulative rates (t-1)ap(xy)</t>
  </si>
  <si>
    <t>Non unit cashflows&gt;</t>
  </si>
  <si>
    <t>Unallocated premium</t>
  </si>
  <si>
    <t>^3 &amp; onwards</t>
  </si>
  <si>
    <t>Mgmt fees</t>
  </si>
  <si>
    <t>Cost of death benefit</t>
  </si>
  <si>
    <t>Maturity benefit</t>
  </si>
  <si>
    <t>Profit Vector</t>
  </si>
  <si>
    <t>Profit signature</t>
  </si>
  <si>
    <t>NPV is a better measure since it gives the value of the project at start and explains if the project is going to be viable</t>
  </si>
  <si>
    <t>Alternatively - IRR is a better measure of project viabliity because it is easier to compare with the IRR of another project</t>
  </si>
  <si>
    <t>Alternatively, with sum of geometric progression</t>
  </si>
  <si>
    <t>Cashflows</t>
  </si>
  <si>
    <t xml:space="preserve">However, NPV (70.1 lakhs) for PMR is higher. </t>
  </si>
  <si>
    <t>IRR (5.68%) for XYZ is higher than that of PMR which is 5.29%. Though the difference is only for a few basis points.</t>
  </si>
  <si>
    <t>Par yield</t>
  </si>
  <si>
    <t>1 for cumulative claims against reserves
1 for remaining amount</t>
  </si>
  <si>
    <t>Any 4 of the above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</si>
</sst>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000%"/>
    <numFmt numFmtId="166" formatCode="_ * #,##0.000000_ ;_ * \-#,##0.000000_ ;_ * &quot;-&quot;??_ ;_ @_ 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0" tint="-0.34998626667073579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/>
    <xf numFmtId="167" fontId="1" fillId="0" borderId="0"/>
    <xf numFmtId="9" fontId="1" fillId="0" borderId="0"/>
  </cellStyleXfs>
  <cellXfs count="34">
    <xf numFmtId="0" fontId="0" fillId="0" borderId="0" xfId="0"/>
    <xf numFmtId="10" fontId="0" fillId="0" borderId="0" xfId="2" applyNumberFormat="1" applyFon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0" fontId="0" fillId="0" borderId="0" xfId="0" applyNumberFormat="1"/>
    <xf numFmtId="0" fontId="2" fillId="0" borderId="0" xfId="0" applyFont="1"/>
    <xf numFmtId="0" fontId="4" fillId="0" borderId="0" xfId="0" applyFont="1"/>
    <xf numFmtId="9" fontId="0" fillId="0" borderId="0" xfId="0" applyNumberFormat="1"/>
    <xf numFmtId="43" fontId="0" fillId="2" borderId="0" xfId="1" applyFont="1" applyFill="1"/>
    <xf numFmtId="0" fontId="3" fillId="0" borderId="0" xfId="0" applyFont="1"/>
    <xf numFmtId="0" fontId="5" fillId="0" borderId="0" xfId="0" applyFont="1"/>
    <xf numFmtId="43" fontId="0" fillId="2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4" fontId="2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 vertical="center" wrapText="1"/>
    </xf>
    <xf numFmtId="0" fontId="0" fillId="4" borderId="0" xfId="0" applyFill="1"/>
    <xf numFmtId="169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Percent" xfId="2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/>
  </sheetViews>
  <sheetFormatPr defaultRowHeight="14.4" x14ac:dyDescent="0.3"/>
  <cols>
    <col min="8" max="8" width="26.109375" bestFit="1" customWidth="1"/>
    <col min="9" max="9" width="25.44140625" bestFit="1" customWidth="1"/>
    <col min="10" max="10" width="27.109375" bestFit="1" customWidth="1"/>
  </cols>
  <sheetData>
    <row r="1" spans="1:10" x14ac:dyDescent="0.3">
      <c r="A1" t="s">
        <v>0</v>
      </c>
      <c r="B1" t="s">
        <v>1</v>
      </c>
      <c r="C1" t="s">
        <v>2</v>
      </c>
      <c r="I1" t="s">
        <v>11</v>
      </c>
    </row>
    <row r="2" spans="1:10" x14ac:dyDescent="0.3">
      <c r="A2">
        <v>0</v>
      </c>
      <c r="B2">
        <v>1</v>
      </c>
      <c r="C2" s="1">
        <v>4.3499999999999997E-2</v>
      </c>
      <c r="G2" t="s">
        <v>3</v>
      </c>
      <c r="H2" t="s">
        <v>6</v>
      </c>
      <c r="I2" t="s">
        <v>4</v>
      </c>
      <c r="J2" t="s">
        <v>5</v>
      </c>
    </row>
    <row r="3" spans="1:10" x14ac:dyDescent="0.3">
      <c r="A3">
        <v>1</v>
      </c>
      <c r="B3">
        <v>1</v>
      </c>
      <c r="C3" s="1">
        <v>4.4499999999999998E-2</v>
      </c>
      <c r="G3">
        <v>1</v>
      </c>
      <c r="H3" s="3">
        <f>I3*1.02</f>
        <v>347999359.17141783</v>
      </c>
      <c r="I3" s="3">
        <v>341175842.32491946</v>
      </c>
      <c r="J3" s="1">
        <v>2.0223362520388002E-2</v>
      </c>
    </row>
    <row r="4" spans="1:10" x14ac:dyDescent="0.3">
      <c r="A4">
        <f>A3+1</f>
        <v>2</v>
      </c>
      <c r="B4">
        <v>1</v>
      </c>
      <c r="C4" s="1">
        <v>4.4999999999999998E-2</v>
      </c>
      <c r="G4">
        <f>G3+1</f>
        <v>2</v>
      </c>
      <c r="H4" s="3">
        <f>I3</f>
        <v>341175842.32491946</v>
      </c>
      <c r="I4" s="3">
        <f>I3*1.05</f>
        <v>358234634.44116545</v>
      </c>
      <c r="J4" s="1">
        <v>1.9810009342349499E-2</v>
      </c>
    </row>
    <row r="5" spans="1:10" x14ac:dyDescent="0.3">
      <c r="A5">
        <f t="shared" ref="A5:A32" si="0">A4+1</f>
        <v>3</v>
      </c>
      <c r="B5">
        <v>1</v>
      </c>
      <c r="C5" s="1">
        <v>4.7800000000000002E-2</v>
      </c>
      <c r="G5">
        <f t="shared" ref="G5:G18" si="1">G4+1</f>
        <v>3</v>
      </c>
      <c r="H5" s="3">
        <f t="shared" ref="H5:H18" si="2">I4</f>
        <v>358234634.44116545</v>
      </c>
      <c r="I5" s="3">
        <f>I4*1.05</f>
        <v>376146366.16322374</v>
      </c>
      <c r="J5" s="1">
        <v>6.3961167559296733E-2</v>
      </c>
    </row>
    <row r="6" spans="1:10" x14ac:dyDescent="0.3">
      <c r="A6">
        <f t="shared" si="0"/>
        <v>4</v>
      </c>
      <c r="B6">
        <v>1</v>
      </c>
      <c r="C6" s="1">
        <v>4.99E-2</v>
      </c>
      <c r="G6">
        <f t="shared" si="1"/>
        <v>4</v>
      </c>
      <c r="H6" s="3">
        <f t="shared" si="2"/>
        <v>376146366.16322374</v>
      </c>
      <c r="I6" s="3">
        <f>I5*1.05</f>
        <v>394953684.47138494</v>
      </c>
      <c r="J6" s="1">
        <v>-4.9556740215326897E-2</v>
      </c>
    </row>
    <row r="7" spans="1:10" x14ac:dyDescent="0.3">
      <c r="A7">
        <f t="shared" si="0"/>
        <v>5</v>
      </c>
      <c r="B7">
        <v>1</v>
      </c>
      <c r="C7" s="1">
        <v>5.1999999999999998E-2</v>
      </c>
      <c r="G7">
        <f t="shared" si="1"/>
        <v>5</v>
      </c>
      <c r="H7" s="3">
        <f t="shared" si="2"/>
        <v>394953684.47138494</v>
      </c>
      <c r="I7" s="3">
        <f>I6*1.05</f>
        <v>414701368.69495422</v>
      </c>
      <c r="J7" s="1">
        <v>3.1109999999999999E-2</v>
      </c>
    </row>
    <row r="8" spans="1:10" x14ac:dyDescent="0.3">
      <c r="A8">
        <f t="shared" si="0"/>
        <v>6</v>
      </c>
      <c r="B8">
        <v>1</v>
      </c>
      <c r="C8" s="1">
        <v>5.3699999999999998E-2</v>
      </c>
      <c r="G8">
        <f t="shared" si="1"/>
        <v>6</v>
      </c>
      <c r="H8" s="3">
        <f t="shared" si="2"/>
        <v>414701368.69495422</v>
      </c>
      <c r="I8" s="3">
        <f>I7*0.9</f>
        <v>373231231.82545882</v>
      </c>
      <c r="J8" s="1">
        <v>1.4E-2</v>
      </c>
    </row>
    <row r="9" spans="1:10" x14ac:dyDescent="0.3">
      <c r="A9">
        <f t="shared" si="0"/>
        <v>7</v>
      </c>
      <c r="B9">
        <v>1</v>
      </c>
      <c r="C9" s="1">
        <v>5.9900000000000002E-2</v>
      </c>
      <c r="G9">
        <f t="shared" si="1"/>
        <v>7</v>
      </c>
      <c r="H9" s="3">
        <f t="shared" si="2"/>
        <v>373231231.82545882</v>
      </c>
      <c r="I9" s="3">
        <f>I8*0.9</f>
        <v>335908108.64291292</v>
      </c>
      <c r="J9" s="1">
        <v>5.2335E-2</v>
      </c>
    </row>
    <row r="10" spans="1:10" x14ac:dyDescent="0.3">
      <c r="A10">
        <f t="shared" si="0"/>
        <v>8</v>
      </c>
      <c r="B10">
        <v>1</v>
      </c>
      <c r="C10" s="1">
        <v>5.7000000000000002E-2</v>
      </c>
      <c r="G10">
        <f t="shared" si="1"/>
        <v>8</v>
      </c>
      <c r="H10" s="3">
        <f t="shared" si="2"/>
        <v>335908108.64291292</v>
      </c>
      <c r="I10" s="3">
        <f>I9*0.9</f>
        <v>302317297.77862161</v>
      </c>
      <c r="J10" s="1">
        <v>-1.43175188149091E-2</v>
      </c>
    </row>
    <row r="11" spans="1:10" x14ac:dyDescent="0.3">
      <c r="A11">
        <f t="shared" si="0"/>
        <v>9</v>
      </c>
      <c r="B11">
        <v>1</v>
      </c>
      <c r="C11" s="1">
        <v>0.06</v>
      </c>
      <c r="G11">
        <f t="shared" si="1"/>
        <v>9</v>
      </c>
      <c r="H11" s="3">
        <f t="shared" si="2"/>
        <v>302317297.77862161</v>
      </c>
      <c r="I11" s="3">
        <f>I10*1.07</f>
        <v>323479508.62312514</v>
      </c>
      <c r="J11" s="1">
        <v>4.9843195998394707E-3</v>
      </c>
    </row>
    <row r="12" spans="1:10" x14ac:dyDescent="0.3">
      <c r="A12">
        <f t="shared" si="0"/>
        <v>10</v>
      </c>
      <c r="B12">
        <v>1</v>
      </c>
      <c r="C12" s="1">
        <v>6.0100000000000001E-2</v>
      </c>
      <c r="G12">
        <f t="shared" si="1"/>
        <v>10</v>
      </c>
      <c r="H12" s="3">
        <f t="shared" si="2"/>
        <v>323479508.62312514</v>
      </c>
      <c r="I12" s="3">
        <f>I11*1.07</f>
        <v>346123074.22674394</v>
      </c>
      <c r="J12" s="1">
        <v>6.3653038790984745E-2</v>
      </c>
    </row>
    <row r="13" spans="1:10" x14ac:dyDescent="0.3">
      <c r="A13">
        <f t="shared" si="0"/>
        <v>11</v>
      </c>
      <c r="B13">
        <v>1</v>
      </c>
      <c r="C13" s="1">
        <v>6.0600000000000001E-2</v>
      </c>
      <c r="G13">
        <f t="shared" si="1"/>
        <v>11</v>
      </c>
      <c r="H13" s="3">
        <f t="shared" si="2"/>
        <v>346123074.22674394</v>
      </c>
      <c r="I13" s="3">
        <f>I12*1.07</f>
        <v>370351689.422616</v>
      </c>
      <c r="J13" s="1">
        <v>1.4638888823794382E-3</v>
      </c>
    </row>
    <row r="14" spans="1:10" x14ac:dyDescent="0.3">
      <c r="A14">
        <f t="shared" si="0"/>
        <v>12</v>
      </c>
      <c r="B14">
        <v>1</v>
      </c>
      <c r="C14" s="1">
        <v>6.0999999999999999E-2</v>
      </c>
      <c r="G14">
        <f t="shared" si="1"/>
        <v>12</v>
      </c>
      <c r="H14" s="3">
        <f t="shared" si="2"/>
        <v>370351689.422616</v>
      </c>
      <c r="I14" s="3">
        <f>I13*0.8</f>
        <v>296281351.53809279</v>
      </c>
      <c r="J14" s="1">
        <v>-3.4209999999999997E-2</v>
      </c>
    </row>
    <row r="15" spans="1:10" x14ac:dyDescent="0.3">
      <c r="A15">
        <f t="shared" si="0"/>
        <v>13</v>
      </c>
      <c r="B15">
        <v>1</v>
      </c>
      <c r="C15" s="1">
        <v>6.1499999999999999E-2</v>
      </c>
      <c r="G15">
        <f t="shared" si="1"/>
        <v>13</v>
      </c>
      <c r="H15" s="3">
        <f t="shared" si="2"/>
        <v>296281351.53809279</v>
      </c>
      <c r="I15" s="3">
        <f>I14*0.8</f>
        <v>237025081.23047423</v>
      </c>
      <c r="J15" s="1">
        <v>5.5846683184352042E-2</v>
      </c>
    </row>
    <row r="16" spans="1:10" x14ac:dyDescent="0.3">
      <c r="A16">
        <f t="shared" si="0"/>
        <v>14</v>
      </c>
      <c r="B16">
        <v>1</v>
      </c>
      <c r="C16" s="1">
        <v>6.2799999999999995E-2</v>
      </c>
      <c r="G16">
        <f t="shared" si="1"/>
        <v>14</v>
      </c>
      <c r="H16" s="3">
        <f t="shared" si="2"/>
        <v>237025081.23047423</v>
      </c>
      <c r="I16" s="3">
        <f>I15*0.8</f>
        <v>189620064.98437941</v>
      </c>
      <c r="J16" s="1">
        <v>8.3836948915679582E-2</v>
      </c>
    </row>
    <row r="17" spans="1:10" x14ac:dyDescent="0.3">
      <c r="A17">
        <f t="shared" si="0"/>
        <v>15</v>
      </c>
      <c r="B17">
        <v>1</v>
      </c>
      <c r="C17" s="1">
        <v>6.3299999999999995E-2</v>
      </c>
      <c r="G17">
        <f t="shared" si="1"/>
        <v>15</v>
      </c>
      <c r="H17" s="3">
        <f t="shared" si="2"/>
        <v>189620064.98437941</v>
      </c>
      <c r="I17" s="3">
        <f>I16*0.8</f>
        <v>151696051.98750353</v>
      </c>
      <c r="J17" s="1">
        <v>7.6782021228311598E-2</v>
      </c>
    </row>
    <row r="18" spans="1:10" x14ac:dyDescent="0.3">
      <c r="A18">
        <f t="shared" si="0"/>
        <v>16</v>
      </c>
      <c r="B18">
        <v>1</v>
      </c>
      <c r="C18" s="1">
        <v>6.4299999999999996E-2</v>
      </c>
      <c r="G18">
        <f t="shared" si="1"/>
        <v>16</v>
      </c>
      <c r="H18" s="3">
        <f t="shared" si="2"/>
        <v>151696051.98750353</v>
      </c>
      <c r="I18" s="3">
        <f>I17*0.8</f>
        <v>121356841.59000283</v>
      </c>
      <c r="J18" s="1">
        <v>2.5223200000000001E-2</v>
      </c>
    </row>
    <row r="19" spans="1:10" x14ac:dyDescent="0.3">
      <c r="A19">
        <f t="shared" si="0"/>
        <v>17</v>
      </c>
      <c r="B19">
        <v>1</v>
      </c>
      <c r="C19" s="1">
        <v>6.4899999999999999E-2</v>
      </c>
    </row>
    <row r="20" spans="1:10" x14ac:dyDescent="0.3">
      <c r="A20">
        <f t="shared" si="0"/>
        <v>18</v>
      </c>
      <c r="B20">
        <v>1</v>
      </c>
      <c r="C20" s="1">
        <v>6.5799999999999997E-2</v>
      </c>
    </row>
    <row r="21" spans="1:10" x14ac:dyDescent="0.3">
      <c r="A21">
        <f t="shared" si="0"/>
        <v>19</v>
      </c>
      <c r="B21">
        <v>1</v>
      </c>
      <c r="C21" s="1">
        <v>6.59E-2</v>
      </c>
    </row>
    <row r="22" spans="1:10" x14ac:dyDescent="0.3">
      <c r="A22">
        <f t="shared" si="0"/>
        <v>20</v>
      </c>
      <c r="B22">
        <v>1</v>
      </c>
      <c r="C22" s="1">
        <v>6.6199999999999995E-2</v>
      </c>
    </row>
    <row r="23" spans="1:10" x14ac:dyDescent="0.3">
      <c r="A23">
        <f t="shared" si="0"/>
        <v>21</v>
      </c>
      <c r="B23">
        <v>1</v>
      </c>
      <c r="C23" s="1">
        <v>6.6900000000000001E-2</v>
      </c>
    </row>
    <row r="24" spans="1:10" x14ac:dyDescent="0.3">
      <c r="A24">
        <f t="shared" si="0"/>
        <v>22</v>
      </c>
      <c r="B24">
        <v>1</v>
      </c>
      <c r="C24" s="1">
        <v>6.8000000000000005E-2</v>
      </c>
    </row>
    <row r="25" spans="1:10" x14ac:dyDescent="0.3">
      <c r="A25">
        <f t="shared" si="0"/>
        <v>23</v>
      </c>
      <c r="B25">
        <v>1</v>
      </c>
      <c r="C25" s="1">
        <v>6.8500000000000005E-2</v>
      </c>
    </row>
    <row r="26" spans="1:10" x14ac:dyDescent="0.3">
      <c r="A26">
        <f t="shared" si="0"/>
        <v>24</v>
      </c>
      <c r="B26">
        <v>1</v>
      </c>
      <c r="C26" s="1">
        <v>6.9000000000000006E-2</v>
      </c>
    </row>
    <row r="27" spans="1:10" x14ac:dyDescent="0.3">
      <c r="A27">
        <f t="shared" si="0"/>
        <v>25</v>
      </c>
      <c r="B27">
        <v>1</v>
      </c>
      <c r="C27" s="1">
        <v>6.9099999999999995E-2</v>
      </c>
    </row>
    <row r="28" spans="1:10" x14ac:dyDescent="0.3">
      <c r="A28">
        <f t="shared" si="0"/>
        <v>26</v>
      </c>
      <c r="B28">
        <v>1</v>
      </c>
      <c r="C28" s="1">
        <v>6.93E-2</v>
      </c>
    </row>
    <row r="29" spans="1:10" x14ac:dyDescent="0.3">
      <c r="A29">
        <f t="shared" si="0"/>
        <v>27</v>
      </c>
      <c r="B29">
        <v>1</v>
      </c>
      <c r="C29" s="1">
        <v>6.9900000000000004E-2</v>
      </c>
    </row>
    <row r="30" spans="1:10" x14ac:dyDescent="0.3">
      <c r="A30">
        <f t="shared" si="0"/>
        <v>28</v>
      </c>
      <c r="B30">
        <v>1</v>
      </c>
      <c r="C30" s="1">
        <v>7.0000000000000007E-2</v>
      </c>
    </row>
    <row r="31" spans="1:10" x14ac:dyDescent="0.3">
      <c r="A31">
        <f t="shared" si="0"/>
        <v>29</v>
      </c>
      <c r="B31">
        <v>1</v>
      </c>
      <c r="C31" s="1">
        <v>7.0999999999999994E-2</v>
      </c>
    </row>
    <row r="32" spans="1:10" x14ac:dyDescent="0.3">
      <c r="A32">
        <f t="shared" si="0"/>
        <v>30</v>
      </c>
      <c r="B32">
        <v>1</v>
      </c>
      <c r="C32" s="1">
        <v>7.1499999999999994E-2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D13"/>
  <sheetViews>
    <sheetView workbookViewId="0"/>
  </sheetViews>
  <sheetFormatPr defaultRowHeight="14.4" x14ac:dyDescent="0.3"/>
  <cols>
    <col min="2" max="2" width="24.77734375" bestFit="1" customWidth="1"/>
    <col min="3" max="3" width="12.21875" bestFit="1" customWidth="1"/>
  </cols>
  <sheetData>
    <row r="3" spans="2:4" x14ac:dyDescent="0.3">
      <c r="B3" t="s">
        <v>74</v>
      </c>
      <c r="C3" s="3">
        <v>650000</v>
      </c>
    </row>
    <row r="4" spans="2:4" x14ac:dyDescent="0.3">
      <c r="B4" t="s">
        <v>75</v>
      </c>
      <c r="C4" s="3">
        <v>200000</v>
      </c>
    </row>
    <row r="6" spans="2:4" x14ac:dyDescent="0.3">
      <c r="B6" t="s">
        <v>56</v>
      </c>
      <c r="C6" s="5">
        <v>5.5E-2</v>
      </c>
    </row>
    <row r="7" spans="2:4" x14ac:dyDescent="0.3">
      <c r="B7" t="s">
        <v>55</v>
      </c>
      <c r="C7">
        <v>12</v>
      </c>
    </row>
    <row r="8" spans="2:4" x14ac:dyDescent="0.3">
      <c r="C8" s="20"/>
    </row>
    <row r="9" spans="2:4" x14ac:dyDescent="0.3">
      <c r="B9" t="s">
        <v>78</v>
      </c>
      <c r="C9" s="20">
        <f>(1+C6)^-6</f>
        <v>0.72524583302459655</v>
      </c>
      <c r="D9" s="6">
        <v>1</v>
      </c>
    </row>
    <row r="10" spans="2:4" x14ac:dyDescent="0.3">
      <c r="B10" t="s">
        <v>77</v>
      </c>
      <c r="C10" s="20">
        <f>(1-C9)/C6</f>
        <v>4.9955303086436986</v>
      </c>
      <c r="D10" s="6">
        <v>2</v>
      </c>
    </row>
    <row r="11" spans="2:4" x14ac:dyDescent="0.3">
      <c r="D11" s="6"/>
    </row>
    <row r="12" spans="2:4" x14ac:dyDescent="0.3">
      <c r="B12" t="s">
        <v>76</v>
      </c>
      <c r="C12" s="18">
        <f>C3*C10+C4*C10*C9</f>
        <v>3971692.2086367877</v>
      </c>
      <c r="D12" s="6">
        <v>2</v>
      </c>
    </row>
    <row r="13" spans="2:4" x14ac:dyDescent="0.3">
      <c r="D13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40"/>
  <sheetViews>
    <sheetView workbookViewId="0"/>
  </sheetViews>
  <sheetFormatPr defaultRowHeight="14.4" x14ac:dyDescent="0.3"/>
  <cols>
    <col min="2" max="2" width="4.5546875" bestFit="1" customWidth="1"/>
    <col min="3" max="4" width="9.77734375" bestFit="1" customWidth="1"/>
  </cols>
  <sheetData>
    <row r="2" spans="2:7" ht="35.549999999999997" customHeight="1" x14ac:dyDescent="0.3">
      <c r="B2" s="28" t="s">
        <v>83</v>
      </c>
      <c r="C2" s="31" t="s">
        <v>84</v>
      </c>
      <c r="D2" s="32"/>
    </row>
    <row r="3" spans="2:7" x14ac:dyDescent="0.3">
      <c r="B3" s="29"/>
      <c r="C3" s="25" t="s">
        <v>85</v>
      </c>
      <c r="D3" s="25" t="s">
        <v>86</v>
      </c>
    </row>
    <row r="4" spans="2:7" x14ac:dyDescent="0.3">
      <c r="B4" s="30"/>
      <c r="C4" s="25" t="s">
        <v>87</v>
      </c>
      <c r="D4" s="25" t="s">
        <v>88</v>
      </c>
      <c r="F4" t="s">
        <v>3</v>
      </c>
      <c r="G4" t="s">
        <v>98</v>
      </c>
    </row>
    <row r="5" spans="2:7" x14ac:dyDescent="0.3">
      <c r="B5" s="22">
        <v>30</v>
      </c>
      <c r="C5" s="24">
        <v>5.669999999999999E-4</v>
      </c>
      <c r="D5" s="22">
        <v>5.6959999999999997E-4</v>
      </c>
      <c r="F5">
        <v>1</v>
      </c>
      <c r="G5" s="8">
        <v>0.86</v>
      </c>
    </row>
    <row r="6" spans="2:7" x14ac:dyDescent="0.3">
      <c r="B6" s="22">
        <v>31</v>
      </c>
      <c r="C6" s="24">
        <v>6.0480000000000006E-4</v>
      </c>
      <c r="D6" s="22">
        <v>6.112E-4</v>
      </c>
      <c r="F6">
        <v>2</v>
      </c>
      <c r="G6" s="8">
        <v>0.94</v>
      </c>
    </row>
    <row r="7" spans="2:7" x14ac:dyDescent="0.3">
      <c r="B7" s="22">
        <v>32</v>
      </c>
      <c r="C7" s="23">
        <v>6.446999999999999E-4</v>
      </c>
      <c r="D7" s="23">
        <v>6.5039999999999998E-4</v>
      </c>
      <c r="F7">
        <v>3</v>
      </c>
      <c r="G7" s="8">
        <v>1</v>
      </c>
    </row>
    <row r="8" spans="2:7" x14ac:dyDescent="0.3">
      <c r="B8" s="22">
        <v>33</v>
      </c>
      <c r="C8" s="23">
        <v>6.9160000000000011E-4</v>
      </c>
      <c r="D8" s="23">
        <v>6.8720000000000001E-4</v>
      </c>
      <c r="F8" t="s">
        <v>117</v>
      </c>
    </row>
    <row r="9" spans="2:7" x14ac:dyDescent="0.3">
      <c r="B9" s="22">
        <v>34</v>
      </c>
      <c r="C9" s="23">
        <v>7.4269999999999989E-4</v>
      </c>
      <c r="D9" s="23">
        <v>7.2800000000000002E-4</v>
      </c>
    </row>
    <row r="10" spans="2:7" x14ac:dyDescent="0.3">
      <c r="B10" s="22">
        <v>35</v>
      </c>
      <c r="C10" s="23">
        <v>7.9030000000000007E-4</v>
      </c>
      <c r="D10" s="23">
        <v>7.7439999999999996E-4</v>
      </c>
    </row>
    <row r="11" spans="2:7" x14ac:dyDescent="0.3">
      <c r="B11" s="22">
        <v>36</v>
      </c>
      <c r="C11" s="23">
        <v>8.343999999999999E-4</v>
      </c>
      <c r="D11" s="23">
        <v>8.2399999999999997E-4</v>
      </c>
    </row>
    <row r="12" spans="2:7" x14ac:dyDescent="0.3">
      <c r="B12" s="22">
        <v>37</v>
      </c>
      <c r="C12" s="23">
        <v>8.7849999999999994E-4</v>
      </c>
      <c r="D12" s="23">
        <v>8.7680000000000006E-4</v>
      </c>
    </row>
    <row r="13" spans="2:7" x14ac:dyDescent="0.3">
      <c r="B13" s="22">
        <v>38</v>
      </c>
      <c r="C13" s="23">
        <v>9.3239999999999979E-4</v>
      </c>
      <c r="D13" s="23">
        <v>9.3600000000000009E-4</v>
      </c>
    </row>
    <row r="14" spans="2:7" x14ac:dyDescent="0.3">
      <c r="B14" s="22">
        <v>39</v>
      </c>
      <c r="C14" s="23">
        <v>1.0030999999999998E-3</v>
      </c>
      <c r="D14" s="23">
        <v>1.0031999999999999E-3</v>
      </c>
    </row>
    <row r="15" spans="2:7" x14ac:dyDescent="0.3">
      <c r="B15" s="22">
        <v>40</v>
      </c>
      <c r="C15" s="23">
        <v>1.0920000000000001E-3</v>
      </c>
      <c r="D15" s="23">
        <v>1.0792E-3</v>
      </c>
    </row>
    <row r="16" spans="2:7" x14ac:dyDescent="0.3">
      <c r="B16" s="22">
        <v>41</v>
      </c>
      <c r="C16" s="23">
        <v>1.204E-3</v>
      </c>
      <c r="D16" s="23">
        <v>1.1639999999999999E-3</v>
      </c>
    </row>
    <row r="17" spans="2:4" x14ac:dyDescent="0.3">
      <c r="B17" s="22">
        <v>42</v>
      </c>
      <c r="C17" s="23">
        <v>1.3397999999999999E-3</v>
      </c>
      <c r="D17" s="23">
        <v>1.2584E-3</v>
      </c>
    </row>
    <row r="18" spans="2:4" x14ac:dyDescent="0.3">
      <c r="B18" s="22">
        <v>43</v>
      </c>
      <c r="C18" s="23">
        <v>1.4945E-3</v>
      </c>
      <c r="D18" s="23">
        <v>1.3648000000000002E-3</v>
      </c>
    </row>
    <row r="19" spans="2:4" x14ac:dyDescent="0.3">
      <c r="B19" s="22">
        <v>44</v>
      </c>
      <c r="C19" s="23">
        <v>1.6715999999999999E-3</v>
      </c>
      <c r="D19" s="23">
        <v>1.4832000000000001E-3</v>
      </c>
    </row>
    <row r="20" spans="2:4" x14ac:dyDescent="0.3">
      <c r="B20" s="22">
        <v>45</v>
      </c>
      <c r="C20" s="23">
        <v>1.8787999999999999E-3</v>
      </c>
      <c r="D20" s="23">
        <v>1.6160000000000002E-3</v>
      </c>
    </row>
    <row r="21" spans="2:4" x14ac:dyDescent="0.3">
      <c r="B21" s="22">
        <v>46</v>
      </c>
      <c r="C21" s="23">
        <v>2.1196000000000001E-3</v>
      </c>
      <c r="D21" s="23">
        <v>1.7688000000000003E-3</v>
      </c>
    </row>
    <row r="22" spans="2:4" x14ac:dyDescent="0.3">
      <c r="B22" s="22">
        <v>47</v>
      </c>
      <c r="C22" s="23">
        <v>2.3933000000000001E-3</v>
      </c>
      <c r="D22" s="23">
        <v>1.9440000000000004E-3</v>
      </c>
    </row>
    <row r="23" spans="2:4" x14ac:dyDescent="0.3">
      <c r="B23" s="22">
        <v>48</v>
      </c>
      <c r="C23" s="23">
        <v>2.6928999999999998E-3</v>
      </c>
      <c r="D23" s="23">
        <v>2.1408E-3</v>
      </c>
    </row>
    <row r="24" spans="2:4" x14ac:dyDescent="0.3">
      <c r="B24" s="22">
        <v>49</v>
      </c>
      <c r="C24" s="23">
        <v>3.0183999999999996E-3</v>
      </c>
      <c r="D24" s="23">
        <v>2.3544000000000004E-3</v>
      </c>
    </row>
    <row r="25" spans="2:4" x14ac:dyDescent="0.3">
      <c r="B25" s="22">
        <v>50</v>
      </c>
      <c r="C25" s="23">
        <v>3.3746999999999996E-3</v>
      </c>
      <c r="D25" s="23">
        <v>2.5824000000000003E-3</v>
      </c>
    </row>
    <row r="26" spans="2:4" x14ac:dyDescent="0.3">
      <c r="B26" s="22">
        <v>51</v>
      </c>
      <c r="C26" s="23">
        <v>3.7631999999999995E-3</v>
      </c>
      <c r="D26" s="23">
        <v>2.8312000000000003E-3</v>
      </c>
    </row>
    <row r="27" spans="2:4" x14ac:dyDescent="0.3">
      <c r="B27" s="22">
        <v>52</v>
      </c>
      <c r="C27" s="23">
        <v>4.1824999999999996E-3</v>
      </c>
      <c r="D27" s="23">
        <v>3.1016000000000004E-3</v>
      </c>
    </row>
    <row r="28" spans="2:4" x14ac:dyDescent="0.3">
      <c r="B28" s="22">
        <v>53</v>
      </c>
      <c r="C28" s="23">
        <v>4.6312000000000002E-3</v>
      </c>
      <c r="D28" s="23">
        <v>3.392E-3</v>
      </c>
    </row>
    <row r="29" spans="2:4" x14ac:dyDescent="0.3">
      <c r="B29" s="22">
        <v>54</v>
      </c>
      <c r="C29" s="23">
        <v>5.1064999999999991E-3</v>
      </c>
      <c r="D29" s="23">
        <v>3.7104E-3</v>
      </c>
    </row>
    <row r="30" spans="2:4" x14ac:dyDescent="0.3">
      <c r="B30" s="22">
        <v>55</v>
      </c>
      <c r="C30" s="23">
        <v>5.6041999999999993E-3</v>
      </c>
      <c r="D30" s="23">
        <v>4.0464000000000003E-3</v>
      </c>
    </row>
    <row r="31" spans="2:4" x14ac:dyDescent="0.3">
      <c r="B31" s="22">
        <v>56</v>
      </c>
      <c r="C31" s="23">
        <v>6.1228999999999997E-3</v>
      </c>
      <c r="D31" s="23">
        <v>4.3776000000000006E-3</v>
      </c>
    </row>
    <row r="32" spans="2:4" x14ac:dyDescent="0.3">
      <c r="B32" s="22">
        <v>57</v>
      </c>
      <c r="C32" s="23">
        <v>6.6647E-3</v>
      </c>
      <c r="D32" s="23">
        <v>4.6944000000000005E-3</v>
      </c>
    </row>
    <row r="33" spans="2:4" x14ac:dyDescent="0.3">
      <c r="B33" s="22">
        <v>58</v>
      </c>
      <c r="C33" s="23">
        <v>7.2582999999999996E-3</v>
      </c>
      <c r="D33" s="23">
        <v>5.0128000000000004E-3</v>
      </c>
    </row>
    <row r="34" spans="2:4" x14ac:dyDescent="0.3">
      <c r="B34" s="22">
        <v>59</v>
      </c>
      <c r="C34" s="23">
        <v>7.8882999999999991E-3</v>
      </c>
      <c r="D34" s="23">
        <v>5.3688E-3</v>
      </c>
    </row>
    <row r="35" spans="2:4" x14ac:dyDescent="0.3">
      <c r="B35" s="22">
        <v>60</v>
      </c>
      <c r="C35" s="23">
        <v>8.5098999999999991E-3</v>
      </c>
      <c r="D35" s="23">
        <v>5.7728000000000007E-3</v>
      </c>
    </row>
    <row r="36" spans="2:4" x14ac:dyDescent="0.3">
      <c r="B36" s="22">
        <v>61</v>
      </c>
      <c r="C36" s="23">
        <v>9.1097999999999995E-3</v>
      </c>
      <c r="D36" s="23">
        <v>6.2048000000000008E-3</v>
      </c>
    </row>
    <row r="37" spans="2:4" x14ac:dyDescent="0.3">
      <c r="B37" s="22">
        <v>62</v>
      </c>
      <c r="C37" s="23">
        <v>9.7173999999999993E-3</v>
      </c>
      <c r="D37" s="23">
        <v>6.6664000000000003E-3</v>
      </c>
    </row>
    <row r="38" spans="2:4" x14ac:dyDescent="0.3">
      <c r="B38" s="22">
        <v>63</v>
      </c>
      <c r="C38" s="23">
        <v>1.0404099999999999E-2</v>
      </c>
      <c r="D38" s="23">
        <v>7.1736000000000013E-3</v>
      </c>
    </row>
    <row r="39" spans="2:4" x14ac:dyDescent="0.3">
      <c r="B39" s="22">
        <v>64</v>
      </c>
      <c r="C39" s="23">
        <v>1.1191600000000001E-2</v>
      </c>
      <c r="D39" s="23">
        <v>7.7592000000000008E-3</v>
      </c>
    </row>
    <row r="40" spans="2:4" x14ac:dyDescent="0.3">
      <c r="B40" s="22">
        <v>65</v>
      </c>
      <c r="C40" s="23">
        <v>1.2048399999999997E-2</v>
      </c>
      <c r="D40" s="23">
        <v>8.4336000000000012E-3</v>
      </c>
    </row>
  </sheetData>
  <mergeCells count="2">
    <mergeCell ref="B2:B4"/>
    <mergeCell ref="C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workbookViewId="0">
      <selection activeCell="A11" sqref="A11:XFD11"/>
    </sheetView>
  </sheetViews>
  <sheetFormatPr defaultRowHeight="14.4" x14ac:dyDescent="0.3"/>
  <cols>
    <col min="1" max="1" width="11.44140625" bestFit="1" customWidth="1"/>
    <col min="2" max="2" width="15.109375" bestFit="1" customWidth="1"/>
    <col min="3" max="3" width="11.21875" bestFit="1" customWidth="1"/>
    <col min="4" max="4" width="16.88671875" bestFit="1" customWidth="1"/>
    <col min="5" max="5" width="14.44140625" bestFit="1" customWidth="1"/>
    <col min="6" max="6" width="21.21875" bestFit="1" customWidth="1"/>
    <col min="7" max="7" width="19.6640625" bestFit="1" customWidth="1"/>
    <col min="8" max="8" width="15.88671875" bestFit="1" customWidth="1"/>
    <col min="9" max="9" width="18.109375" bestFit="1" customWidth="1"/>
  </cols>
  <sheetData>
    <row r="1" spans="1:9" x14ac:dyDescent="0.3">
      <c r="A1" s="33" t="s">
        <v>90</v>
      </c>
      <c r="B1" s="33"/>
      <c r="C1" s="3">
        <v>60000</v>
      </c>
      <c r="D1" s="16" t="s">
        <v>91</v>
      </c>
      <c r="E1" s="8">
        <v>0.02</v>
      </c>
      <c r="F1" s="8"/>
    </row>
    <row r="2" spans="1:9" x14ac:dyDescent="0.3">
      <c r="A2" s="33" t="s">
        <v>102</v>
      </c>
      <c r="B2" s="33"/>
      <c r="C2" s="3">
        <v>500000</v>
      </c>
      <c r="D2" s="16"/>
      <c r="E2" s="8"/>
      <c r="F2" s="8"/>
    </row>
    <row r="3" spans="1:9" x14ac:dyDescent="0.3">
      <c r="A3" s="16" t="s">
        <v>17</v>
      </c>
      <c r="B3" t="s">
        <v>92</v>
      </c>
      <c r="C3" s="3">
        <v>5000</v>
      </c>
      <c r="D3" s="16" t="s">
        <v>93</v>
      </c>
      <c r="E3">
        <v>1000</v>
      </c>
    </row>
    <row r="4" spans="1:9" x14ac:dyDescent="0.3">
      <c r="A4" s="16" t="s">
        <v>94</v>
      </c>
      <c r="B4" t="s">
        <v>92</v>
      </c>
      <c r="C4" s="8">
        <v>0.3</v>
      </c>
      <c r="D4" s="16" t="s">
        <v>93</v>
      </c>
      <c r="E4" s="8">
        <v>0.02</v>
      </c>
      <c r="F4" s="8"/>
    </row>
    <row r="5" spans="1:9" x14ac:dyDescent="0.3">
      <c r="A5" s="16" t="s">
        <v>95</v>
      </c>
      <c r="B5" t="s">
        <v>96</v>
      </c>
      <c r="C5" s="8">
        <v>0.04</v>
      </c>
      <c r="D5" s="16" t="s">
        <v>97</v>
      </c>
      <c r="E5" s="5">
        <v>2.5000000000000001E-2</v>
      </c>
      <c r="F5" s="5"/>
    </row>
    <row r="6" spans="1:9" x14ac:dyDescent="0.3">
      <c r="A6" s="33" t="s">
        <v>99</v>
      </c>
      <c r="B6" s="33"/>
      <c r="C6" s="8">
        <v>0.04</v>
      </c>
      <c r="D6" s="16"/>
      <c r="E6" s="5"/>
      <c r="F6" s="5"/>
    </row>
    <row r="7" spans="1:9" x14ac:dyDescent="0.3">
      <c r="A7" s="33" t="s">
        <v>100</v>
      </c>
      <c r="B7" s="33"/>
      <c r="C7" s="5">
        <v>5.0000000000000001E-3</v>
      </c>
      <c r="D7" s="16"/>
      <c r="E7" s="5"/>
      <c r="F7" s="5"/>
    </row>
    <row r="8" spans="1:9" x14ac:dyDescent="0.3">
      <c r="A8" s="33" t="s">
        <v>101</v>
      </c>
      <c r="B8" s="33"/>
      <c r="C8" s="8">
        <v>0.05</v>
      </c>
    </row>
    <row r="11" spans="1:9" s="6" customFormat="1" x14ac:dyDescent="0.3">
      <c r="B11" s="6">
        <v>1</v>
      </c>
      <c r="C11" s="6">
        <v>2</v>
      </c>
      <c r="D11" s="6">
        <v>1</v>
      </c>
      <c r="E11" s="6">
        <v>1</v>
      </c>
      <c r="G11" s="6">
        <v>1</v>
      </c>
      <c r="H11" s="6">
        <v>1</v>
      </c>
      <c r="I11" s="6">
        <v>2</v>
      </c>
    </row>
    <row r="12" spans="1:9" x14ac:dyDescent="0.3">
      <c r="A12" t="s">
        <v>89</v>
      </c>
      <c r="B12" t="s">
        <v>103</v>
      </c>
      <c r="C12" t="s">
        <v>90</v>
      </c>
      <c r="D12" t="s">
        <v>104</v>
      </c>
      <c r="E12" t="s">
        <v>105</v>
      </c>
      <c r="F12" t="s">
        <v>106</v>
      </c>
      <c r="G12" t="s">
        <v>107</v>
      </c>
      <c r="H12" t="s">
        <v>100</v>
      </c>
      <c r="I12" t="s">
        <v>108</v>
      </c>
    </row>
    <row r="13" spans="1:9" x14ac:dyDescent="0.3">
      <c r="A13">
        <v>1</v>
      </c>
      <c r="B13" s="2">
        <v>0</v>
      </c>
      <c r="C13" s="2">
        <f>C1</f>
        <v>60000</v>
      </c>
      <c r="D13" s="2">
        <f>VLOOKUP(A13,'Q3 mortality'!$F$5:$G$7,2,TRUE)*C13</f>
        <v>51600</v>
      </c>
      <c r="E13" s="2">
        <f>-D13*$C$6</f>
        <v>-2064</v>
      </c>
      <c r="F13" s="2">
        <f>B13+D13+E13</f>
        <v>49536</v>
      </c>
      <c r="G13" s="2">
        <f>F13*(1+$C$5)</f>
        <v>51517.440000000002</v>
      </c>
      <c r="H13" s="4">
        <f>-G13*$C$7</f>
        <v>-257.5872</v>
      </c>
      <c r="I13" s="4">
        <f>G13+H13</f>
        <v>51259.852800000001</v>
      </c>
    </row>
    <row r="14" spans="1:9" x14ac:dyDescent="0.3">
      <c r="A14">
        <f>A13+1</f>
        <v>2</v>
      </c>
      <c r="B14" s="2">
        <f>I13</f>
        <v>51259.852800000001</v>
      </c>
      <c r="C14" s="2">
        <f>C13*(1+$E$1)</f>
        <v>61200</v>
      </c>
      <c r="D14" s="2">
        <f>VLOOKUP(A14,'Q3 mortality'!$F$5:$G$7,2,TRUE)*C14</f>
        <v>57528</v>
      </c>
      <c r="E14" s="2">
        <f t="shared" ref="E14:E42" si="0">-D14*$C$6</f>
        <v>-2301.12</v>
      </c>
      <c r="F14" s="2">
        <f t="shared" ref="F14:F42" si="1">B14+D14+E14</f>
        <v>106486.7328</v>
      </c>
      <c r="G14" s="2">
        <f t="shared" ref="G14:G42" si="2">F14*(1+$C$5)</f>
        <v>110746.202112</v>
      </c>
      <c r="H14" s="4">
        <f t="shared" ref="H14:H42" si="3">-G14*$C$7</f>
        <v>-553.73101055999996</v>
      </c>
      <c r="I14" s="4">
        <f t="shared" ref="I14:I42" si="4">G14+H14</f>
        <v>110192.47110143999</v>
      </c>
    </row>
    <row r="15" spans="1:9" x14ac:dyDescent="0.3">
      <c r="A15">
        <f t="shared" ref="A15:A42" si="5">A14+1</f>
        <v>3</v>
      </c>
      <c r="B15" s="2">
        <f t="shared" ref="B15:B42" si="6">I14</f>
        <v>110192.47110143999</v>
      </c>
      <c r="C15" s="2">
        <f t="shared" ref="C15:C42" si="7">C14*(1+$E$1)</f>
        <v>62424</v>
      </c>
      <c r="D15" s="2">
        <f>VLOOKUP(A15,'Q3 mortality'!$F$5:$G$7,2,TRUE)*C15</f>
        <v>62424</v>
      </c>
      <c r="E15" s="2">
        <f t="shared" si="0"/>
        <v>-2496.96</v>
      </c>
      <c r="F15" s="2">
        <f t="shared" si="1"/>
        <v>170119.51110144</v>
      </c>
      <c r="G15" s="2">
        <f t="shared" si="2"/>
        <v>176924.2915454976</v>
      </c>
      <c r="H15" s="4">
        <f t="shared" si="3"/>
        <v>-884.62145772748806</v>
      </c>
      <c r="I15" s="4">
        <f t="shared" si="4"/>
        <v>176039.67008777012</v>
      </c>
    </row>
    <row r="16" spans="1:9" x14ac:dyDescent="0.3">
      <c r="A16">
        <f t="shared" si="5"/>
        <v>4</v>
      </c>
      <c r="B16" s="2">
        <f t="shared" si="6"/>
        <v>176039.67008777012</v>
      </c>
      <c r="C16" s="2">
        <f t="shared" si="7"/>
        <v>63672.480000000003</v>
      </c>
      <c r="D16" s="2">
        <f>VLOOKUP(A16,'Q3 mortality'!$F$5:$G$7,2,TRUE)*C16</f>
        <v>63672.480000000003</v>
      </c>
      <c r="E16" s="2">
        <f t="shared" si="0"/>
        <v>-2546.8992000000003</v>
      </c>
      <c r="F16" s="2">
        <f t="shared" si="1"/>
        <v>237165.25088777012</v>
      </c>
      <c r="G16" s="2">
        <f t="shared" si="2"/>
        <v>246651.86092328094</v>
      </c>
      <c r="H16" s="4">
        <f t="shared" si="3"/>
        <v>-1233.2593046164047</v>
      </c>
      <c r="I16" s="4">
        <f t="shared" si="4"/>
        <v>245418.60161866454</v>
      </c>
    </row>
    <row r="17" spans="1:9" x14ac:dyDescent="0.3">
      <c r="A17">
        <f t="shared" si="5"/>
        <v>5</v>
      </c>
      <c r="B17" s="2">
        <f t="shared" si="6"/>
        <v>245418.60161866454</v>
      </c>
      <c r="C17" s="2">
        <f t="shared" si="7"/>
        <v>64945.929600000003</v>
      </c>
      <c r="D17" s="2">
        <f>VLOOKUP(A17,'Q3 mortality'!$F$5:$G$7,2,TRUE)*C17</f>
        <v>64945.929600000003</v>
      </c>
      <c r="E17" s="2">
        <f t="shared" si="0"/>
        <v>-2597.837184</v>
      </c>
      <c r="F17" s="2">
        <f t="shared" si="1"/>
        <v>307766.69403466454</v>
      </c>
      <c r="G17" s="2">
        <f t="shared" si="2"/>
        <v>320077.36179605115</v>
      </c>
      <c r="H17" s="4">
        <f t="shared" si="3"/>
        <v>-1600.3868089802559</v>
      </c>
      <c r="I17" s="4">
        <f t="shared" si="4"/>
        <v>318476.97498707089</v>
      </c>
    </row>
    <row r="18" spans="1:9" x14ac:dyDescent="0.3">
      <c r="A18">
        <f t="shared" si="5"/>
        <v>6</v>
      </c>
      <c r="B18" s="2">
        <f t="shared" si="6"/>
        <v>318476.97498707089</v>
      </c>
      <c r="C18" s="2">
        <f t="shared" si="7"/>
        <v>66244.848192000005</v>
      </c>
      <c r="D18" s="2">
        <f>VLOOKUP(A18,'Q3 mortality'!$F$5:$G$7,2,TRUE)*C18</f>
        <v>66244.848192000005</v>
      </c>
      <c r="E18" s="2">
        <f t="shared" si="0"/>
        <v>-2649.7939276800003</v>
      </c>
      <c r="F18" s="2">
        <f t="shared" si="1"/>
        <v>382072.02925139089</v>
      </c>
      <c r="G18" s="2">
        <f t="shared" si="2"/>
        <v>397354.91042144655</v>
      </c>
      <c r="H18" s="4">
        <f t="shared" si="3"/>
        <v>-1986.7745521072327</v>
      </c>
      <c r="I18" s="4">
        <f t="shared" si="4"/>
        <v>395368.13586933934</v>
      </c>
    </row>
    <row r="19" spans="1:9" x14ac:dyDescent="0.3">
      <c r="A19">
        <f t="shared" si="5"/>
        <v>7</v>
      </c>
      <c r="B19" s="2">
        <f t="shared" si="6"/>
        <v>395368.13586933934</v>
      </c>
      <c r="C19" s="2">
        <f t="shared" si="7"/>
        <v>67569.745155840006</v>
      </c>
      <c r="D19" s="2">
        <f>VLOOKUP(A19,'Q3 mortality'!$F$5:$G$7,2,TRUE)*C19</f>
        <v>67569.745155840006</v>
      </c>
      <c r="E19" s="2">
        <f t="shared" si="0"/>
        <v>-2702.7898062336003</v>
      </c>
      <c r="F19" s="2">
        <f t="shared" si="1"/>
        <v>460235.09121894574</v>
      </c>
      <c r="G19" s="2">
        <f t="shared" si="2"/>
        <v>478644.49486770359</v>
      </c>
      <c r="H19" s="4">
        <f t="shared" si="3"/>
        <v>-2393.2224743385182</v>
      </c>
      <c r="I19" s="4">
        <f t="shared" si="4"/>
        <v>476251.27239336504</v>
      </c>
    </row>
    <row r="20" spans="1:9" x14ac:dyDescent="0.3">
      <c r="A20">
        <f t="shared" si="5"/>
        <v>8</v>
      </c>
      <c r="B20" s="2">
        <f t="shared" si="6"/>
        <v>476251.27239336504</v>
      </c>
      <c r="C20" s="2">
        <f t="shared" si="7"/>
        <v>68921.140058956807</v>
      </c>
      <c r="D20" s="2">
        <f>VLOOKUP(A20,'Q3 mortality'!$F$5:$G$7,2,TRUE)*C20</f>
        <v>68921.140058956807</v>
      </c>
      <c r="E20" s="2">
        <f t="shared" si="0"/>
        <v>-2756.8456023582726</v>
      </c>
      <c r="F20" s="2">
        <f t="shared" si="1"/>
        <v>542415.56684996362</v>
      </c>
      <c r="G20" s="2">
        <f t="shared" si="2"/>
        <v>564112.18952396221</v>
      </c>
      <c r="H20" s="4">
        <f t="shared" si="3"/>
        <v>-2820.560947619811</v>
      </c>
      <c r="I20" s="4">
        <f t="shared" si="4"/>
        <v>561291.62857634237</v>
      </c>
    </row>
    <row r="21" spans="1:9" x14ac:dyDescent="0.3">
      <c r="A21">
        <f t="shared" si="5"/>
        <v>9</v>
      </c>
      <c r="B21" s="2">
        <f t="shared" si="6"/>
        <v>561291.62857634237</v>
      </c>
      <c r="C21" s="2">
        <f t="shared" si="7"/>
        <v>70299.562860135949</v>
      </c>
      <c r="D21" s="2">
        <f>VLOOKUP(A21,'Q3 mortality'!$F$5:$G$7,2,TRUE)*C21</f>
        <v>70299.562860135949</v>
      </c>
      <c r="E21" s="2">
        <f t="shared" si="0"/>
        <v>-2811.982514405438</v>
      </c>
      <c r="F21" s="2">
        <f t="shared" si="1"/>
        <v>628779.2089220729</v>
      </c>
      <c r="G21" s="2">
        <f t="shared" si="2"/>
        <v>653930.37727895589</v>
      </c>
      <c r="H21" s="4">
        <f t="shared" si="3"/>
        <v>-3269.6518863947795</v>
      </c>
      <c r="I21" s="4">
        <f t="shared" si="4"/>
        <v>650660.72539256106</v>
      </c>
    </row>
    <row r="22" spans="1:9" x14ac:dyDescent="0.3">
      <c r="A22">
        <f t="shared" si="5"/>
        <v>10</v>
      </c>
      <c r="B22" s="2">
        <f t="shared" si="6"/>
        <v>650660.72539256106</v>
      </c>
      <c r="C22" s="2">
        <f t="shared" si="7"/>
        <v>71705.554117338674</v>
      </c>
      <c r="D22" s="2">
        <f>VLOOKUP(A22,'Q3 mortality'!$F$5:$G$7,2,TRUE)*C22</f>
        <v>71705.554117338674</v>
      </c>
      <c r="E22" s="2">
        <f t="shared" si="0"/>
        <v>-2868.2221646935468</v>
      </c>
      <c r="F22" s="2">
        <f t="shared" si="1"/>
        <v>719498.05734520615</v>
      </c>
      <c r="G22" s="2">
        <f t="shared" si="2"/>
        <v>748277.97963901446</v>
      </c>
      <c r="H22" s="4">
        <f t="shared" si="3"/>
        <v>-3741.3898981950724</v>
      </c>
      <c r="I22" s="4">
        <f t="shared" si="4"/>
        <v>744536.58974081941</v>
      </c>
    </row>
    <row r="23" spans="1:9" x14ac:dyDescent="0.3">
      <c r="A23">
        <f t="shared" si="5"/>
        <v>11</v>
      </c>
      <c r="B23" s="2">
        <f t="shared" si="6"/>
        <v>744536.58974081941</v>
      </c>
      <c r="C23" s="2">
        <f t="shared" si="7"/>
        <v>73139.665199685449</v>
      </c>
      <c r="D23" s="2">
        <f>VLOOKUP(A23,'Q3 mortality'!$F$5:$G$7,2,TRUE)*C23</f>
        <v>73139.665199685449</v>
      </c>
      <c r="E23" s="2">
        <f t="shared" si="0"/>
        <v>-2925.5866079874181</v>
      </c>
      <c r="F23" s="2">
        <f t="shared" si="1"/>
        <v>814750.6683325175</v>
      </c>
      <c r="G23" s="2">
        <f t="shared" si="2"/>
        <v>847340.69506581826</v>
      </c>
      <c r="H23" s="4">
        <f t="shared" si="3"/>
        <v>-4236.7034753290918</v>
      </c>
      <c r="I23" s="4">
        <f t="shared" si="4"/>
        <v>843103.99159048917</v>
      </c>
    </row>
    <row r="24" spans="1:9" x14ac:dyDescent="0.3">
      <c r="A24">
        <f t="shared" si="5"/>
        <v>12</v>
      </c>
      <c r="B24" s="2">
        <f t="shared" si="6"/>
        <v>843103.99159048917</v>
      </c>
      <c r="C24" s="2">
        <f t="shared" si="7"/>
        <v>74602.458503679154</v>
      </c>
      <c r="D24" s="2">
        <f>VLOOKUP(A24,'Q3 mortality'!$F$5:$G$7,2,TRUE)*C24</f>
        <v>74602.458503679154</v>
      </c>
      <c r="E24" s="2">
        <f t="shared" si="0"/>
        <v>-2984.0983401471663</v>
      </c>
      <c r="F24" s="2">
        <f t="shared" si="1"/>
        <v>914722.35175402113</v>
      </c>
      <c r="G24" s="2">
        <f t="shared" si="2"/>
        <v>951311.24582418206</v>
      </c>
      <c r="H24" s="4">
        <f t="shared" si="3"/>
        <v>-4756.5562291209108</v>
      </c>
      <c r="I24" s="4">
        <f t="shared" si="4"/>
        <v>946554.68959506112</v>
      </c>
    </row>
    <row r="25" spans="1:9" x14ac:dyDescent="0.3">
      <c r="A25">
        <f t="shared" si="5"/>
        <v>13</v>
      </c>
      <c r="B25" s="2">
        <f t="shared" si="6"/>
        <v>946554.68959506112</v>
      </c>
      <c r="C25" s="2">
        <f t="shared" si="7"/>
        <v>76094.507673752742</v>
      </c>
      <c r="D25" s="2">
        <f>VLOOKUP(A25,'Q3 mortality'!$F$5:$G$7,2,TRUE)*C25</f>
        <v>76094.507673752742</v>
      </c>
      <c r="E25" s="2">
        <f t="shared" si="0"/>
        <v>-3043.7803069501097</v>
      </c>
      <c r="F25" s="2">
        <f t="shared" si="1"/>
        <v>1019605.4169618638</v>
      </c>
      <c r="G25" s="2">
        <f t="shared" si="2"/>
        <v>1060389.6336403384</v>
      </c>
      <c r="H25" s="4">
        <f t="shared" si="3"/>
        <v>-5301.9481682016922</v>
      </c>
      <c r="I25" s="4">
        <f t="shared" si="4"/>
        <v>1055087.6854721368</v>
      </c>
    </row>
    <row r="26" spans="1:9" x14ac:dyDescent="0.3">
      <c r="A26">
        <f t="shared" si="5"/>
        <v>14</v>
      </c>
      <c r="B26" s="2">
        <f t="shared" si="6"/>
        <v>1055087.6854721368</v>
      </c>
      <c r="C26" s="2">
        <f t="shared" si="7"/>
        <v>77616.397827227804</v>
      </c>
      <c r="D26" s="2">
        <f>VLOOKUP(A26,'Q3 mortality'!$F$5:$G$7,2,TRUE)*C26</f>
        <v>77616.397827227804</v>
      </c>
      <c r="E26" s="2">
        <f t="shared" si="0"/>
        <v>-3104.6559130891123</v>
      </c>
      <c r="F26" s="2">
        <f t="shared" si="1"/>
        <v>1129599.4273862755</v>
      </c>
      <c r="G26" s="2">
        <f t="shared" si="2"/>
        <v>1174783.4044817265</v>
      </c>
      <c r="H26" s="4">
        <f t="shared" si="3"/>
        <v>-5873.9170224086329</v>
      </c>
      <c r="I26" s="4">
        <f t="shared" si="4"/>
        <v>1168909.4874593178</v>
      </c>
    </row>
    <row r="27" spans="1:9" x14ac:dyDescent="0.3">
      <c r="A27">
        <f t="shared" si="5"/>
        <v>15</v>
      </c>
      <c r="B27" s="2">
        <f t="shared" si="6"/>
        <v>1168909.4874593178</v>
      </c>
      <c r="C27" s="2">
        <f t="shared" si="7"/>
        <v>79168.725783772359</v>
      </c>
      <c r="D27" s="2">
        <f>VLOOKUP(A27,'Q3 mortality'!$F$5:$G$7,2,TRUE)*C27</f>
        <v>79168.725783772359</v>
      </c>
      <c r="E27" s="2">
        <f t="shared" si="0"/>
        <v>-3166.7490313508943</v>
      </c>
      <c r="F27" s="2">
        <f t="shared" si="1"/>
        <v>1244911.4642117391</v>
      </c>
      <c r="G27" s="2">
        <f t="shared" si="2"/>
        <v>1294707.9227802088</v>
      </c>
      <c r="H27" s="4">
        <f t="shared" si="3"/>
        <v>-6473.5396139010436</v>
      </c>
      <c r="I27" s="4">
        <f t="shared" si="4"/>
        <v>1288234.3831663078</v>
      </c>
    </row>
    <row r="28" spans="1:9" x14ac:dyDescent="0.3">
      <c r="A28">
        <f t="shared" si="5"/>
        <v>16</v>
      </c>
      <c r="B28" s="2">
        <f t="shared" si="6"/>
        <v>1288234.3831663078</v>
      </c>
      <c r="C28" s="2">
        <f t="shared" si="7"/>
        <v>80752.100299447804</v>
      </c>
      <c r="D28" s="2">
        <f>VLOOKUP(A28,'Q3 mortality'!$F$5:$G$7,2,TRUE)*C28</f>
        <v>80752.100299447804</v>
      </c>
      <c r="E28" s="2">
        <f t="shared" si="0"/>
        <v>-3230.0840119779123</v>
      </c>
      <c r="F28" s="2">
        <f t="shared" si="1"/>
        <v>1365756.3994537776</v>
      </c>
      <c r="G28" s="2">
        <f t="shared" si="2"/>
        <v>1420386.6554319288</v>
      </c>
      <c r="H28" s="4">
        <f t="shared" si="3"/>
        <v>-7101.9332771596446</v>
      </c>
      <c r="I28" s="4">
        <f t="shared" si="4"/>
        <v>1413284.7221547691</v>
      </c>
    </row>
    <row r="29" spans="1:9" x14ac:dyDescent="0.3">
      <c r="A29">
        <f t="shared" si="5"/>
        <v>17</v>
      </c>
      <c r="B29" s="2">
        <f t="shared" si="6"/>
        <v>1413284.7221547691</v>
      </c>
      <c r="C29" s="2">
        <f t="shared" si="7"/>
        <v>82367.142305436762</v>
      </c>
      <c r="D29" s="2">
        <f>VLOOKUP(A29,'Q3 mortality'!$F$5:$G$7,2,TRUE)*C29</f>
        <v>82367.142305436762</v>
      </c>
      <c r="E29" s="2">
        <f t="shared" si="0"/>
        <v>-3294.6856922174707</v>
      </c>
      <c r="F29" s="2">
        <f t="shared" si="1"/>
        <v>1492357.1787679885</v>
      </c>
      <c r="G29" s="2">
        <f t="shared" si="2"/>
        <v>1552051.4659187081</v>
      </c>
      <c r="H29" s="4">
        <f t="shared" si="3"/>
        <v>-7760.2573295935408</v>
      </c>
      <c r="I29" s="4">
        <f t="shared" si="4"/>
        <v>1544291.2085891145</v>
      </c>
    </row>
    <row r="30" spans="1:9" x14ac:dyDescent="0.3">
      <c r="A30">
        <f t="shared" si="5"/>
        <v>18</v>
      </c>
      <c r="B30" s="2">
        <f t="shared" si="6"/>
        <v>1544291.2085891145</v>
      </c>
      <c r="C30" s="2">
        <f t="shared" si="7"/>
        <v>84014.485151545494</v>
      </c>
      <c r="D30" s="2">
        <f>VLOOKUP(A30,'Q3 mortality'!$F$5:$G$7,2,TRUE)*C30</f>
        <v>84014.485151545494</v>
      </c>
      <c r="E30" s="2">
        <f t="shared" si="0"/>
        <v>-3360.57940606182</v>
      </c>
      <c r="F30" s="2">
        <f t="shared" si="1"/>
        <v>1624945.114334598</v>
      </c>
      <c r="G30" s="2">
        <f t="shared" si="2"/>
        <v>1689942.9189079818</v>
      </c>
      <c r="H30" s="4">
        <f t="shared" si="3"/>
        <v>-8449.7145945399097</v>
      </c>
      <c r="I30" s="4">
        <f t="shared" si="4"/>
        <v>1681493.2043134419</v>
      </c>
    </row>
    <row r="31" spans="1:9" x14ac:dyDescent="0.3">
      <c r="A31">
        <f t="shared" si="5"/>
        <v>19</v>
      </c>
      <c r="B31" s="2">
        <f t="shared" si="6"/>
        <v>1681493.2043134419</v>
      </c>
      <c r="C31" s="2">
        <f t="shared" si="7"/>
        <v>85694.774854576404</v>
      </c>
      <c r="D31" s="2">
        <f>VLOOKUP(A31,'Q3 mortality'!$F$5:$G$7,2,TRUE)*C31</f>
        <v>85694.774854576404</v>
      </c>
      <c r="E31" s="2">
        <f t="shared" si="0"/>
        <v>-3427.7909941830562</v>
      </c>
      <c r="F31" s="2">
        <f t="shared" si="1"/>
        <v>1763760.1881738352</v>
      </c>
      <c r="G31" s="2">
        <f t="shared" si="2"/>
        <v>1834310.5957007885</v>
      </c>
      <c r="H31" s="4">
        <f t="shared" si="3"/>
        <v>-9171.5529785039435</v>
      </c>
      <c r="I31" s="4">
        <f t="shared" si="4"/>
        <v>1825139.0427222846</v>
      </c>
    </row>
    <row r="32" spans="1:9" x14ac:dyDescent="0.3">
      <c r="A32">
        <f t="shared" si="5"/>
        <v>20</v>
      </c>
      <c r="B32" s="2">
        <f t="shared" si="6"/>
        <v>1825139.0427222846</v>
      </c>
      <c r="C32" s="2">
        <f t="shared" si="7"/>
        <v>87408.670351667941</v>
      </c>
      <c r="D32" s="2">
        <f>VLOOKUP(A32,'Q3 mortality'!$F$5:$G$7,2,TRUE)*C32</f>
        <v>87408.670351667941</v>
      </c>
      <c r="E32" s="2">
        <f t="shared" si="0"/>
        <v>-3496.3468140667178</v>
      </c>
      <c r="F32" s="2">
        <f t="shared" si="1"/>
        <v>1909051.366259886</v>
      </c>
      <c r="G32" s="2">
        <f t="shared" si="2"/>
        <v>1985413.4209102814</v>
      </c>
      <c r="H32" s="4">
        <f t="shared" si="3"/>
        <v>-9927.0671045514064</v>
      </c>
      <c r="I32" s="4">
        <f t="shared" si="4"/>
        <v>1975486.3538057299</v>
      </c>
    </row>
    <row r="33" spans="1:9" x14ac:dyDescent="0.3">
      <c r="A33">
        <f t="shared" si="5"/>
        <v>21</v>
      </c>
      <c r="B33" s="2">
        <f t="shared" si="6"/>
        <v>1975486.3538057299</v>
      </c>
      <c r="C33" s="2">
        <f t="shared" si="7"/>
        <v>89156.843758701303</v>
      </c>
      <c r="D33" s="2">
        <f>VLOOKUP(A33,'Q3 mortality'!$F$5:$G$7,2,TRUE)*C33</f>
        <v>89156.843758701303</v>
      </c>
      <c r="E33" s="2">
        <f t="shared" si="0"/>
        <v>-3566.2737503480521</v>
      </c>
      <c r="F33" s="2">
        <f t="shared" si="1"/>
        <v>2061076.9238140832</v>
      </c>
      <c r="G33" s="2">
        <f t="shared" si="2"/>
        <v>2143520.0007666466</v>
      </c>
      <c r="H33" s="4">
        <f t="shared" si="3"/>
        <v>-10717.600003833233</v>
      </c>
      <c r="I33" s="4">
        <f t="shared" si="4"/>
        <v>2132802.4007628132</v>
      </c>
    </row>
    <row r="34" spans="1:9" x14ac:dyDescent="0.3">
      <c r="A34">
        <f t="shared" si="5"/>
        <v>22</v>
      </c>
      <c r="B34" s="2">
        <f t="shared" si="6"/>
        <v>2132802.4007628132</v>
      </c>
      <c r="C34" s="2">
        <f t="shared" si="7"/>
        <v>90939.980633875326</v>
      </c>
      <c r="D34" s="2">
        <f>VLOOKUP(A34,'Q3 mortality'!$F$5:$G$7,2,TRUE)*C34</f>
        <v>90939.980633875326</v>
      </c>
      <c r="E34" s="2">
        <f t="shared" si="0"/>
        <v>-3637.599225355013</v>
      </c>
      <c r="F34" s="2">
        <f t="shared" si="1"/>
        <v>2220104.7821713337</v>
      </c>
      <c r="G34" s="2">
        <f t="shared" si="2"/>
        <v>2308908.9734581872</v>
      </c>
      <c r="H34" s="4">
        <f t="shared" si="3"/>
        <v>-11544.544867290937</v>
      </c>
      <c r="I34" s="4">
        <f t="shared" si="4"/>
        <v>2297364.4285908961</v>
      </c>
    </row>
    <row r="35" spans="1:9" x14ac:dyDescent="0.3">
      <c r="A35">
        <f t="shared" si="5"/>
        <v>23</v>
      </c>
      <c r="B35" s="2">
        <f t="shared" si="6"/>
        <v>2297364.4285908961</v>
      </c>
      <c r="C35" s="2">
        <f t="shared" si="7"/>
        <v>92758.780246552837</v>
      </c>
      <c r="D35" s="2">
        <f>VLOOKUP(A35,'Q3 mortality'!$F$5:$G$7,2,TRUE)*C35</f>
        <v>92758.780246552837</v>
      </c>
      <c r="E35" s="2">
        <f t="shared" si="0"/>
        <v>-3710.3512098621136</v>
      </c>
      <c r="F35" s="2">
        <f t="shared" si="1"/>
        <v>2386412.8576275869</v>
      </c>
      <c r="G35" s="2">
        <f t="shared" si="2"/>
        <v>2481869.3719326905</v>
      </c>
      <c r="H35" s="4">
        <f t="shared" si="3"/>
        <v>-12409.346859663452</v>
      </c>
      <c r="I35" s="4">
        <f t="shared" si="4"/>
        <v>2469460.0250730272</v>
      </c>
    </row>
    <row r="36" spans="1:9" x14ac:dyDescent="0.3">
      <c r="A36">
        <f t="shared" si="5"/>
        <v>24</v>
      </c>
      <c r="B36" s="2">
        <f t="shared" si="6"/>
        <v>2469460.0250730272</v>
      </c>
      <c r="C36" s="2">
        <f t="shared" si="7"/>
        <v>94613.955851483901</v>
      </c>
      <c r="D36" s="2">
        <f>VLOOKUP(A36,'Q3 mortality'!$F$5:$G$7,2,TRUE)*C36</f>
        <v>94613.955851483901</v>
      </c>
      <c r="E36" s="2">
        <f t="shared" si="0"/>
        <v>-3784.558234059356</v>
      </c>
      <c r="F36" s="2">
        <f t="shared" si="1"/>
        <v>2560289.4226904521</v>
      </c>
      <c r="G36" s="2">
        <f t="shared" si="2"/>
        <v>2662700.99959807</v>
      </c>
      <c r="H36" s="4">
        <f t="shared" si="3"/>
        <v>-13313.504997990351</v>
      </c>
      <c r="I36" s="4">
        <f t="shared" si="4"/>
        <v>2649387.4946000795</v>
      </c>
    </row>
    <row r="37" spans="1:9" x14ac:dyDescent="0.3">
      <c r="A37">
        <f t="shared" si="5"/>
        <v>25</v>
      </c>
      <c r="B37" s="2">
        <f t="shared" si="6"/>
        <v>2649387.4946000795</v>
      </c>
      <c r="C37" s="2">
        <f t="shared" si="7"/>
        <v>96506.234968513585</v>
      </c>
      <c r="D37" s="2">
        <f>VLOOKUP(A37,'Q3 mortality'!$F$5:$G$7,2,TRUE)*C37</f>
        <v>96506.234968513585</v>
      </c>
      <c r="E37" s="2">
        <f t="shared" si="0"/>
        <v>-3860.2493987405433</v>
      </c>
      <c r="F37" s="2">
        <f t="shared" si="1"/>
        <v>2742033.4801698527</v>
      </c>
      <c r="G37" s="2">
        <f t="shared" si="2"/>
        <v>2851714.819376647</v>
      </c>
      <c r="H37" s="4">
        <f t="shared" si="3"/>
        <v>-14258.574096883236</v>
      </c>
      <c r="I37" s="4">
        <f t="shared" si="4"/>
        <v>2837456.2452797638</v>
      </c>
    </row>
    <row r="38" spans="1:9" x14ac:dyDescent="0.3">
      <c r="A38">
        <f t="shared" si="5"/>
        <v>26</v>
      </c>
      <c r="B38" s="2">
        <f t="shared" si="6"/>
        <v>2837456.2452797638</v>
      </c>
      <c r="C38" s="2">
        <f t="shared" si="7"/>
        <v>98436.359667883851</v>
      </c>
      <c r="D38" s="2">
        <f>VLOOKUP(A38,'Q3 mortality'!$F$5:$G$7,2,TRUE)*C38</f>
        <v>98436.359667883851</v>
      </c>
      <c r="E38" s="2">
        <f t="shared" si="0"/>
        <v>-3937.4543867153543</v>
      </c>
      <c r="F38" s="2">
        <f t="shared" si="1"/>
        <v>2931955.1505609322</v>
      </c>
      <c r="G38" s="2">
        <f t="shared" si="2"/>
        <v>3049233.3565833694</v>
      </c>
      <c r="H38" s="4">
        <f t="shared" si="3"/>
        <v>-15246.166782916847</v>
      </c>
      <c r="I38" s="4">
        <f t="shared" si="4"/>
        <v>3033987.1898004524</v>
      </c>
    </row>
    <row r="39" spans="1:9" x14ac:dyDescent="0.3">
      <c r="A39">
        <f t="shared" si="5"/>
        <v>27</v>
      </c>
      <c r="B39" s="2">
        <f t="shared" si="6"/>
        <v>3033987.1898004524</v>
      </c>
      <c r="C39" s="2">
        <f t="shared" si="7"/>
        <v>100405.08686124154</v>
      </c>
      <c r="D39" s="2">
        <f>VLOOKUP(A39,'Q3 mortality'!$F$5:$G$7,2,TRUE)*C39</f>
        <v>100405.08686124154</v>
      </c>
      <c r="E39" s="2">
        <f t="shared" si="0"/>
        <v>-4016.2034744496614</v>
      </c>
      <c r="F39" s="2">
        <f t="shared" si="1"/>
        <v>3130376.0731872446</v>
      </c>
      <c r="G39" s="2">
        <f t="shared" si="2"/>
        <v>3255591.1161147347</v>
      </c>
      <c r="H39" s="4">
        <f t="shared" si="3"/>
        <v>-16277.955580573675</v>
      </c>
      <c r="I39" s="4">
        <f t="shared" si="4"/>
        <v>3239313.1605341611</v>
      </c>
    </row>
    <row r="40" spans="1:9" x14ac:dyDescent="0.3">
      <c r="A40">
        <f t="shared" si="5"/>
        <v>28</v>
      </c>
      <c r="B40" s="2">
        <f t="shared" si="6"/>
        <v>3239313.1605341611</v>
      </c>
      <c r="C40" s="2">
        <f t="shared" si="7"/>
        <v>102413.18859846637</v>
      </c>
      <c r="D40" s="2">
        <f>VLOOKUP(A40,'Q3 mortality'!$F$5:$G$7,2,TRUE)*C40</f>
        <v>102413.18859846637</v>
      </c>
      <c r="E40" s="2">
        <f t="shared" si="0"/>
        <v>-4096.5275439386551</v>
      </c>
      <c r="F40" s="2">
        <f t="shared" si="1"/>
        <v>3337629.821588689</v>
      </c>
      <c r="G40" s="2">
        <f t="shared" si="2"/>
        <v>3471135.0144522367</v>
      </c>
      <c r="H40" s="4">
        <f t="shared" si="3"/>
        <v>-17355.675072261183</v>
      </c>
      <c r="I40" s="4">
        <f t="shared" si="4"/>
        <v>3453779.3393799756</v>
      </c>
    </row>
    <row r="41" spans="1:9" x14ac:dyDescent="0.3">
      <c r="A41">
        <f t="shared" si="5"/>
        <v>29</v>
      </c>
      <c r="B41" s="2">
        <f t="shared" si="6"/>
        <v>3453779.3393799756</v>
      </c>
      <c r="C41" s="2">
        <f t="shared" si="7"/>
        <v>104461.4523704357</v>
      </c>
      <c r="D41" s="2">
        <f>VLOOKUP(A41,'Q3 mortality'!$F$5:$G$7,2,TRUE)*C41</f>
        <v>104461.4523704357</v>
      </c>
      <c r="E41" s="2">
        <f t="shared" si="0"/>
        <v>-4178.458094817428</v>
      </c>
      <c r="F41" s="2">
        <f t="shared" si="1"/>
        <v>3554062.3336555939</v>
      </c>
      <c r="G41" s="2">
        <f t="shared" si="2"/>
        <v>3696224.827001818</v>
      </c>
      <c r="H41" s="4">
        <f t="shared" si="3"/>
        <v>-18481.12413500909</v>
      </c>
      <c r="I41" s="4">
        <f t="shared" si="4"/>
        <v>3677743.702866809</v>
      </c>
    </row>
    <row r="42" spans="1:9" x14ac:dyDescent="0.3">
      <c r="A42">
        <f t="shared" si="5"/>
        <v>30</v>
      </c>
      <c r="B42" s="2">
        <f t="shared" si="6"/>
        <v>3677743.702866809</v>
      </c>
      <c r="C42" s="2">
        <f t="shared" si="7"/>
        <v>106550.68141784442</v>
      </c>
      <c r="D42" s="2">
        <f>VLOOKUP(A42,'Q3 mortality'!$F$5:$G$7,2,TRUE)*C42</f>
        <v>106550.68141784442</v>
      </c>
      <c r="E42" s="2">
        <f t="shared" si="0"/>
        <v>-4262.0272567137772</v>
      </c>
      <c r="F42" s="2">
        <f t="shared" si="1"/>
        <v>3780032.3570279395</v>
      </c>
      <c r="G42" s="2">
        <f t="shared" si="2"/>
        <v>3931233.6513090571</v>
      </c>
      <c r="H42" s="4">
        <f t="shared" si="3"/>
        <v>-19656.168256545287</v>
      </c>
      <c r="I42" s="4">
        <f t="shared" si="4"/>
        <v>3911577.4830525117</v>
      </c>
    </row>
  </sheetData>
  <mergeCells count="5">
    <mergeCell ref="A1:B1"/>
    <mergeCell ref="A6:B6"/>
    <mergeCell ref="A7:B7"/>
    <mergeCell ref="A8:B8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42"/>
  <sheetViews>
    <sheetView zoomScaleNormal="100" workbookViewId="0">
      <selection sqref="A1:B1"/>
    </sheetView>
  </sheetViews>
  <sheetFormatPr defaultRowHeight="14.4" x14ac:dyDescent="0.3"/>
  <cols>
    <col min="1" max="1" width="11.44140625" bestFit="1" customWidth="1"/>
    <col min="2" max="2" width="15.109375" bestFit="1" customWidth="1"/>
    <col min="3" max="3" width="11.21875" bestFit="1" customWidth="1"/>
    <col min="4" max="4" width="16.88671875" bestFit="1" customWidth="1"/>
    <col min="5" max="5" width="14.44140625" bestFit="1" customWidth="1"/>
    <col min="6" max="6" width="21.21875" bestFit="1" customWidth="1"/>
    <col min="7" max="7" width="20" bestFit="1" customWidth="1"/>
    <col min="8" max="8" width="15.88671875" bestFit="1" customWidth="1"/>
    <col min="9" max="9" width="18.109375" bestFit="1" customWidth="1"/>
    <col min="11" max="11" width="9.77734375" bestFit="1" customWidth="1"/>
    <col min="12" max="12" width="8.33203125" bestFit="1" customWidth="1"/>
    <col min="13" max="13" width="11.6640625" bestFit="1" customWidth="1"/>
    <col min="14" max="14" width="8.33203125" bestFit="1" customWidth="1"/>
    <col min="15" max="15" width="10.109375" bestFit="1" customWidth="1"/>
    <col min="16" max="16" width="8.33203125" bestFit="1" customWidth="1"/>
    <col min="17" max="17" width="14.88671875" bestFit="1" customWidth="1"/>
    <col min="19" max="19" width="9" bestFit="1" customWidth="1"/>
    <col min="20" max="20" width="4.5546875" bestFit="1" customWidth="1"/>
    <col min="21" max="21" width="10.77734375" bestFit="1" customWidth="1"/>
    <col min="23" max="23" width="9.33203125" bestFit="1" customWidth="1"/>
    <col min="24" max="24" width="11" customWidth="1"/>
    <col min="25" max="25" width="7.88671875" bestFit="1" customWidth="1"/>
    <col min="26" max="26" width="9.77734375" bestFit="1" customWidth="1"/>
    <col min="27" max="27" width="12.21875" bestFit="1" customWidth="1"/>
    <col min="28" max="28" width="7.88671875" bestFit="1" customWidth="1"/>
    <col min="29" max="31" width="12.21875" bestFit="1" customWidth="1"/>
  </cols>
  <sheetData>
    <row r="1" spans="1:31" x14ac:dyDescent="0.3">
      <c r="A1" s="33" t="s">
        <v>90</v>
      </c>
      <c r="B1" s="33"/>
      <c r="C1" s="3">
        <v>60000</v>
      </c>
      <c r="D1" s="16" t="s">
        <v>91</v>
      </c>
      <c r="E1" s="8">
        <v>0.02</v>
      </c>
      <c r="F1" s="8"/>
      <c r="G1" s="26" t="s">
        <v>109</v>
      </c>
    </row>
    <row r="2" spans="1:31" x14ac:dyDescent="0.3">
      <c r="A2" s="33" t="s">
        <v>102</v>
      </c>
      <c r="B2" s="33"/>
      <c r="C2" s="3">
        <v>500000</v>
      </c>
      <c r="D2" s="16"/>
      <c r="E2" s="8"/>
      <c r="F2" s="8"/>
    </row>
    <row r="3" spans="1:31" x14ac:dyDescent="0.3">
      <c r="A3" s="16" t="s">
        <v>17</v>
      </c>
      <c r="B3" t="s">
        <v>92</v>
      </c>
      <c r="C3" s="3">
        <v>5000</v>
      </c>
      <c r="D3" s="16" t="s">
        <v>93</v>
      </c>
      <c r="E3">
        <v>1000</v>
      </c>
    </row>
    <row r="4" spans="1:31" x14ac:dyDescent="0.3">
      <c r="A4" s="16" t="s">
        <v>94</v>
      </c>
      <c r="B4" t="s">
        <v>92</v>
      </c>
      <c r="C4" s="8">
        <v>0.3</v>
      </c>
      <c r="D4" s="16" t="s">
        <v>93</v>
      </c>
      <c r="E4" s="8">
        <v>0.02</v>
      </c>
      <c r="F4" s="8"/>
    </row>
    <row r="5" spans="1:31" x14ac:dyDescent="0.3">
      <c r="A5" s="16" t="s">
        <v>95</v>
      </c>
      <c r="B5" t="s">
        <v>96</v>
      </c>
      <c r="C5" s="8">
        <v>0.04</v>
      </c>
      <c r="D5" s="16" t="s">
        <v>97</v>
      </c>
      <c r="E5" s="5">
        <v>2.5000000000000001E-2</v>
      </c>
      <c r="F5" s="5"/>
    </row>
    <row r="6" spans="1:31" x14ac:dyDescent="0.3">
      <c r="A6" s="33" t="s">
        <v>99</v>
      </c>
      <c r="B6" s="33"/>
      <c r="C6" s="8">
        <v>0.04</v>
      </c>
      <c r="D6" s="16"/>
      <c r="E6" s="5"/>
      <c r="F6" s="5"/>
    </row>
    <row r="7" spans="1:31" x14ac:dyDescent="0.3">
      <c r="A7" s="33" t="s">
        <v>100</v>
      </c>
      <c r="B7" s="33"/>
      <c r="C7" s="5">
        <v>5.0000000000000001E-3</v>
      </c>
      <c r="D7" s="16"/>
      <c r="E7" s="5"/>
      <c r="F7" s="5"/>
    </row>
    <row r="8" spans="1:31" x14ac:dyDescent="0.3">
      <c r="A8" s="33" t="s">
        <v>101</v>
      </c>
      <c r="B8" s="33"/>
      <c r="C8" s="8">
        <v>0.05</v>
      </c>
    </row>
    <row r="11" spans="1:31" s="6" customFormat="1" x14ac:dyDescent="0.3">
      <c r="L11" s="6">
        <v>0.5</v>
      </c>
      <c r="N11" s="6">
        <v>0.5</v>
      </c>
      <c r="O11" s="6">
        <v>2</v>
      </c>
      <c r="P11" s="6">
        <v>1</v>
      </c>
      <c r="Q11" s="6">
        <v>1</v>
      </c>
      <c r="U11" s="6">
        <v>1</v>
      </c>
      <c r="V11" s="6">
        <v>1</v>
      </c>
      <c r="W11" s="6">
        <v>2</v>
      </c>
      <c r="X11" s="6">
        <v>2</v>
      </c>
      <c r="Y11" s="6">
        <v>1</v>
      </c>
      <c r="Z11" s="6">
        <v>1</v>
      </c>
      <c r="AA11" s="6">
        <v>1</v>
      </c>
      <c r="AB11" s="6">
        <v>2</v>
      </c>
      <c r="AC11" s="6">
        <v>1</v>
      </c>
      <c r="AD11" s="6">
        <v>2</v>
      </c>
      <c r="AE11" s="6">
        <v>2</v>
      </c>
    </row>
    <row r="12" spans="1:31" ht="43.2" x14ac:dyDescent="0.3">
      <c r="A12" t="s">
        <v>89</v>
      </c>
      <c r="B12" t="s">
        <v>103</v>
      </c>
      <c r="C12" t="s">
        <v>90</v>
      </c>
      <c r="D12" t="s">
        <v>104</v>
      </c>
      <c r="E12" t="s">
        <v>105</v>
      </c>
      <c r="F12" t="s">
        <v>106</v>
      </c>
      <c r="G12" t="s">
        <v>107</v>
      </c>
      <c r="H12" t="s">
        <v>100</v>
      </c>
      <c r="I12" t="s">
        <v>108</v>
      </c>
      <c r="K12" t="s">
        <v>110</v>
      </c>
      <c r="L12" t="s">
        <v>87</v>
      </c>
      <c r="M12" t="s">
        <v>111</v>
      </c>
      <c r="N12" t="s">
        <v>88</v>
      </c>
      <c r="O12" s="14" t="s">
        <v>112</v>
      </c>
      <c r="P12" s="14" t="s">
        <v>113</v>
      </c>
      <c r="Q12" s="14" t="s">
        <v>114</v>
      </c>
      <c r="S12" s="14" t="s">
        <v>115</v>
      </c>
      <c r="T12" s="14" t="s">
        <v>3</v>
      </c>
      <c r="U12" s="14" t="s">
        <v>116</v>
      </c>
      <c r="V12" s="14" t="s">
        <v>99</v>
      </c>
      <c r="W12" s="14" t="s">
        <v>17</v>
      </c>
      <c r="X12" s="14" t="s">
        <v>94</v>
      </c>
      <c r="Y12" s="14" t="s">
        <v>62</v>
      </c>
      <c r="Z12" s="14" t="s">
        <v>118</v>
      </c>
      <c r="AA12" s="14" t="s">
        <v>96</v>
      </c>
      <c r="AB12" s="14" t="s">
        <v>119</v>
      </c>
      <c r="AC12" s="14" t="s">
        <v>120</v>
      </c>
      <c r="AD12" s="14" t="s">
        <v>121</v>
      </c>
      <c r="AE12" s="14" t="s">
        <v>122</v>
      </c>
    </row>
    <row r="13" spans="1:31" x14ac:dyDescent="0.3">
      <c r="A13">
        <v>1</v>
      </c>
      <c r="B13" s="2">
        <v>0</v>
      </c>
      <c r="C13" s="2">
        <f>C1</f>
        <v>60000</v>
      </c>
      <c r="D13" s="2">
        <f>VLOOKUP(A13,'Q3 mortality'!$F$5:$G$7,2,TRUE)*C13</f>
        <v>51600</v>
      </c>
      <c r="E13" s="2">
        <f>-D13*$C$6</f>
        <v>-2064</v>
      </c>
      <c r="F13" s="2">
        <f>B13+D13+E13</f>
        <v>49536</v>
      </c>
      <c r="G13" s="2">
        <f>F13*(1+$C$5)</f>
        <v>51517.440000000002</v>
      </c>
      <c r="H13" s="4">
        <f>-G13*$C$7</f>
        <v>-257.5872</v>
      </c>
      <c r="I13" s="4">
        <f>G13+H13</f>
        <v>51259.852800000001</v>
      </c>
      <c r="K13">
        <v>33</v>
      </c>
      <c r="L13" s="27">
        <f>VLOOKUP(K13,'Q3 mortality'!B:D,2,FALSE)</f>
        <v>6.9160000000000011E-4</v>
      </c>
      <c r="M13">
        <v>35</v>
      </c>
      <c r="N13" s="27">
        <f>VLOOKUP(M13,'Q3 mortality'!B:D,3,FALSE)</f>
        <v>7.7439999999999996E-4</v>
      </c>
      <c r="O13" s="27">
        <f>1-((1-L13)*(1-N13))</f>
        <v>1.4654644249599835E-3</v>
      </c>
      <c r="P13" s="27">
        <f>1-O13</f>
        <v>0.99853453557504002</v>
      </c>
      <c r="Q13" s="17">
        <v>1</v>
      </c>
      <c r="T13">
        <f>A13</f>
        <v>1</v>
      </c>
      <c r="U13" s="4">
        <f>C13-D13</f>
        <v>8400</v>
      </c>
      <c r="V13" s="4">
        <f>-E13</f>
        <v>2064</v>
      </c>
      <c r="W13" s="4">
        <f>-C3</f>
        <v>-5000</v>
      </c>
      <c r="X13" s="4">
        <f>-C4*C13</f>
        <v>-18000</v>
      </c>
      <c r="Y13" s="4">
        <f>SUM(U13:X13)*$E$5</f>
        <v>-313.40000000000003</v>
      </c>
      <c r="Z13" s="4">
        <f t="shared" ref="Z13:Z42" si="0">-H13</f>
        <v>257.5872</v>
      </c>
      <c r="AA13" s="4">
        <f>I13</f>
        <v>51259.852800000001</v>
      </c>
      <c r="AB13" s="4">
        <f>-MAX($C$2-AA13,0)*O13</f>
        <v>-657.61272177290641</v>
      </c>
      <c r="AC13" s="4">
        <f>-(T13=30)*5%*AA13*P13</f>
        <v>0</v>
      </c>
      <c r="AD13" s="4">
        <f>SUM(U13:Z13,AB13:AC13)</f>
        <v>-13249.425521772906</v>
      </c>
      <c r="AE13" s="4">
        <f>AD13*Q13</f>
        <v>-13249.425521772906</v>
      </c>
    </row>
    <row r="14" spans="1:31" x14ac:dyDescent="0.3">
      <c r="A14">
        <f>A13+1</f>
        <v>2</v>
      </c>
      <c r="B14" s="2">
        <f>I13</f>
        <v>51259.852800000001</v>
      </c>
      <c r="C14" s="2">
        <f>C13*(1+$E$1)</f>
        <v>61200</v>
      </c>
      <c r="D14" s="2">
        <f>VLOOKUP(A14,'Q3 mortality'!$F$5:$G$7,2,TRUE)*C14</f>
        <v>57528</v>
      </c>
      <c r="E14" s="2">
        <f t="shared" ref="E14:E42" si="1">-D14*$C$6</f>
        <v>-2301.12</v>
      </c>
      <c r="F14" s="2">
        <f t="shared" ref="F14:F42" si="2">B14+D14+E14</f>
        <v>106486.7328</v>
      </c>
      <c r="G14" s="2">
        <f t="shared" ref="G14:G42" si="3">F14*(1+$C$5)</f>
        <v>110746.202112</v>
      </c>
      <c r="H14" s="4">
        <f t="shared" ref="H14:H42" si="4">-G14*$C$7</f>
        <v>-553.73101055999996</v>
      </c>
      <c r="I14" s="4">
        <f t="shared" ref="I14:I42" si="5">G14+H14</f>
        <v>110192.47110143999</v>
      </c>
      <c r="K14">
        <f>K13+1</f>
        <v>34</v>
      </c>
      <c r="L14" s="27">
        <f>VLOOKUP(K14,'Q3 mortality'!B:D,2,FALSE)</f>
        <v>7.4269999999999989E-4</v>
      </c>
      <c r="M14">
        <f>M13+1</f>
        <v>36</v>
      </c>
      <c r="N14" s="27">
        <f>VLOOKUP(M14,'Q3 mortality'!B:D,3,FALSE)</f>
        <v>8.2399999999999997E-4</v>
      </c>
      <c r="O14" s="27">
        <f t="shared" ref="O14:O42" si="6">1-((1-L14)*(1-N14))</f>
        <v>1.5660880152000844E-3</v>
      </c>
      <c r="P14" s="27">
        <f t="shared" ref="P14:P42" si="7">1-O14</f>
        <v>0.99843391198479992</v>
      </c>
      <c r="Q14" s="27">
        <f>Q13*P13</f>
        <v>0.99853453557504002</v>
      </c>
      <c r="T14">
        <f t="shared" ref="T14:T42" si="8">A14</f>
        <v>2</v>
      </c>
      <c r="U14" s="4">
        <f t="shared" ref="U14:U42" si="9">C14-D14</f>
        <v>3672</v>
      </c>
      <c r="V14" s="4">
        <f t="shared" ref="V14:V42" si="10">-E14</f>
        <v>2301.12</v>
      </c>
      <c r="W14" s="4">
        <f>-$E$3</f>
        <v>-1000</v>
      </c>
      <c r="X14" s="4">
        <f>-C14*$E$4</f>
        <v>-1224</v>
      </c>
      <c r="Y14" s="4">
        <f t="shared" ref="Y14:Y42" si="11">SUM(U14:X14)*$E$5</f>
        <v>93.728000000000009</v>
      </c>
      <c r="Z14" s="4">
        <f t="shared" si="0"/>
        <v>553.73101055999996</v>
      </c>
      <c r="AA14" s="4">
        <f t="shared" ref="AA14:AA42" si="12">I14</f>
        <v>110192.47110143999</v>
      </c>
      <c r="AB14" s="4">
        <f t="shared" ref="AB14:AB42" si="13">-MAX($C$2-AA14,0)*O14</f>
        <v>-610.47289924279539</v>
      </c>
      <c r="AC14" s="4">
        <f t="shared" ref="AC14:AC42" si="14">-(T14=30)*5%*AA14*P14</f>
        <v>0</v>
      </c>
      <c r="AD14" s="4">
        <f t="shared" ref="AD14:AD42" si="15">SUM(U14:Z14,AB14:AC14)</f>
        <v>3786.1061113172045</v>
      </c>
      <c r="AE14" s="4">
        <f t="shared" ref="AE14:AE42" si="16">AD14*Q14</f>
        <v>3780.5577075019455</v>
      </c>
    </row>
    <row r="15" spans="1:31" x14ac:dyDescent="0.3">
      <c r="A15">
        <f t="shared" ref="A15:A42" si="17">A14+1</f>
        <v>3</v>
      </c>
      <c r="B15" s="2">
        <f t="shared" ref="B15:B42" si="18">I14</f>
        <v>110192.47110143999</v>
      </c>
      <c r="C15" s="2">
        <f t="shared" ref="C15:C42" si="19">C14*(1+$E$1)</f>
        <v>62424</v>
      </c>
      <c r="D15" s="2">
        <f>VLOOKUP(A15,'Q3 mortality'!$F$5:$G$7,2,TRUE)*C15</f>
        <v>62424</v>
      </c>
      <c r="E15" s="2">
        <f t="shared" si="1"/>
        <v>-2496.96</v>
      </c>
      <c r="F15" s="2">
        <f t="shared" si="2"/>
        <v>170119.51110144</v>
      </c>
      <c r="G15" s="2">
        <f t="shared" si="3"/>
        <v>176924.2915454976</v>
      </c>
      <c r="H15" s="4">
        <f t="shared" si="4"/>
        <v>-884.62145772748806</v>
      </c>
      <c r="I15" s="4">
        <f t="shared" si="5"/>
        <v>176039.67008777012</v>
      </c>
      <c r="K15">
        <f t="shared" ref="K15:M42" si="20">K14+1</f>
        <v>35</v>
      </c>
      <c r="L15" s="27">
        <f>VLOOKUP(K15,'Q3 mortality'!B:D,2,FALSE)</f>
        <v>7.9030000000000007E-4</v>
      </c>
      <c r="M15">
        <f t="shared" si="20"/>
        <v>37</v>
      </c>
      <c r="N15" s="27">
        <f>VLOOKUP(M15,'Q3 mortality'!B:D,3,FALSE)</f>
        <v>8.7680000000000006E-4</v>
      </c>
      <c r="O15" s="27">
        <f t="shared" si="6"/>
        <v>1.6664070649600182E-3</v>
      </c>
      <c r="P15" s="27">
        <f t="shared" si="7"/>
        <v>0.99833359293503998</v>
      </c>
      <c r="Q15" s="27">
        <f t="shared" ref="Q15:Q42" si="21">Q14*P14</f>
        <v>0.99697074260611251</v>
      </c>
      <c r="T15">
        <f t="shared" si="8"/>
        <v>3</v>
      </c>
      <c r="U15" s="4">
        <f t="shared" si="9"/>
        <v>0</v>
      </c>
      <c r="V15" s="4">
        <f t="shared" si="10"/>
        <v>2496.96</v>
      </c>
      <c r="W15" s="4">
        <f t="shared" ref="W15:W42" si="22">-$E$3</f>
        <v>-1000</v>
      </c>
      <c r="X15" s="4">
        <f t="shared" ref="X15:X42" si="23">-C15*$E$4</f>
        <v>-1248.48</v>
      </c>
      <c r="Y15" s="4">
        <f t="shared" si="11"/>
        <v>6.2120000000000006</v>
      </c>
      <c r="Z15" s="4">
        <f t="shared" si="0"/>
        <v>884.62145772748806</v>
      </c>
      <c r="AA15" s="4">
        <f t="shared" si="12"/>
        <v>176039.67008777012</v>
      </c>
      <c r="AB15" s="4">
        <f t="shared" si="13"/>
        <v>-539.84978253251825</v>
      </c>
      <c r="AC15" s="4">
        <f t="shared" si="14"/>
        <v>0</v>
      </c>
      <c r="AD15" s="4">
        <f t="shared" si="15"/>
        <v>599.46367519496994</v>
      </c>
      <c r="AE15" s="4">
        <f t="shared" si="16"/>
        <v>597.64774542451858</v>
      </c>
    </row>
    <row r="16" spans="1:31" x14ac:dyDescent="0.3">
      <c r="A16">
        <f t="shared" si="17"/>
        <v>4</v>
      </c>
      <c r="B16" s="2">
        <f t="shared" si="18"/>
        <v>176039.67008777012</v>
      </c>
      <c r="C16" s="2">
        <f t="shared" si="19"/>
        <v>63672.480000000003</v>
      </c>
      <c r="D16" s="2">
        <f>VLOOKUP(A16,'Q3 mortality'!$F$5:$G$7,2,TRUE)*C16</f>
        <v>63672.480000000003</v>
      </c>
      <c r="E16" s="2">
        <f t="shared" si="1"/>
        <v>-2546.8992000000003</v>
      </c>
      <c r="F16" s="2">
        <f t="shared" si="2"/>
        <v>237165.25088777012</v>
      </c>
      <c r="G16" s="2">
        <f t="shared" si="3"/>
        <v>246651.86092328094</v>
      </c>
      <c r="H16" s="4">
        <f t="shared" si="4"/>
        <v>-1233.2593046164047</v>
      </c>
      <c r="I16" s="4">
        <f t="shared" si="5"/>
        <v>245418.60161866454</v>
      </c>
      <c r="K16">
        <f t="shared" si="20"/>
        <v>36</v>
      </c>
      <c r="L16" s="27">
        <f>VLOOKUP(K16,'Q3 mortality'!B:D,2,FALSE)</f>
        <v>8.343999999999999E-4</v>
      </c>
      <c r="M16">
        <f t="shared" si="20"/>
        <v>38</v>
      </c>
      <c r="N16" s="27">
        <f>VLOOKUP(M16,'Q3 mortality'!B:D,3,FALSE)</f>
        <v>9.3600000000000009E-4</v>
      </c>
      <c r="O16" s="27">
        <f t="shared" si="6"/>
        <v>1.769619001600109E-3</v>
      </c>
      <c r="P16" s="27">
        <f t="shared" si="7"/>
        <v>0.99823038099839989</v>
      </c>
      <c r="Q16" s="27">
        <f t="shared" si="21"/>
        <v>0.99530938351707521</v>
      </c>
      <c r="T16">
        <f t="shared" si="8"/>
        <v>4</v>
      </c>
      <c r="U16" s="4">
        <f t="shared" si="9"/>
        <v>0</v>
      </c>
      <c r="V16" s="4">
        <f t="shared" si="10"/>
        <v>2546.8992000000003</v>
      </c>
      <c r="W16" s="4">
        <f t="shared" si="22"/>
        <v>-1000</v>
      </c>
      <c r="X16" s="4">
        <f t="shared" si="23"/>
        <v>-1273.4496000000001</v>
      </c>
      <c r="Y16" s="4">
        <f t="shared" si="11"/>
        <v>6.8362400000000036</v>
      </c>
      <c r="Z16" s="4">
        <f t="shared" si="0"/>
        <v>1233.2593046164047</v>
      </c>
      <c r="AA16" s="4">
        <f t="shared" si="12"/>
        <v>245418.60161866454</v>
      </c>
      <c r="AB16" s="4">
        <f t="shared" si="13"/>
        <v>-450.51208002953848</v>
      </c>
      <c r="AC16" s="4">
        <f t="shared" si="14"/>
        <v>0</v>
      </c>
      <c r="AD16" s="4">
        <f t="shared" si="15"/>
        <v>1063.0330645868662</v>
      </c>
      <c r="AE16" s="4">
        <f t="shared" si="16"/>
        <v>1058.0467841722209</v>
      </c>
    </row>
    <row r="17" spans="1:31" x14ac:dyDescent="0.3">
      <c r="A17">
        <f t="shared" si="17"/>
        <v>5</v>
      </c>
      <c r="B17" s="2">
        <f t="shared" si="18"/>
        <v>245418.60161866454</v>
      </c>
      <c r="C17" s="2">
        <f t="shared" si="19"/>
        <v>64945.929600000003</v>
      </c>
      <c r="D17" s="2">
        <f>VLOOKUP(A17,'Q3 mortality'!$F$5:$G$7,2,TRUE)*C17</f>
        <v>64945.929600000003</v>
      </c>
      <c r="E17" s="2">
        <f t="shared" si="1"/>
        <v>-2597.837184</v>
      </c>
      <c r="F17" s="2">
        <f t="shared" si="2"/>
        <v>307766.69403466454</v>
      </c>
      <c r="G17" s="2">
        <f t="shared" si="3"/>
        <v>320077.36179605115</v>
      </c>
      <c r="H17" s="4">
        <f t="shared" si="4"/>
        <v>-1600.3868089802559</v>
      </c>
      <c r="I17" s="4">
        <f t="shared" si="5"/>
        <v>318476.97498707089</v>
      </c>
      <c r="K17">
        <f t="shared" si="20"/>
        <v>37</v>
      </c>
      <c r="L17" s="27">
        <f>VLOOKUP(K17,'Q3 mortality'!B:D,2,FALSE)</f>
        <v>8.7849999999999994E-4</v>
      </c>
      <c r="M17">
        <f t="shared" si="20"/>
        <v>39</v>
      </c>
      <c r="N17" s="27">
        <f>VLOOKUP(M17,'Q3 mortality'!B:D,3,FALSE)</f>
        <v>1.0031999999999999E-3</v>
      </c>
      <c r="O17" s="27">
        <f t="shared" si="6"/>
        <v>1.8808186887999678E-3</v>
      </c>
      <c r="P17" s="27">
        <f t="shared" si="7"/>
        <v>0.99811918131120003</v>
      </c>
      <c r="Q17" s="27">
        <f t="shared" si="21"/>
        <v>0.99354806511953253</v>
      </c>
      <c r="T17">
        <f t="shared" si="8"/>
        <v>5</v>
      </c>
      <c r="U17" s="4">
        <f t="shared" si="9"/>
        <v>0</v>
      </c>
      <c r="V17" s="4">
        <f t="shared" si="10"/>
        <v>2597.837184</v>
      </c>
      <c r="W17" s="4">
        <f t="shared" si="22"/>
        <v>-1000</v>
      </c>
      <c r="X17" s="4">
        <f t="shared" si="23"/>
        <v>-1298.918592</v>
      </c>
      <c r="Y17" s="4">
        <f t="shared" si="11"/>
        <v>7.4729647999999997</v>
      </c>
      <c r="Z17" s="4">
        <f t="shared" si="0"/>
        <v>1600.3868089802559</v>
      </c>
      <c r="AA17" s="4">
        <f t="shared" si="12"/>
        <v>318476.97498707089</v>
      </c>
      <c r="AB17" s="4">
        <f t="shared" si="13"/>
        <v>-341.41189789182107</v>
      </c>
      <c r="AC17" s="4">
        <f t="shared" si="14"/>
        <v>0</v>
      </c>
      <c r="AD17" s="4">
        <f t="shared" si="15"/>
        <v>1565.3664678884347</v>
      </c>
      <c r="AE17" s="4">
        <f t="shared" si="16"/>
        <v>1555.2668253735512</v>
      </c>
    </row>
    <row r="18" spans="1:31" x14ac:dyDescent="0.3">
      <c r="A18">
        <f t="shared" si="17"/>
        <v>6</v>
      </c>
      <c r="B18" s="2">
        <f t="shared" si="18"/>
        <v>318476.97498707089</v>
      </c>
      <c r="C18" s="2">
        <f t="shared" si="19"/>
        <v>66244.848192000005</v>
      </c>
      <c r="D18" s="2">
        <f>VLOOKUP(A18,'Q3 mortality'!$F$5:$G$7,2,TRUE)*C18</f>
        <v>66244.848192000005</v>
      </c>
      <c r="E18" s="2">
        <f t="shared" si="1"/>
        <v>-2649.7939276800003</v>
      </c>
      <c r="F18" s="2">
        <f t="shared" si="2"/>
        <v>382072.02925139089</v>
      </c>
      <c r="G18" s="2">
        <f t="shared" si="3"/>
        <v>397354.91042144655</v>
      </c>
      <c r="H18" s="4">
        <f t="shared" si="4"/>
        <v>-1986.7745521072327</v>
      </c>
      <c r="I18" s="4">
        <f t="shared" si="5"/>
        <v>395368.13586933934</v>
      </c>
      <c r="K18">
        <f t="shared" si="20"/>
        <v>38</v>
      </c>
      <c r="L18" s="27">
        <f>VLOOKUP(K18,'Q3 mortality'!B:D,2,FALSE)</f>
        <v>9.3239999999999979E-4</v>
      </c>
      <c r="M18">
        <f t="shared" si="20"/>
        <v>40</v>
      </c>
      <c r="N18" s="27">
        <f>VLOOKUP(M18,'Q3 mortality'!B:D,3,FALSE)</f>
        <v>1.0792E-3</v>
      </c>
      <c r="O18" s="27">
        <f t="shared" si="6"/>
        <v>2.0105937539198759E-3</v>
      </c>
      <c r="P18" s="27">
        <f t="shared" si="7"/>
        <v>0.99798940624608012</v>
      </c>
      <c r="Q18" s="27">
        <f t="shared" si="21"/>
        <v>0.99167938135043465</v>
      </c>
      <c r="T18">
        <f t="shared" si="8"/>
        <v>6</v>
      </c>
      <c r="U18" s="4">
        <f t="shared" si="9"/>
        <v>0</v>
      </c>
      <c r="V18" s="4">
        <f t="shared" si="10"/>
        <v>2649.7939276800003</v>
      </c>
      <c r="W18" s="4">
        <f t="shared" si="22"/>
        <v>-1000</v>
      </c>
      <c r="X18" s="4">
        <f t="shared" si="23"/>
        <v>-1324.8969638400001</v>
      </c>
      <c r="Y18" s="4">
        <f t="shared" si="11"/>
        <v>8.1224240960000031</v>
      </c>
      <c r="Z18" s="4">
        <f t="shared" si="0"/>
        <v>1986.7745521072327</v>
      </c>
      <c r="AA18" s="4">
        <f t="shared" si="12"/>
        <v>395368.13586933934</v>
      </c>
      <c r="AB18" s="4">
        <f t="shared" si="13"/>
        <v>-210.37217248209944</v>
      </c>
      <c r="AC18" s="4">
        <f t="shared" si="14"/>
        <v>0</v>
      </c>
      <c r="AD18" s="4">
        <f t="shared" si="15"/>
        <v>2109.4217675611335</v>
      </c>
      <c r="AE18" s="4">
        <f t="shared" si="16"/>
        <v>2091.8700734621652</v>
      </c>
    </row>
    <row r="19" spans="1:31" x14ac:dyDescent="0.3">
      <c r="A19">
        <f t="shared" si="17"/>
        <v>7</v>
      </c>
      <c r="B19" s="2">
        <f t="shared" si="18"/>
        <v>395368.13586933934</v>
      </c>
      <c r="C19" s="2">
        <f t="shared" si="19"/>
        <v>67569.745155840006</v>
      </c>
      <c r="D19" s="2">
        <f>VLOOKUP(A19,'Q3 mortality'!$F$5:$G$7,2,TRUE)*C19</f>
        <v>67569.745155840006</v>
      </c>
      <c r="E19" s="2">
        <f t="shared" si="1"/>
        <v>-2702.7898062336003</v>
      </c>
      <c r="F19" s="2">
        <f t="shared" si="2"/>
        <v>460235.09121894574</v>
      </c>
      <c r="G19" s="2">
        <f t="shared" si="3"/>
        <v>478644.49486770359</v>
      </c>
      <c r="H19" s="4">
        <f t="shared" si="4"/>
        <v>-2393.2224743385182</v>
      </c>
      <c r="I19" s="4">
        <f t="shared" si="5"/>
        <v>476251.27239336504</v>
      </c>
      <c r="K19">
        <f t="shared" si="20"/>
        <v>39</v>
      </c>
      <c r="L19" s="27">
        <f>VLOOKUP(K19,'Q3 mortality'!B:D,2,FALSE)</f>
        <v>1.0030999999999998E-3</v>
      </c>
      <c r="M19">
        <f t="shared" si="20"/>
        <v>41</v>
      </c>
      <c r="N19" s="27">
        <f>VLOOKUP(M19,'Q3 mortality'!B:D,3,FALSE)</f>
        <v>1.1639999999999999E-3</v>
      </c>
      <c r="O19" s="27">
        <f t="shared" si="6"/>
        <v>2.1659323916001227E-3</v>
      </c>
      <c r="P19" s="27">
        <f t="shared" si="7"/>
        <v>0.99783406760839988</v>
      </c>
      <c r="Q19" s="27">
        <f t="shared" si="21"/>
        <v>0.9896855169804003</v>
      </c>
      <c r="T19">
        <f t="shared" si="8"/>
        <v>7</v>
      </c>
      <c r="U19" s="4">
        <f t="shared" si="9"/>
        <v>0</v>
      </c>
      <c r="V19" s="4">
        <f t="shared" si="10"/>
        <v>2702.7898062336003</v>
      </c>
      <c r="W19" s="4">
        <f t="shared" si="22"/>
        <v>-1000</v>
      </c>
      <c r="X19" s="4">
        <f t="shared" si="23"/>
        <v>-1351.3949031168002</v>
      </c>
      <c r="Y19" s="4">
        <f t="shared" si="11"/>
        <v>8.7848725779200034</v>
      </c>
      <c r="Z19" s="4">
        <f t="shared" si="0"/>
        <v>2393.2224743385182</v>
      </c>
      <c r="AA19" s="4">
        <f t="shared" si="12"/>
        <v>476251.27239336504</v>
      </c>
      <c r="AB19" s="4">
        <f t="shared" si="13"/>
        <v>-51.438138382498714</v>
      </c>
      <c r="AC19" s="4">
        <f t="shared" si="14"/>
        <v>0</v>
      </c>
      <c r="AD19" s="4">
        <f t="shared" si="15"/>
        <v>2701.9641116507396</v>
      </c>
      <c r="AE19" s="4">
        <f t="shared" si="16"/>
        <v>2674.0947487015501</v>
      </c>
    </row>
    <row r="20" spans="1:31" x14ac:dyDescent="0.3">
      <c r="A20">
        <f t="shared" si="17"/>
        <v>8</v>
      </c>
      <c r="B20" s="2">
        <f t="shared" si="18"/>
        <v>476251.27239336504</v>
      </c>
      <c r="C20" s="2">
        <f t="shared" si="19"/>
        <v>68921.140058956807</v>
      </c>
      <c r="D20" s="2">
        <f>VLOOKUP(A20,'Q3 mortality'!$F$5:$G$7,2,TRUE)*C20</f>
        <v>68921.140058956807</v>
      </c>
      <c r="E20" s="2">
        <f t="shared" si="1"/>
        <v>-2756.8456023582726</v>
      </c>
      <c r="F20" s="2">
        <f t="shared" si="2"/>
        <v>542415.56684996362</v>
      </c>
      <c r="G20" s="2">
        <f t="shared" si="3"/>
        <v>564112.18952396221</v>
      </c>
      <c r="H20" s="4">
        <f t="shared" si="4"/>
        <v>-2820.560947619811</v>
      </c>
      <c r="I20" s="4">
        <f t="shared" si="5"/>
        <v>561291.62857634237</v>
      </c>
      <c r="K20">
        <f t="shared" si="20"/>
        <v>40</v>
      </c>
      <c r="L20" s="27">
        <f>VLOOKUP(K20,'Q3 mortality'!B:D,2,FALSE)</f>
        <v>1.0920000000000001E-3</v>
      </c>
      <c r="M20">
        <f t="shared" si="20"/>
        <v>42</v>
      </c>
      <c r="N20" s="27">
        <f>VLOOKUP(M20,'Q3 mortality'!B:D,3,FALSE)</f>
        <v>1.2584E-3</v>
      </c>
      <c r="O20" s="27">
        <f t="shared" si="6"/>
        <v>2.3490258271999798E-3</v>
      </c>
      <c r="P20" s="27">
        <f t="shared" si="7"/>
        <v>0.99765097417280002</v>
      </c>
      <c r="Q20" s="27">
        <f t="shared" si="21"/>
        <v>0.98754192506167493</v>
      </c>
      <c r="T20">
        <f t="shared" si="8"/>
        <v>8</v>
      </c>
      <c r="U20" s="4">
        <f t="shared" si="9"/>
        <v>0</v>
      </c>
      <c r="V20" s="4">
        <f t="shared" si="10"/>
        <v>2756.8456023582726</v>
      </c>
      <c r="W20" s="4">
        <f t="shared" si="22"/>
        <v>-1000</v>
      </c>
      <c r="X20" s="4">
        <f t="shared" si="23"/>
        <v>-1378.4228011791363</v>
      </c>
      <c r="Y20" s="4">
        <f t="shared" si="11"/>
        <v>9.4605700294784079</v>
      </c>
      <c r="Z20" s="4">
        <f t="shared" si="0"/>
        <v>2820.560947619811</v>
      </c>
      <c r="AA20" s="4">
        <f t="shared" si="12"/>
        <v>561291.62857634237</v>
      </c>
      <c r="AB20" s="4">
        <f t="shared" si="13"/>
        <v>0</v>
      </c>
      <c r="AC20" s="4">
        <f t="shared" si="14"/>
        <v>0</v>
      </c>
      <c r="AD20" s="4">
        <f t="shared" si="15"/>
        <v>3208.4443188284258</v>
      </c>
      <c r="AE20" s="4">
        <f t="shared" si="16"/>
        <v>3168.4732790690177</v>
      </c>
    </row>
    <row r="21" spans="1:31" x14ac:dyDescent="0.3">
      <c r="A21">
        <f t="shared" si="17"/>
        <v>9</v>
      </c>
      <c r="B21" s="2">
        <f t="shared" si="18"/>
        <v>561291.62857634237</v>
      </c>
      <c r="C21" s="2">
        <f t="shared" si="19"/>
        <v>70299.562860135949</v>
      </c>
      <c r="D21" s="2">
        <f>VLOOKUP(A21,'Q3 mortality'!$F$5:$G$7,2,TRUE)*C21</f>
        <v>70299.562860135949</v>
      </c>
      <c r="E21" s="2">
        <f t="shared" si="1"/>
        <v>-2811.982514405438</v>
      </c>
      <c r="F21" s="2">
        <f t="shared" si="2"/>
        <v>628779.2089220729</v>
      </c>
      <c r="G21" s="2">
        <f t="shared" si="3"/>
        <v>653930.37727895589</v>
      </c>
      <c r="H21" s="4">
        <f t="shared" si="4"/>
        <v>-3269.6518863947795</v>
      </c>
      <c r="I21" s="4">
        <f t="shared" si="5"/>
        <v>650660.72539256106</v>
      </c>
      <c r="K21">
        <f t="shared" si="20"/>
        <v>41</v>
      </c>
      <c r="L21" s="27">
        <f>VLOOKUP(K21,'Q3 mortality'!B:D,2,FALSE)</f>
        <v>1.204E-3</v>
      </c>
      <c r="M21">
        <f t="shared" si="20"/>
        <v>43</v>
      </c>
      <c r="N21" s="27">
        <f>VLOOKUP(M21,'Q3 mortality'!B:D,3,FALSE)</f>
        <v>1.3648000000000002E-3</v>
      </c>
      <c r="O21" s="27">
        <f t="shared" si="6"/>
        <v>2.5671567807999951E-3</v>
      </c>
      <c r="P21" s="27">
        <f t="shared" si="7"/>
        <v>0.9974328432192</v>
      </c>
      <c r="Q21" s="27">
        <f t="shared" si="21"/>
        <v>0.98522216357426229</v>
      </c>
      <c r="T21">
        <f t="shared" si="8"/>
        <v>9</v>
      </c>
      <c r="U21" s="4">
        <f t="shared" si="9"/>
        <v>0</v>
      </c>
      <c r="V21" s="4">
        <f t="shared" si="10"/>
        <v>2811.982514405438</v>
      </c>
      <c r="W21" s="4">
        <f t="shared" si="22"/>
        <v>-1000</v>
      </c>
      <c r="X21" s="4">
        <f t="shared" si="23"/>
        <v>-1405.991257202719</v>
      </c>
      <c r="Y21" s="4">
        <f t="shared" si="11"/>
        <v>10.149781430067975</v>
      </c>
      <c r="Z21" s="4">
        <f t="shared" si="0"/>
        <v>3269.6518863947795</v>
      </c>
      <c r="AA21" s="4">
        <f t="shared" si="12"/>
        <v>650660.72539256106</v>
      </c>
      <c r="AB21" s="4">
        <f t="shared" si="13"/>
        <v>0</v>
      </c>
      <c r="AC21" s="4">
        <f t="shared" si="14"/>
        <v>0</v>
      </c>
      <c r="AD21" s="4">
        <f t="shared" si="15"/>
        <v>3685.7929250275665</v>
      </c>
      <c r="AE21" s="4">
        <f t="shared" si="16"/>
        <v>3631.3248800823676</v>
      </c>
    </row>
    <row r="22" spans="1:31" x14ac:dyDescent="0.3">
      <c r="A22">
        <f t="shared" si="17"/>
        <v>10</v>
      </c>
      <c r="B22" s="2">
        <f t="shared" si="18"/>
        <v>650660.72539256106</v>
      </c>
      <c r="C22" s="2">
        <f t="shared" si="19"/>
        <v>71705.554117338674</v>
      </c>
      <c r="D22" s="2">
        <f>VLOOKUP(A22,'Q3 mortality'!$F$5:$G$7,2,TRUE)*C22</f>
        <v>71705.554117338674</v>
      </c>
      <c r="E22" s="2">
        <f t="shared" si="1"/>
        <v>-2868.2221646935468</v>
      </c>
      <c r="F22" s="2">
        <f t="shared" si="2"/>
        <v>719498.05734520615</v>
      </c>
      <c r="G22" s="2">
        <f t="shared" si="3"/>
        <v>748277.97963901446</v>
      </c>
      <c r="H22" s="4">
        <f t="shared" si="4"/>
        <v>-3741.3898981950724</v>
      </c>
      <c r="I22" s="4">
        <f t="shared" si="5"/>
        <v>744536.58974081941</v>
      </c>
      <c r="K22">
        <f t="shared" si="20"/>
        <v>42</v>
      </c>
      <c r="L22" s="27">
        <f>VLOOKUP(K22,'Q3 mortality'!B:D,2,FALSE)</f>
        <v>1.3397999999999999E-3</v>
      </c>
      <c r="M22">
        <f t="shared" si="20"/>
        <v>44</v>
      </c>
      <c r="N22" s="27">
        <f>VLOOKUP(M22,'Q3 mortality'!B:D,3,FALSE)</f>
        <v>1.4832000000000001E-3</v>
      </c>
      <c r="O22" s="27">
        <f t="shared" si="6"/>
        <v>2.8210128086399999E-3</v>
      </c>
      <c r="P22" s="27">
        <f t="shared" si="7"/>
        <v>0.99717898719136</v>
      </c>
      <c r="Q22" s="27">
        <f t="shared" si="21"/>
        <v>0.98269294381644823</v>
      </c>
      <c r="T22">
        <f t="shared" si="8"/>
        <v>10</v>
      </c>
      <c r="U22" s="4">
        <f t="shared" si="9"/>
        <v>0</v>
      </c>
      <c r="V22" s="4">
        <f t="shared" si="10"/>
        <v>2868.2221646935468</v>
      </c>
      <c r="W22" s="4">
        <f t="shared" si="22"/>
        <v>-1000</v>
      </c>
      <c r="X22" s="4">
        <f t="shared" si="23"/>
        <v>-1434.1110823467734</v>
      </c>
      <c r="Y22" s="4">
        <f t="shared" si="11"/>
        <v>10.852777058669336</v>
      </c>
      <c r="Z22" s="4">
        <f t="shared" si="0"/>
        <v>3741.3898981950724</v>
      </c>
      <c r="AA22" s="4">
        <f t="shared" si="12"/>
        <v>744536.58974081941</v>
      </c>
      <c r="AB22" s="4">
        <f t="shared" si="13"/>
        <v>0</v>
      </c>
      <c r="AC22" s="4">
        <f t="shared" si="14"/>
        <v>0</v>
      </c>
      <c r="AD22" s="4">
        <f t="shared" si="15"/>
        <v>4186.3537576005156</v>
      </c>
      <c r="AE22" s="4">
        <f t="shared" si="16"/>
        <v>4113.9002979135003</v>
      </c>
    </row>
    <row r="23" spans="1:31" x14ac:dyDescent="0.3">
      <c r="A23">
        <f t="shared" si="17"/>
        <v>11</v>
      </c>
      <c r="B23" s="2">
        <f t="shared" si="18"/>
        <v>744536.58974081941</v>
      </c>
      <c r="C23" s="2">
        <f t="shared" si="19"/>
        <v>73139.665199685449</v>
      </c>
      <c r="D23" s="2">
        <f>VLOOKUP(A23,'Q3 mortality'!$F$5:$G$7,2,TRUE)*C23</f>
        <v>73139.665199685449</v>
      </c>
      <c r="E23" s="2">
        <f t="shared" si="1"/>
        <v>-2925.5866079874181</v>
      </c>
      <c r="F23" s="2">
        <f t="shared" si="2"/>
        <v>814750.6683325175</v>
      </c>
      <c r="G23" s="2">
        <f t="shared" si="3"/>
        <v>847340.69506581826</v>
      </c>
      <c r="H23" s="4">
        <f t="shared" si="4"/>
        <v>-4236.7034753290918</v>
      </c>
      <c r="I23" s="4">
        <f t="shared" si="5"/>
        <v>843103.99159048917</v>
      </c>
      <c r="K23">
        <f t="shared" si="20"/>
        <v>43</v>
      </c>
      <c r="L23" s="27">
        <f>VLOOKUP(K23,'Q3 mortality'!B:D,2,FALSE)</f>
        <v>1.4945E-3</v>
      </c>
      <c r="M23">
        <f t="shared" si="20"/>
        <v>45</v>
      </c>
      <c r="N23" s="27">
        <f>VLOOKUP(M23,'Q3 mortality'!B:D,3,FALSE)</f>
        <v>1.6160000000000002E-3</v>
      </c>
      <c r="O23" s="27">
        <f t="shared" si="6"/>
        <v>3.1080848879998513E-3</v>
      </c>
      <c r="P23" s="27">
        <f t="shared" si="7"/>
        <v>0.99689191511200015</v>
      </c>
      <c r="Q23" s="27">
        <f t="shared" si="21"/>
        <v>0.97992075443498183</v>
      </c>
      <c r="T23">
        <f t="shared" si="8"/>
        <v>11</v>
      </c>
      <c r="U23" s="4">
        <f t="shared" si="9"/>
        <v>0</v>
      </c>
      <c r="V23" s="4">
        <f t="shared" si="10"/>
        <v>2925.5866079874181</v>
      </c>
      <c r="W23" s="4">
        <f t="shared" si="22"/>
        <v>-1000</v>
      </c>
      <c r="X23" s="4">
        <f t="shared" si="23"/>
        <v>-1462.7933039937091</v>
      </c>
      <c r="Y23" s="4">
        <f t="shared" si="11"/>
        <v>11.569832599842726</v>
      </c>
      <c r="Z23" s="4">
        <f t="shared" si="0"/>
        <v>4236.7034753290918</v>
      </c>
      <c r="AA23" s="4">
        <f t="shared" si="12"/>
        <v>843103.99159048917</v>
      </c>
      <c r="AB23" s="4">
        <f t="shared" si="13"/>
        <v>0</v>
      </c>
      <c r="AC23" s="4">
        <f t="shared" si="14"/>
        <v>0</v>
      </c>
      <c r="AD23" s="4">
        <f t="shared" si="15"/>
        <v>4711.0666119226435</v>
      </c>
      <c r="AE23" s="4">
        <f t="shared" si="16"/>
        <v>4616.4719485486903</v>
      </c>
    </row>
    <row r="24" spans="1:31" x14ac:dyDescent="0.3">
      <c r="A24">
        <f t="shared" si="17"/>
        <v>12</v>
      </c>
      <c r="B24" s="2">
        <f t="shared" si="18"/>
        <v>843103.99159048917</v>
      </c>
      <c r="C24" s="2">
        <f t="shared" si="19"/>
        <v>74602.458503679154</v>
      </c>
      <c r="D24" s="2">
        <f>VLOOKUP(A24,'Q3 mortality'!$F$5:$G$7,2,TRUE)*C24</f>
        <v>74602.458503679154</v>
      </c>
      <c r="E24" s="2">
        <f t="shared" si="1"/>
        <v>-2984.0983401471663</v>
      </c>
      <c r="F24" s="2">
        <f t="shared" si="2"/>
        <v>914722.35175402113</v>
      </c>
      <c r="G24" s="2">
        <f t="shared" si="3"/>
        <v>951311.24582418206</v>
      </c>
      <c r="H24" s="4">
        <f t="shared" si="4"/>
        <v>-4756.5562291209108</v>
      </c>
      <c r="I24" s="4">
        <f t="shared" si="5"/>
        <v>946554.68959506112</v>
      </c>
      <c r="K24">
        <f t="shared" si="20"/>
        <v>44</v>
      </c>
      <c r="L24" s="27">
        <f>VLOOKUP(K24,'Q3 mortality'!B:D,2,FALSE)</f>
        <v>1.6715999999999999E-3</v>
      </c>
      <c r="M24">
        <f t="shared" si="20"/>
        <v>46</v>
      </c>
      <c r="N24" s="27">
        <f>VLOOKUP(M24,'Q3 mortality'!B:D,3,FALSE)</f>
        <v>1.7688000000000003E-3</v>
      </c>
      <c r="O24" s="27">
        <f t="shared" si="6"/>
        <v>3.4374432739200378E-3</v>
      </c>
      <c r="P24" s="27">
        <f t="shared" si="7"/>
        <v>0.99656255672607996</v>
      </c>
      <c r="Q24" s="27">
        <f t="shared" si="21"/>
        <v>0.97687507754668501</v>
      </c>
      <c r="T24">
        <f t="shared" si="8"/>
        <v>12</v>
      </c>
      <c r="U24" s="4">
        <f t="shared" si="9"/>
        <v>0</v>
      </c>
      <c r="V24" s="4">
        <f t="shared" si="10"/>
        <v>2984.0983401471663</v>
      </c>
      <c r="W24" s="4">
        <f t="shared" si="22"/>
        <v>-1000</v>
      </c>
      <c r="X24" s="4">
        <f t="shared" si="23"/>
        <v>-1492.0491700735831</v>
      </c>
      <c r="Y24" s="4">
        <f t="shared" si="11"/>
        <v>12.30122925183958</v>
      </c>
      <c r="Z24" s="4">
        <f t="shared" si="0"/>
        <v>4756.5562291209108</v>
      </c>
      <c r="AA24" s="4">
        <f t="shared" si="12"/>
        <v>946554.68959506112</v>
      </c>
      <c r="AB24" s="4">
        <f t="shared" si="13"/>
        <v>0</v>
      </c>
      <c r="AC24" s="4">
        <f t="shared" si="14"/>
        <v>0</v>
      </c>
      <c r="AD24" s="4">
        <f t="shared" si="15"/>
        <v>5260.9066284463333</v>
      </c>
      <c r="AE24" s="4">
        <f t="shared" si="16"/>
        <v>5139.248570629381</v>
      </c>
    </row>
    <row r="25" spans="1:31" x14ac:dyDescent="0.3">
      <c r="A25">
        <f t="shared" si="17"/>
        <v>13</v>
      </c>
      <c r="B25" s="2">
        <f t="shared" si="18"/>
        <v>946554.68959506112</v>
      </c>
      <c r="C25" s="2">
        <f t="shared" si="19"/>
        <v>76094.507673752742</v>
      </c>
      <c r="D25" s="2">
        <f>VLOOKUP(A25,'Q3 mortality'!$F$5:$G$7,2,TRUE)*C25</f>
        <v>76094.507673752742</v>
      </c>
      <c r="E25" s="2">
        <f t="shared" si="1"/>
        <v>-3043.7803069501097</v>
      </c>
      <c r="F25" s="2">
        <f t="shared" si="2"/>
        <v>1019605.4169618638</v>
      </c>
      <c r="G25" s="2">
        <f t="shared" si="3"/>
        <v>1060389.6336403384</v>
      </c>
      <c r="H25" s="4">
        <f t="shared" si="4"/>
        <v>-5301.9481682016922</v>
      </c>
      <c r="I25" s="4">
        <f t="shared" si="5"/>
        <v>1055087.6854721368</v>
      </c>
      <c r="K25">
        <f t="shared" si="20"/>
        <v>45</v>
      </c>
      <c r="L25" s="27">
        <f>VLOOKUP(K25,'Q3 mortality'!B:D,2,FALSE)</f>
        <v>1.8787999999999999E-3</v>
      </c>
      <c r="M25">
        <f t="shared" si="20"/>
        <v>47</v>
      </c>
      <c r="N25" s="27">
        <f>VLOOKUP(M25,'Q3 mortality'!B:D,3,FALSE)</f>
        <v>1.9440000000000004E-3</v>
      </c>
      <c r="O25" s="27">
        <f t="shared" si="6"/>
        <v>3.8191476127998891E-3</v>
      </c>
      <c r="P25" s="27">
        <f t="shared" si="7"/>
        <v>0.99618085238720011</v>
      </c>
      <c r="Q25" s="27">
        <f t="shared" si="21"/>
        <v>0.973517124881912</v>
      </c>
      <c r="T25">
        <f t="shared" si="8"/>
        <v>13</v>
      </c>
      <c r="U25" s="4">
        <f t="shared" si="9"/>
        <v>0</v>
      </c>
      <c r="V25" s="4">
        <f t="shared" si="10"/>
        <v>3043.7803069501097</v>
      </c>
      <c r="W25" s="4">
        <f t="shared" si="22"/>
        <v>-1000</v>
      </c>
      <c r="X25" s="4">
        <f t="shared" si="23"/>
        <v>-1521.8901534750548</v>
      </c>
      <c r="Y25" s="4">
        <f t="shared" si="11"/>
        <v>13.047253836876372</v>
      </c>
      <c r="Z25" s="4">
        <f t="shared" si="0"/>
        <v>5301.9481682016922</v>
      </c>
      <c r="AA25" s="4">
        <f t="shared" si="12"/>
        <v>1055087.6854721368</v>
      </c>
      <c r="AB25" s="4">
        <f t="shared" si="13"/>
        <v>0</v>
      </c>
      <c r="AC25" s="4">
        <f t="shared" si="14"/>
        <v>0</v>
      </c>
      <c r="AD25" s="4">
        <f t="shared" si="15"/>
        <v>5836.8855755136237</v>
      </c>
      <c r="AE25" s="4">
        <f t="shared" si="16"/>
        <v>5682.3080637387275</v>
      </c>
    </row>
    <row r="26" spans="1:31" x14ac:dyDescent="0.3">
      <c r="A26">
        <f t="shared" si="17"/>
        <v>14</v>
      </c>
      <c r="B26" s="2">
        <f t="shared" si="18"/>
        <v>1055087.6854721368</v>
      </c>
      <c r="C26" s="2">
        <f t="shared" si="19"/>
        <v>77616.397827227804</v>
      </c>
      <c r="D26" s="2">
        <f>VLOOKUP(A26,'Q3 mortality'!$F$5:$G$7,2,TRUE)*C26</f>
        <v>77616.397827227804</v>
      </c>
      <c r="E26" s="2">
        <f t="shared" si="1"/>
        <v>-3104.6559130891123</v>
      </c>
      <c r="F26" s="2">
        <f t="shared" si="2"/>
        <v>1129599.4273862755</v>
      </c>
      <c r="G26" s="2">
        <f t="shared" si="3"/>
        <v>1174783.4044817265</v>
      </c>
      <c r="H26" s="4">
        <f t="shared" si="4"/>
        <v>-5873.9170224086329</v>
      </c>
      <c r="I26" s="4">
        <f t="shared" si="5"/>
        <v>1168909.4874593178</v>
      </c>
      <c r="K26">
        <f t="shared" si="20"/>
        <v>46</v>
      </c>
      <c r="L26" s="27">
        <f>VLOOKUP(K26,'Q3 mortality'!B:D,2,FALSE)</f>
        <v>2.1196000000000001E-3</v>
      </c>
      <c r="M26">
        <f t="shared" si="20"/>
        <v>48</v>
      </c>
      <c r="N26" s="27">
        <f>VLOOKUP(M26,'Q3 mortality'!B:D,3,FALSE)</f>
        <v>2.1408E-3</v>
      </c>
      <c r="O26" s="27">
        <f t="shared" si="6"/>
        <v>4.2558623603200507E-3</v>
      </c>
      <c r="P26" s="27">
        <f t="shared" si="7"/>
        <v>0.99574413763967995</v>
      </c>
      <c r="Q26" s="27">
        <f t="shared" si="21"/>
        <v>0.96979911927839946</v>
      </c>
      <c r="T26">
        <f t="shared" si="8"/>
        <v>14</v>
      </c>
      <c r="U26" s="4">
        <f t="shared" si="9"/>
        <v>0</v>
      </c>
      <c r="V26" s="4">
        <f t="shared" si="10"/>
        <v>3104.6559130891123</v>
      </c>
      <c r="W26" s="4">
        <f t="shared" si="22"/>
        <v>-1000</v>
      </c>
      <c r="X26" s="4">
        <f t="shared" si="23"/>
        <v>-1552.3279565445562</v>
      </c>
      <c r="Y26" s="4">
        <f t="shared" si="11"/>
        <v>13.808198913613905</v>
      </c>
      <c r="Z26" s="4">
        <f t="shared" si="0"/>
        <v>5873.9170224086329</v>
      </c>
      <c r="AA26" s="4">
        <f t="shared" si="12"/>
        <v>1168909.4874593178</v>
      </c>
      <c r="AB26" s="4">
        <f t="shared" si="13"/>
        <v>0</v>
      </c>
      <c r="AC26" s="4">
        <f t="shared" si="14"/>
        <v>0</v>
      </c>
      <c r="AD26" s="4">
        <f t="shared" si="15"/>
        <v>6440.0531778668028</v>
      </c>
      <c r="AE26" s="4">
        <f t="shared" si="16"/>
        <v>6245.5579000012831</v>
      </c>
    </row>
    <row r="27" spans="1:31" x14ac:dyDescent="0.3">
      <c r="A27">
        <f t="shared" si="17"/>
        <v>15</v>
      </c>
      <c r="B27" s="2">
        <f t="shared" si="18"/>
        <v>1168909.4874593178</v>
      </c>
      <c r="C27" s="2">
        <f t="shared" si="19"/>
        <v>79168.725783772359</v>
      </c>
      <c r="D27" s="2">
        <f>VLOOKUP(A27,'Q3 mortality'!$F$5:$G$7,2,TRUE)*C27</f>
        <v>79168.725783772359</v>
      </c>
      <c r="E27" s="2">
        <f t="shared" si="1"/>
        <v>-3166.7490313508943</v>
      </c>
      <c r="F27" s="2">
        <f t="shared" si="2"/>
        <v>1244911.4642117391</v>
      </c>
      <c r="G27" s="2">
        <f t="shared" si="3"/>
        <v>1294707.9227802088</v>
      </c>
      <c r="H27" s="4">
        <f t="shared" si="4"/>
        <v>-6473.5396139010436</v>
      </c>
      <c r="I27" s="4">
        <f t="shared" si="5"/>
        <v>1288234.3831663078</v>
      </c>
      <c r="K27">
        <f t="shared" si="20"/>
        <v>47</v>
      </c>
      <c r="L27" s="27">
        <f>VLOOKUP(K27,'Q3 mortality'!B:D,2,FALSE)</f>
        <v>2.3933000000000001E-3</v>
      </c>
      <c r="M27">
        <f t="shared" si="20"/>
        <v>49</v>
      </c>
      <c r="N27" s="27">
        <f>VLOOKUP(M27,'Q3 mortality'!B:D,3,FALSE)</f>
        <v>2.3544000000000004E-3</v>
      </c>
      <c r="O27" s="27">
        <f t="shared" si="6"/>
        <v>4.7420652144800624E-3</v>
      </c>
      <c r="P27" s="27">
        <f t="shared" si="7"/>
        <v>0.99525793478551994</v>
      </c>
      <c r="Q27" s="27">
        <f t="shared" si="21"/>
        <v>0.96567178770959095</v>
      </c>
      <c r="T27">
        <f t="shared" si="8"/>
        <v>15</v>
      </c>
      <c r="U27" s="4">
        <f t="shared" si="9"/>
        <v>0</v>
      </c>
      <c r="V27" s="4">
        <f t="shared" si="10"/>
        <v>3166.7490313508943</v>
      </c>
      <c r="W27" s="4">
        <f t="shared" si="22"/>
        <v>-1000</v>
      </c>
      <c r="X27" s="4">
        <f t="shared" si="23"/>
        <v>-1583.3745156754471</v>
      </c>
      <c r="Y27" s="4">
        <f t="shared" si="11"/>
        <v>14.58436289188618</v>
      </c>
      <c r="Z27" s="4">
        <f t="shared" si="0"/>
        <v>6473.5396139010436</v>
      </c>
      <c r="AA27" s="4">
        <f t="shared" si="12"/>
        <v>1288234.3831663078</v>
      </c>
      <c r="AB27" s="4">
        <f t="shared" si="13"/>
        <v>0</v>
      </c>
      <c r="AC27" s="4">
        <f t="shared" si="14"/>
        <v>0</v>
      </c>
      <c r="AD27" s="4">
        <f t="shared" si="15"/>
        <v>7071.4984924683768</v>
      </c>
      <c r="AE27" s="4">
        <f t="shared" si="16"/>
        <v>6828.7465910076144</v>
      </c>
    </row>
    <row r="28" spans="1:31" x14ac:dyDescent="0.3">
      <c r="A28">
        <f t="shared" si="17"/>
        <v>16</v>
      </c>
      <c r="B28" s="2">
        <f t="shared" si="18"/>
        <v>1288234.3831663078</v>
      </c>
      <c r="C28" s="2">
        <f t="shared" si="19"/>
        <v>80752.100299447804</v>
      </c>
      <c r="D28" s="2">
        <f>VLOOKUP(A28,'Q3 mortality'!$F$5:$G$7,2,TRUE)*C28</f>
        <v>80752.100299447804</v>
      </c>
      <c r="E28" s="2">
        <f t="shared" si="1"/>
        <v>-3230.0840119779123</v>
      </c>
      <c r="F28" s="2">
        <f t="shared" si="2"/>
        <v>1365756.3994537776</v>
      </c>
      <c r="G28" s="2">
        <f t="shared" si="3"/>
        <v>1420386.6554319288</v>
      </c>
      <c r="H28" s="4">
        <f t="shared" si="4"/>
        <v>-7101.9332771596446</v>
      </c>
      <c r="I28" s="4">
        <f t="shared" si="5"/>
        <v>1413284.7221547691</v>
      </c>
      <c r="K28">
        <f t="shared" si="20"/>
        <v>48</v>
      </c>
      <c r="L28" s="27">
        <f>VLOOKUP(K28,'Q3 mortality'!B:D,2,FALSE)</f>
        <v>2.6928999999999998E-3</v>
      </c>
      <c r="M28">
        <f t="shared" si="20"/>
        <v>50</v>
      </c>
      <c r="N28" s="27">
        <f>VLOOKUP(M28,'Q3 mortality'!B:D,3,FALSE)</f>
        <v>2.5824000000000003E-3</v>
      </c>
      <c r="O28" s="27">
        <f t="shared" si="6"/>
        <v>5.2683458550399909E-3</v>
      </c>
      <c r="P28" s="27">
        <f t="shared" si="7"/>
        <v>0.99473165414496001</v>
      </c>
      <c r="Q28" s="27">
        <f t="shared" si="21"/>
        <v>0.96109250911648847</v>
      </c>
      <c r="T28">
        <f t="shared" si="8"/>
        <v>16</v>
      </c>
      <c r="U28" s="4">
        <f t="shared" si="9"/>
        <v>0</v>
      </c>
      <c r="V28" s="4">
        <f t="shared" si="10"/>
        <v>3230.0840119779123</v>
      </c>
      <c r="W28" s="4">
        <f t="shared" si="22"/>
        <v>-1000</v>
      </c>
      <c r="X28" s="4">
        <f t="shared" si="23"/>
        <v>-1615.0420059889561</v>
      </c>
      <c r="Y28" s="4">
        <f t="shared" si="11"/>
        <v>15.376050149723904</v>
      </c>
      <c r="Z28" s="4">
        <f t="shared" si="0"/>
        <v>7101.9332771596446</v>
      </c>
      <c r="AA28" s="4">
        <f t="shared" si="12"/>
        <v>1413284.7221547691</v>
      </c>
      <c r="AB28" s="4">
        <f t="shared" si="13"/>
        <v>0</v>
      </c>
      <c r="AC28" s="4">
        <f t="shared" si="14"/>
        <v>0</v>
      </c>
      <c r="AD28" s="4">
        <f t="shared" si="15"/>
        <v>7732.3513332983248</v>
      </c>
      <c r="AE28" s="4">
        <f t="shared" si="16"/>
        <v>7431.5049442899117</v>
      </c>
    </row>
    <row r="29" spans="1:31" x14ac:dyDescent="0.3">
      <c r="A29">
        <f t="shared" si="17"/>
        <v>17</v>
      </c>
      <c r="B29" s="2">
        <f t="shared" si="18"/>
        <v>1413284.7221547691</v>
      </c>
      <c r="C29" s="2">
        <f t="shared" si="19"/>
        <v>82367.142305436762</v>
      </c>
      <c r="D29" s="2">
        <f>VLOOKUP(A29,'Q3 mortality'!$F$5:$G$7,2,TRUE)*C29</f>
        <v>82367.142305436762</v>
      </c>
      <c r="E29" s="2">
        <f t="shared" si="1"/>
        <v>-3294.6856922174707</v>
      </c>
      <c r="F29" s="2">
        <f t="shared" si="2"/>
        <v>1492357.1787679885</v>
      </c>
      <c r="G29" s="2">
        <f t="shared" si="3"/>
        <v>1552051.4659187081</v>
      </c>
      <c r="H29" s="4">
        <f t="shared" si="4"/>
        <v>-7760.2573295935408</v>
      </c>
      <c r="I29" s="4">
        <f t="shared" si="5"/>
        <v>1544291.2085891145</v>
      </c>
      <c r="K29">
        <f t="shared" si="20"/>
        <v>49</v>
      </c>
      <c r="L29" s="27">
        <f>VLOOKUP(K29,'Q3 mortality'!B:D,2,FALSE)</f>
        <v>3.0183999999999996E-3</v>
      </c>
      <c r="M29">
        <f t="shared" si="20"/>
        <v>51</v>
      </c>
      <c r="N29" s="27">
        <f>VLOOKUP(M29,'Q3 mortality'!B:D,3,FALSE)</f>
        <v>2.8312000000000003E-3</v>
      </c>
      <c r="O29" s="27">
        <f t="shared" si="6"/>
        <v>5.8410543059199682E-3</v>
      </c>
      <c r="P29" s="27">
        <f t="shared" si="7"/>
        <v>0.99415894569408003</v>
      </c>
      <c r="Q29" s="27">
        <f t="shared" si="21"/>
        <v>0.95602914137977468</v>
      </c>
      <c r="T29">
        <f t="shared" si="8"/>
        <v>17</v>
      </c>
      <c r="U29" s="4">
        <f t="shared" si="9"/>
        <v>0</v>
      </c>
      <c r="V29" s="4">
        <f t="shared" si="10"/>
        <v>3294.6856922174707</v>
      </c>
      <c r="W29" s="4">
        <f t="shared" si="22"/>
        <v>-1000</v>
      </c>
      <c r="X29" s="4">
        <f t="shared" si="23"/>
        <v>-1647.3428461087353</v>
      </c>
      <c r="Y29" s="4">
        <f t="shared" si="11"/>
        <v>16.183571152718383</v>
      </c>
      <c r="Z29" s="4">
        <f t="shared" si="0"/>
        <v>7760.2573295935408</v>
      </c>
      <c r="AA29" s="4">
        <f t="shared" si="12"/>
        <v>1544291.2085891145</v>
      </c>
      <c r="AB29" s="4">
        <f t="shared" si="13"/>
        <v>0</v>
      </c>
      <c r="AC29" s="4">
        <f t="shared" si="14"/>
        <v>0</v>
      </c>
      <c r="AD29" s="4">
        <f t="shared" si="15"/>
        <v>8423.7837468549951</v>
      </c>
      <c r="AE29" s="4">
        <f t="shared" si="16"/>
        <v>8053.382742674682</v>
      </c>
    </row>
    <row r="30" spans="1:31" x14ac:dyDescent="0.3">
      <c r="A30">
        <f t="shared" si="17"/>
        <v>18</v>
      </c>
      <c r="B30" s="2">
        <f t="shared" si="18"/>
        <v>1544291.2085891145</v>
      </c>
      <c r="C30" s="2">
        <f t="shared" si="19"/>
        <v>84014.485151545494</v>
      </c>
      <c r="D30" s="2">
        <f>VLOOKUP(A30,'Q3 mortality'!$F$5:$G$7,2,TRUE)*C30</f>
        <v>84014.485151545494</v>
      </c>
      <c r="E30" s="2">
        <f t="shared" si="1"/>
        <v>-3360.57940606182</v>
      </c>
      <c r="F30" s="2">
        <f t="shared" si="2"/>
        <v>1624945.114334598</v>
      </c>
      <c r="G30" s="2">
        <f t="shared" si="3"/>
        <v>1689942.9189079818</v>
      </c>
      <c r="H30" s="4">
        <f t="shared" si="4"/>
        <v>-8449.7145945399097</v>
      </c>
      <c r="I30" s="4">
        <f t="shared" si="5"/>
        <v>1681493.2043134419</v>
      </c>
      <c r="K30">
        <f t="shared" si="20"/>
        <v>50</v>
      </c>
      <c r="L30" s="27">
        <f>VLOOKUP(K30,'Q3 mortality'!B:D,2,FALSE)</f>
        <v>3.3746999999999996E-3</v>
      </c>
      <c r="M30">
        <f t="shared" si="20"/>
        <v>52</v>
      </c>
      <c r="N30" s="27">
        <f>VLOOKUP(M30,'Q3 mortality'!B:D,3,FALSE)</f>
        <v>3.1016000000000004E-3</v>
      </c>
      <c r="O30" s="27">
        <f t="shared" si="6"/>
        <v>6.4658330304799838E-3</v>
      </c>
      <c r="P30" s="27">
        <f t="shared" si="7"/>
        <v>0.99353416696952002</v>
      </c>
      <c r="Q30" s="27">
        <f t="shared" si="21"/>
        <v>0.95044492324693342</v>
      </c>
      <c r="T30">
        <f t="shared" si="8"/>
        <v>18</v>
      </c>
      <c r="U30" s="4">
        <f t="shared" si="9"/>
        <v>0</v>
      </c>
      <c r="V30" s="4">
        <f t="shared" si="10"/>
        <v>3360.57940606182</v>
      </c>
      <c r="W30" s="4">
        <f t="shared" si="22"/>
        <v>-1000</v>
      </c>
      <c r="X30" s="4">
        <f t="shared" si="23"/>
        <v>-1680.28970303091</v>
      </c>
      <c r="Y30" s="4">
        <f t="shared" si="11"/>
        <v>17.00724257577275</v>
      </c>
      <c r="Z30" s="4">
        <f t="shared" si="0"/>
        <v>8449.7145945399097</v>
      </c>
      <c r="AA30" s="4">
        <f t="shared" si="12"/>
        <v>1681493.2043134419</v>
      </c>
      <c r="AB30" s="4">
        <f t="shared" si="13"/>
        <v>0</v>
      </c>
      <c r="AC30" s="4">
        <f t="shared" si="14"/>
        <v>0</v>
      </c>
      <c r="AD30" s="4">
        <f t="shared" si="15"/>
        <v>9147.0115401465919</v>
      </c>
      <c r="AE30" s="4">
        <f t="shared" si="16"/>
        <v>8693.7306812134411</v>
      </c>
    </row>
    <row r="31" spans="1:31" x14ac:dyDescent="0.3">
      <c r="A31">
        <f t="shared" si="17"/>
        <v>19</v>
      </c>
      <c r="B31" s="2">
        <f t="shared" si="18"/>
        <v>1681493.2043134419</v>
      </c>
      <c r="C31" s="2">
        <f t="shared" si="19"/>
        <v>85694.774854576404</v>
      </c>
      <c r="D31" s="2">
        <f>VLOOKUP(A31,'Q3 mortality'!$F$5:$G$7,2,TRUE)*C31</f>
        <v>85694.774854576404</v>
      </c>
      <c r="E31" s="2">
        <f t="shared" si="1"/>
        <v>-3427.7909941830562</v>
      </c>
      <c r="F31" s="2">
        <f t="shared" si="2"/>
        <v>1763760.1881738352</v>
      </c>
      <c r="G31" s="2">
        <f t="shared" si="3"/>
        <v>1834310.5957007885</v>
      </c>
      <c r="H31" s="4">
        <f t="shared" si="4"/>
        <v>-9171.5529785039435</v>
      </c>
      <c r="I31" s="4">
        <f t="shared" si="5"/>
        <v>1825139.0427222846</v>
      </c>
      <c r="K31">
        <f t="shared" si="20"/>
        <v>51</v>
      </c>
      <c r="L31" s="27">
        <f>VLOOKUP(K31,'Q3 mortality'!B:D,2,FALSE)</f>
        <v>3.7631999999999995E-3</v>
      </c>
      <c r="M31">
        <f t="shared" si="20"/>
        <v>53</v>
      </c>
      <c r="N31" s="27">
        <f>VLOOKUP(M31,'Q3 mortality'!B:D,3,FALSE)</f>
        <v>3.392E-3</v>
      </c>
      <c r="O31" s="27">
        <f t="shared" si="6"/>
        <v>7.1424352255998746E-3</v>
      </c>
      <c r="P31" s="27">
        <f t="shared" si="7"/>
        <v>0.99285756477440013</v>
      </c>
      <c r="Q31" s="27">
        <f t="shared" si="21"/>
        <v>0.94429950506855143</v>
      </c>
      <c r="T31">
        <f t="shared" si="8"/>
        <v>19</v>
      </c>
      <c r="U31" s="4">
        <f t="shared" si="9"/>
        <v>0</v>
      </c>
      <c r="V31" s="4">
        <f t="shared" si="10"/>
        <v>3427.7909941830562</v>
      </c>
      <c r="W31" s="4">
        <f t="shared" si="22"/>
        <v>-1000</v>
      </c>
      <c r="X31" s="4">
        <f t="shared" si="23"/>
        <v>-1713.8954970915281</v>
      </c>
      <c r="Y31" s="4">
        <f t="shared" si="11"/>
        <v>17.847387427288204</v>
      </c>
      <c r="Z31" s="4">
        <f t="shared" si="0"/>
        <v>9171.5529785039435</v>
      </c>
      <c r="AA31" s="4">
        <f t="shared" si="12"/>
        <v>1825139.0427222846</v>
      </c>
      <c r="AB31" s="4">
        <f t="shared" si="13"/>
        <v>0</v>
      </c>
      <c r="AC31" s="4">
        <f t="shared" si="14"/>
        <v>0</v>
      </c>
      <c r="AD31" s="4">
        <f t="shared" si="15"/>
        <v>9903.2958630227604</v>
      </c>
      <c r="AE31" s="4">
        <f t="shared" si="16"/>
        <v>9351.6773819998252</v>
      </c>
    </row>
    <row r="32" spans="1:31" x14ac:dyDescent="0.3">
      <c r="A32">
        <f t="shared" si="17"/>
        <v>20</v>
      </c>
      <c r="B32" s="2">
        <f t="shared" si="18"/>
        <v>1825139.0427222846</v>
      </c>
      <c r="C32" s="2">
        <f t="shared" si="19"/>
        <v>87408.670351667941</v>
      </c>
      <c r="D32" s="2">
        <f>VLOOKUP(A32,'Q3 mortality'!$F$5:$G$7,2,TRUE)*C32</f>
        <v>87408.670351667941</v>
      </c>
      <c r="E32" s="2">
        <f t="shared" si="1"/>
        <v>-3496.3468140667178</v>
      </c>
      <c r="F32" s="2">
        <f t="shared" si="2"/>
        <v>1909051.366259886</v>
      </c>
      <c r="G32" s="2">
        <f t="shared" si="3"/>
        <v>1985413.4209102814</v>
      </c>
      <c r="H32" s="4">
        <f t="shared" si="4"/>
        <v>-9927.0671045514064</v>
      </c>
      <c r="I32" s="4">
        <f t="shared" si="5"/>
        <v>1975486.3538057299</v>
      </c>
      <c r="K32">
        <f t="shared" si="20"/>
        <v>52</v>
      </c>
      <c r="L32" s="27">
        <f>VLOOKUP(K32,'Q3 mortality'!B:D,2,FALSE)</f>
        <v>4.1824999999999996E-3</v>
      </c>
      <c r="M32">
        <f t="shared" si="20"/>
        <v>54</v>
      </c>
      <c r="N32" s="27">
        <f>VLOOKUP(M32,'Q3 mortality'!B:D,3,FALSE)</f>
        <v>3.7104E-3</v>
      </c>
      <c r="O32" s="27">
        <f t="shared" si="6"/>
        <v>7.8773812519999931E-3</v>
      </c>
      <c r="P32" s="27">
        <f t="shared" si="7"/>
        <v>0.99212261874800001</v>
      </c>
      <c r="Q32" s="27">
        <f t="shared" si="21"/>
        <v>0.9375549070200333</v>
      </c>
      <c r="T32">
        <f t="shared" si="8"/>
        <v>20</v>
      </c>
      <c r="U32" s="4">
        <f t="shared" si="9"/>
        <v>0</v>
      </c>
      <c r="V32" s="4">
        <f t="shared" si="10"/>
        <v>3496.3468140667178</v>
      </c>
      <c r="W32" s="4">
        <f t="shared" si="22"/>
        <v>-1000</v>
      </c>
      <c r="X32" s="4">
        <f t="shared" si="23"/>
        <v>-1748.1734070333589</v>
      </c>
      <c r="Y32" s="4">
        <f t="shared" si="11"/>
        <v>18.704335175833972</v>
      </c>
      <c r="Z32" s="4">
        <f t="shared" si="0"/>
        <v>9927.0671045514064</v>
      </c>
      <c r="AA32" s="4">
        <f t="shared" si="12"/>
        <v>1975486.3538057299</v>
      </c>
      <c r="AB32" s="4">
        <f t="shared" si="13"/>
        <v>0</v>
      </c>
      <c r="AC32" s="4">
        <f t="shared" si="14"/>
        <v>0</v>
      </c>
      <c r="AD32" s="4">
        <f t="shared" si="15"/>
        <v>10693.9448467606</v>
      </c>
      <c r="AE32" s="4">
        <f t="shared" si="16"/>
        <v>10026.160466481999</v>
      </c>
    </row>
    <row r="33" spans="1:31" x14ac:dyDescent="0.3">
      <c r="A33">
        <f t="shared" si="17"/>
        <v>21</v>
      </c>
      <c r="B33" s="2">
        <f t="shared" si="18"/>
        <v>1975486.3538057299</v>
      </c>
      <c r="C33" s="2">
        <f t="shared" si="19"/>
        <v>89156.843758701303</v>
      </c>
      <c r="D33" s="2">
        <f>VLOOKUP(A33,'Q3 mortality'!$F$5:$G$7,2,TRUE)*C33</f>
        <v>89156.843758701303</v>
      </c>
      <c r="E33" s="2">
        <f t="shared" si="1"/>
        <v>-3566.2737503480521</v>
      </c>
      <c r="F33" s="2">
        <f t="shared" si="2"/>
        <v>2061076.9238140832</v>
      </c>
      <c r="G33" s="2">
        <f t="shared" si="3"/>
        <v>2143520.0007666466</v>
      </c>
      <c r="H33" s="4">
        <f t="shared" si="4"/>
        <v>-10717.600003833233</v>
      </c>
      <c r="I33" s="4">
        <f t="shared" si="5"/>
        <v>2132802.4007628132</v>
      </c>
      <c r="K33">
        <f t="shared" si="20"/>
        <v>53</v>
      </c>
      <c r="L33" s="27">
        <f>VLOOKUP(K33,'Q3 mortality'!B:D,2,FALSE)</f>
        <v>4.6312000000000002E-3</v>
      </c>
      <c r="M33">
        <f t="shared" si="20"/>
        <v>55</v>
      </c>
      <c r="N33" s="27">
        <f>VLOOKUP(M33,'Q3 mortality'!B:D,3,FALSE)</f>
        <v>4.0464000000000003E-3</v>
      </c>
      <c r="O33" s="27">
        <f t="shared" si="6"/>
        <v>8.6588603123199936E-3</v>
      </c>
      <c r="P33" s="27">
        <f t="shared" si="7"/>
        <v>0.99134113968768001</v>
      </c>
      <c r="Q33" s="27">
        <f t="shared" si="21"/>
        <v>0.93016942957275306</v>
      </c>
      <c r="T33">
        <f t="shared" si="8"/>
        <v>21</v>
      </c>
      <c r="U33" s="4">
        <f t="shared" si="9"/>
        <v>0</v>
      </c>
      <c r="V33" s="4">
        <f t="shared" si="10"/>
        <v>3566.2737503480521</v>
      </c>
      <c r="W33" s="4">
        <f t="shared" si="22"/>
        <v>-1000</v>
      </c>
      <c r="X33" s="4">
        <f t="shared" si="23"/>
        <v>-1783.136875174026</v>
      </c>
      <c r="Y33" s="4">
        <f t="shared" si="11"/>
        <v>19.578421879350653</v>
      </c>
      <c r="Z33" s="4">
        <f t="shared" si="0"/>
        <v>10717.600003833233</v>
      </c>
      <c r="AA33" s="4">
        <f t="shared" si="12"/>
        <v>2132802.4007628132</v>
      </c>
      <c r="AB33" s="4">
        <f t="shared" si="13"/>
        <v>0</v>
      </c>
      <c r="AC33" s="4">
        <f t="shared" si="14"/>
        <v>0</v>
      </c>
      <c r="AD33" s="4">
        <f t="shared" si="15"/>
        <v>11520.31530088661</v>
      </c>
      <c r="AE33" s="4">
        <f t="shared" si="16"/>
        <v>10715.845111923958</v>
      </c>
    </row>
    <row r="34" spans="1:31" x14ac:dyDescent="0.3">
      <c r="A34">
        <f t="shared" si="17"/>
        <v>22</v>
      </c>
      <c r="B34" s="2">
        <f t="shared" si="18"/>
        <v>2132802.4007628132</v>
      </c>
      <c r="C34" s="2">
        <f t="shared" si="19"/>
        <v>90939.980633875326</v>
      </c>
      <c r="D34" s="2">
        <f>VLOOKUP(A34,'Q3 mortality'!$F$5:$G$7,2,TRUE)*C34</f>
        <v>90939.980633875326</v>
      </c>
      <c r="E34" s="2">
        <f t="shared" si="1"/>
        <v>-3637.599225355013</v>
      </c>
      <c r="F34" s="2">
        <f t="shared" si="2"/>
        <v>2220104.7821713337</v>
      </c>
      <c r="G34" s="2">
        <f t="shared" si="3"/>
        <v>2308908.9734581872</v>
      </c>
      <c r="H34" s="4">
        <f t="shared" si="4"/>
        <v>-11544.544867290937</v>
      </c>
      <c r="I34" s="4">
        <f t="shared" si="5"/>
        <v>2297364.4285908961</v>
      </c>
      <c r="K34">
        <f t="shared" si="20"/>
        <v>54</v>
      </c>
      <c r="L34" s="27">
        <f>VLOOKUP(K34,'Q3 mortality'!B:D,2,FALSE)</f>
        <v>5.1064999999999991E-3</v>
      </c>
      <c r="M34">
        <f t="shared" si="20"/>
        <v>56</v>
      </c>
      <c r="N34" s="27">
        <f>VLOOKUP(M34,'Q3 mortality'!B:D,3,FALSE)</f>
        <v>4.3776000000000006E-3</v>
      </c>
      <c r="O34" s="27">
        <f t="shared" si="6"/>
        <v>9.4617457855999954E-3</v>
      </c>
      <c r="P34" s="27">
        <f t="shared" si="7"/>
        <v>0.9905382542144</v>
      </c>
      <c r="Q34" s="27">
        <f t="shared" si="21"/>
        <v>0.9221152224152922</v>
      </c>
      <c r="T34">
        <f t="shared" si="8"/>
        <v>22</v>
      </c>
      <c r="U34" s="4">
        <f t="shared" si="9"/>
        <v>0</v>
      </c>
      <c r="V34" s="4">
        <f t="shared" si="10"/>
        <v>3637.599225355013</v>
      </c>
      <c r="W34" s="4">
        <f t="shared" si="22"/>
        <v>-1000</v>
      </c>
      <c r="X34" s="4">
        <f t="shared" si="23"/>
        <v>-1818.7996126775065</v>
      </c>
      <c r="Y34" s="4">
        <f t="shared" si="11"/>
        <v>20.469990316937665</v>
      </c>
      <c r="Z34" s="4">
        <f t="shared" si="0"/>
        <v>11544.544867290937</v>
      </c>
      <c r="AA34" s="4">
        <f t="shared" si="12"/>
        <v>2297364.4285908961</v>
      </c>
      <c r="AB34" s="4">
        <f t="shared" si="13"/>
        <v>0</v>
      </c>
      <c r="AC34" s="4">
        <f t="shared" si="14"/>
        <v>0</v>
      </c>
      <c r="AD34" s="4">
        <f t="shared" si="15"/>
        <v>12383.814470285381</v>
      </c>
      <c r="AE34" s="4">
        <f t="shared" si="16"/>
        <v>11419.303834616918</v>
      </c>
    </row>
    <row r="35" spans="1:31" x14ac:dyDescent="0.3">
      <c r="A35">
        <f t="shared" si="17"/>
        <v>23</v>
      </c>
      <c r="B35" s="2">
        <f t="shared" si="18"/>
        <v>2297364.4285908961</v>
      </c>
      <c r="C35" s="2">
        <f t="shared" si="19"/>
        <v>92758.780246552837</v>
      </c>
      <c r="D35" s="2">
        <f>VLOOKUP(A35,'Q3 mortality'!$F$5:$G$7,2,TRUE)*C35</f>
        <v>92758.780246552837</v>
      </c>
      <c r="E35" s="2">
        <f t="shared" si="1"/>
        <v>-3710.3512098621136</v>
      </c>
      <c r="F35" s="2">
        <f t="shared" si="2"/>
        <v>2386412.8576275869</v>
      </c>
      <c r="G35" s="2">
        <f t="shared" si="3"/>
        <v>2481869.3719326905</v>
      </c>
      <c r="H35" s="4">
        <f t="shared" si="4"/>
        <v>-12409.346859663452</v>
      </c>
      <c r="I35" s="4">
        <f t="shared" si="5"/>
        <v>2469460.0250730272</v>
      </c>
      <c r="K35">
        <f t="shared" si="20"/>
        <v>55</v>
      </c>
      <c r="L35" s="27">
        <f>VLOOKUP(K35,'Q3 mortality'!B:D,2,FALSE)</f>
        <v>5.6041999999999993E-3</v>
      </c>
      <c r="M35">
        <f t="shared" si="20"/>
        <v>57</v>
      </c>
      <c r="N35" s="27">
        <f>VLOOKUP(M35,'Q3 mortality'!B:D,3,FALSE)</f>
        <v>4.6944000000000005E-3</v>
      </c>
      <c r="O35" s="27">
        <f t="shared" si="6"/>
        <v>1.0272291643519949E-2</v>
      </c>
      <c r="P35" s="27">
        <f t="shared" si="7"/>
        <v>0.98972770835648005</v>
      </c>
      <c r="Q35" s="27">
        <f t="shared" si="21"/>
        <v>0.91339040259576676</v>
      </c>
      <c r="T35">
        <f t="shared" si="8"/>
        <v>23</v>
      </c>
      <c r="U35" s="4">
        <f t="shared" si="9"/>
        <v>0</v>
      </c>
      <c r="V35" s="4">
        <f t="shared" si="10"/>
        <v>3710.3512098621136</v>
      </c>
      <c r="W35" s="4">
        <f t="shared" si="22"/>
        <v>-1000</v>
      </c>
      <c r="X35" s="4">
        <f t="shared" si="23"/>
        <v>-1855.1756049310568</v>
      </c>
      <c r="Y35" s="4">
        <f t="shared" si="11"/>
        <v>21.379390123276423</v>
      </c>
      <c r="Z35" s="4">
        <f t="shared" si="0"/>
        <v>12409.346859663452</v>
      </c>
      <c r="AA35" s="4">
        <f t="shared" si="12"/>
        <v>2469460.0250730272</v>
      </c>
      <c r="AB35" s="4">
        <f t="shared" si="13"/>
        <v>0</v>
      </c>
      <c r="AC35" s="4">
        <f t="shared" si="14"/>
        <v>0</v>
      </c>
      <c r="AD35" s="4">
        <f t="shared" si="15"/>
        <v>13285.901854717786</v>
      </c>
      <c r="AE35" s="4">
        <f t="shared" si="16"/>
        <v>12135.215243928522</v>
      </c>
    </row>
    <row r="36" spans="1:31" x14ac:dyDescent="0.3">
      <c r="A36">
        <f t="shared" si="17"/>
        <v>24</v>
      </c>
      <c r="B36" s="2">
        <f t="shared" si="18"/>
        <v>2469460.0250730272</v>
      </c>
      <c r="C36" s="2">
        <f t="shared" si="19"/>
        <v>94613.955851483901</v>
      </c>
      <c r="D36" s="2">
        <f>VLOOKUP(A36,'Q3 mortality'!$F$5:$G$7,2,TRUE)*C36</f>
        <v>94613.955851483901</v>
      </c>
      <c r="E36" s="2">
        <f t="shared" si="1"/>
        <v>-3784.558234059356</v>
      </c>
      <c r="F36" s="2">
        <f t="shared" si="2"/>
        <v>2560289.4226904521</v>
      </c>
      <c r="G36" s="2">
        <f t="shared" si="3"/>
        <v>2662700.99959807</v>
      </c>
      <c r="H36" s="4">
        <f t="shared" si="4"/>
        <v>-13313.504997990351</v>
      </c>
      <c r="I36" s="4">
        <f t="shared" si="5"/>
        <v>2649387.4946000795</v>
      </c>
      <c r="K36">
        <f t="shared" si="20"/>
        <v>56</v>
      </c>
      <c r="L36" s="27">
        <f>VLOOKUP(K36,'Q3 mortality'!B:D,2,FALSE)</f>
        <v>6.1228999999999997E-3</v>
      </c>
      <c r="M36">
        <f t="shared" si="20"/>
        <v>58</v>
      </c>
      <c r="N36" s="27">
        <f>VLOOKUP(M36,'Q3 mortality'!B:D,3,FALSE)</f>
        <v>5.0128000000000004E-3</v>
      </c>
      <c r="O36" s="27">
        <f t="shared" si="6"/>
        <v>1.1105007126880118E-2</v>
      </c>
      <c r="P36" s="27">
        <f t="shared" si="7"/>
        <v>0.98889499287311988</v>
      </c>
      <c r="Q36" s="27">
        <f t="shared" si="21"/>
        <v>0.90400778999591092</v>
      </c>
      <c r="T36">
        <f t="shared" si="8"/>
        <v>24</v>
      </c>
      <c r="U36" s="4">
        <f t="shared" si="9"/>
        <v>0</v>
      </c>
      <c r="V36" s="4">
        <f t="shared" si="10"/>
        <v>3784.558234059356</v>
      </c>
      <c r="W36" s="4">
        <f t="shared" si="22"/>
        <v>-1000</v>
      </c>
      <c r="X36" s="4">
        <f t="shared" si="23"/>
        <v>-1892.279117029678</v>
      </c>
      <c r="Y36" s="4">
        <f t="shared" si="11"/>
        <v>22.30697792574195</v>
      </c>
      <c r="Z36" s="4">
        <f t="shared" si="0"/>
        <v>13313.504997990351</v>
      </c>
      <c r="AA36" s="4">
        <f t="shared" si="12"/>
        <v>2649387.4946000795</v>
      </c>
      <c r="AB36" s="4">
        <f t="shared" si="13"/>
        <v>0</v>
      </c>
      <c r="AC36" s="4">
        <f t="shared" si="14"/>
        <v>0</v>
      </c>
      <c r="AD36" s="4">
        <f t="shared" si="15"/>
        <v>14228.091092945771</v>
      </c>
      <c r="AE36" s="4">
        <f t="shared" si="16"/>
        <v>12862.305184794412</v>
      </c>
    </row>
    <row r="37" spans="1:31" x14ac:dyDescent="0.3">
      <c r="A37">
        <f t="shared" si="17"/>
        <v>25</v>
      </c>
      <c r="B37" s="2">
        <f t="shared" si="18"/>
        <v>2649387.4946000795</v>
      </c>
      <c r="C37" s="2">
        <f t="shared" si="19"/>
        <v>96506.234968513585</v>
      </c>
      <c r="D37" s="2">
        <f>VLOOKUP(A37,'Q3 mortality'!$F$5:$G$7,2,TRUE)*C37</f>
        <v>96506.234968513585</v>
      </c>
      <c r="E37" s="2">
        <f t="shared" si="1"/>
        <v>-3860.2493987405433</v>
      </c>
      <c r="F37" s="2">
        <f t="shared" si="2"/>
        <v>2742033.4801698527</v>
      </c>
      <c r="G37" s="2">
        <f t="shared" si="3"/>
        <v>2851714.819376647</v>
      </c>
      <c r="H37" s="4">
        <f t="shared" si="4"/>
        <v>-14258.574096883236</v>
      </c>
      <c r="I37" s="4">
        <f t="shared" si="5"/>
        <v>2837456.2452797638</v>
      </c>
      <c r="K37">
        <f t="shared" si="20"/>
        <v>57</v>
      </c>
      <c r="L37" s="27">
        <f>VLOOKUP(K37,'Q3 mortality'!B:D,2,FALSE)</f>
        <v>6.6647E-3</v>
      </c>
      <c r="M37">
        <f t="shared" si="20"/>
        <v>59</v>
      </c>
      <c r="N37" s="27">
        <f>VLOOKUP(M37,'Q3 mortality'!B:D,3,FALSE)</f>
        <v>5.3688E-3</v>
      </c>
      <c r="O37" s="27">
        <f t="shared" si="6"/>
        <v>1.1997718558639958E-2</v>
      </c>
      <c r="P37" s="27">
        <f t="shared" si="7"/>
        <v>0.98800228144136004</v>
      </c>
      <c r="Q37" s="27">
        <f t="shared" si="21"/>
        <v>0.89396877704525113</v>
      </c>
      <c r="T37">
        <f t="shared" si="8"/>
        <v>25</v>
      </c>
      <c r="U37" s="4">
        <f t="shared" si="9"/>
        <v>0</v>
      </c>
      <c r="V37" s="4">
        <f t="shared" si="10"/>
        <v>3860.2493987405433</v>
      </c>
      <c r="W37" s="4">
        <f t="shared" si="22"/>
        <v>-1000</v>
      </c>
      <c r="X37" s="4">
        <f t="shared" si="23"/>
        <v>-1930.1246993702716</v>
      </c>
      <c r="Y37" s="4">
        <f t="shared" si="11"/>
        <v>23.253117484256791</v>
      </c>
      <c r="Z37" s="4">
        <f t="shared" si="0"/>
        <v>14258.574096883236</v>
      </c>
      <c r="AA37" s="4">
        <f t="shared" si="12"/>
        <v>2837456.2452797638</v>
      </c>
      <c r="AB37" s="4">
        <f t="shared" si="13"/>
        <v>0</v>
      </c>
      <c r="AC37" s="4">
        <f t="shared" si="14"/>
        <v>0</v>
      </c>
      <c r="AD37" s="4">
        <f t="shared" si="15"/>
        <v>15211.951913737765</v>
      </c>
      <c r="AE37" s="4">
        <f t="shared" si="16"/>
        <v>13599.010048795317</v>
      </c>
    </row>
    <row r="38" spans="1:31" x14ac:dyDescent="0.3">
      <c r="A38">
        <f t="shared" si="17"/>
        <v>26</v>
      </c>
      <c r="B38" s="2">
        <f t="shared" si="18"/>
        <v>2837456.2452797638</v>
      </c>
      <c r="C38" s="2">
        <f t="shared" si="19"/>
        <v>98436.359667883851</v>
      </c>
      <c r="D38" s="2">
        <f>VLOOKUP(A38,'Q3 mortality'!$F$5:$G$7,2,TRUE)*C38</f>
        <v>98436.359667883851</v>
      </c>
      <c r="E38" s="2">
        <f t="shared" si="1"/>
        <v>-3937.4543867153543</v>
      </c>
      <c r="F38" s="2">
        <f t="shared" si="2"/>
        <v>2931955.1505609322</v>
      </c>
      <c r="G38" s="2">
        <f t="shared" si="3"/>
        <v>3049233.3565833694</v>
      </c>
      <c r="H38" s="4">
        <f t="shared" si="4"/>
        <v>-15246.166782916847</v>
      </c>
      <c r="I38" s="4">
        <f t="shared" si="5"/>
        <v>3033987.1898004524</v>
      </c>
      <c r="K38">
        <f t="shared" si="20"/>
        <v>58</v>
      </c>
      <c r="L38" s="27">
        <f>VLOOKUP(K38,'Q3 mortality'!B:D,2,FALSE)</f>
        <v>7.2582999999999996E-3</v>
      </c>
      <c r="M38">
        <f t="shared" si="20"/>
        <v>60</v>
      </c>
      <c r="N38" s="27">
        <f>VLOOKUP(M38,'Q3 mortality'!B:D,3,FALSE)</f>
        <v>5.7728000000000007E-3</v>
      </c>
      <c r="O38" s="27">
        <f t="shared" si="6"/>
        <v>1.2989199285760034E-2</v>
      </c>
      <c r="P38" s="27">
        <f t="shared" si="7"/>
        <v>0.98701080071423997</v>
      </c>
      <c r="Q38" s="27">
        <f t="shared" si="21"/>
        <v>0.88324319125805062</v>
      </c>
      <c r="T38">
        <f t="shared" si="8"/>
        <v>26</v>
      </c>
      <c r="U38" s="4">
        <f t="shared" si="9"/>
        <v>0</v>
      </c>
      <c r="V38" s="4">
        <f t="shared" si="10"/>
        <v>3937.4543867153543</v>
      </c>
      <c r="W38" s="4">
        <f t="shared" si="22"/>
        <v>-1000</v>
      </c>
      <c r="X38" s="4">
        <f t="shared" si="23"/>
        <v>-1968.7271933576772</v>
      </c>
      <c r="Y38" s="4">
        <f t="shared" si="11"/>
        <v>24.218179833941932</v>
      </c>
      <c r="Z38" s="4">
        <f t="shared" si="0"/>
        <v>15246.166782916847</v>
      </c>
      <c r="AA38" s="4">
        <f t="shared" si="12"/>
        <v>3033987.1898004524</v>
      </c>
      <c r="AB38" s="4">
        <f t="shared" si="13"/>
        <v>0</v>
      </c>
      <c r="AC38" s="4">
        <f t="shared" si="14"/>
        <v>0</v>
      </c>
      <c r="AD38" s="4">
        <f t="shared" si="15"/>
        <v>16239.112156108466</v>
      </c>
      <c r="AE38" s="4">
        <f t="shared" si="16"/>
        <v>14343.085243958643</v>
      </c>
    </row>
    <row r="39" spans="1:31" x14ac:dyDescent="0.3">
      <c r="A39">
        <f t="shared" si="17"/>
        <v>27</v>
      </c>
      <c r="B39" s="2">
        <f t="shared" si="18"/>
        <v>3033987.1898004524</v>
      </c>
      <c r="C39" s="2">
        <f t="shared" si="19"/>
        <v>100405.08686124154</v>
      </c>
      <c r="D39" s="2">
        <f>VLOOKUP(A39,'Q3 mortality'!$F$5:$G$7,2,TRUE)*C39</f>
        <v>100405.08686124154</v>
      </c>
      <c r="E39" s="2">
        <f t="shared" si="1"/>
        <v>-4016.2034744496614</v>
      </c>
      <c r="F39" s="2">
        <f t="shared" si="2"/>
        <v>3130376.0731872446</v>
      </c>
      <c r="G39" s="2">
        <f t="shared" si="3"/>
        <v>3255591.1161147347</v>
      </c>
      <c r="H39" s="4">
        <f t="shared" si="4"/>
        <v>-16277.955580573675</v>
      </c>
      <c r="I39" s="4">
        <f t="shared" si="5"/>
        <v>3239313.1605341611</v>
      </c>
      <c r="K39">
        <f t="shared" si="20"/>
        <v>59</v>
      </c>
      <c r="L39" s="27">
        <f>VLOOKUP(K39,'Q3 mortality'!B:D,2,FALSE)</f>
        <v>7.8882999999999991E-3</v>
      </c>
      <c r="M39">
        <f t="shared" si="20"/>
        <v>61</v>
      </c>
      <c r="N39" s="27">
        <f>VLOOKUP(M39,'Q3 mortality'!B:D,3,FALSE)</f>
        <v>6.2048000000000008E-3</v>
      </c>
      <c r="O39" s="27">
        <f t="shared" si="6"/>
        <v>1.4044154676159937E-2</v>
      </c>
      <c r="P39" s="27">
        <f t="shared" si="7"/>
        <v>0.98595584532384006</v>
      </c>
      <c r="Q39" s="27">
        <f t="shared" si="21"/>
        <v>0.8717705694290091</v>
      </c>
      <c r="T39">
        <f t="shared" si="8"/>
        <v>27</v>
      </c>
      <c r="U39" s="4">
        <f t="shared" si="9"/>
        <v>0</v>
      </c>
      <c r="V39" s="4">
        <f t="shared" si="10"/>
        <v>4016.2034744496614</v>
      </c>
      <c r="W39" s="4">
        <f t="shared" si="22"/>
        <v>-1000</v>
      </c>
      <c r="X39" s="4">
        <f t="shared" si="23"/>
        <v>-2008.1017372248307</v>
      </c>
      <c r="Y39" s="4">
        <f t="shared" si="11"/>
        <v>25.202543430620768</v>
      </c>
      <c r="Z39" s="4">
        <f t="shared" si="0"/>
        <v>16277.955580573675</v>
      </c>
      <c r="AA39" s="4">
        <f t="shared" si="12"/>
        <v>3239313.1605341611</v>
      </c>
      <c r="AB39" s="4">
        <f t="shared" si="13"/>
        <v>0</v>
      </c>
      <c r="AC39" s="4">
        <f t="shared" si="14"/>
        <v>0</v>
      </c>
      <c r="AD39" s="4">
        <f t="shared" si="15"/>
        <v>17311.259861229126</v>
      </c>
      <c r="AE39" s="4">
        <f t="shared" si="16"/>
        <v>15091.446866757264</v>
      </c>
    </row>
    <row r="40" spans="1:31" x14ac:dyDescent="0.3">
      <c r="A40">
        <f t="shared" si="17"/>
        <v>28</v>
      </c>
      <c r="B40" s="2">
        <f t="shared" si="18"/>
        <v>3239313.1605341611</v>
      </c>
      <c r="C40" s="2">
        <f t="shared" si="19"/>
        <v>102413.18859846637</v>
      </c>
      <c r="D40" s="2">
        <f>VLOOKUP(A40,'Q3 mortality'!$F$5:$G$7,2,TRUE)*C40</f>
        <v>102413.18859846637</v>
      </c>
      <c r="E40" s="2">
        <f t="shared" si="1"/>
        <v>-4096.5275439386551</v>
      </c>
      <c r="F40" s="2">
        <f t="shared" si="2"/>
        <v>3337629.821588689</v>
      </c>
      <c r="G40" s="2">
        <f t="shared" si="3"/>
        <v>3471135.0144522367</v>
      </c>
      <c r="H40" s="4">
        <f t="shared" si="4"/>
        <v>-17355.675072261183</v>
      </c>
      <c r="I40" s="4">
        <f t="shared" si="5"/>
        <v>3453779.3393799756</v>
      </c>
      <c r="K40">
        <f t="shared" si="20"/>
        <v>60</v>
      </c>
      <c r="L40" s="27">
        <f>VLOOKUP(K40,'Q3 mortality'!B:D,2,FALSE)</f>
        <v>8.5098999999999991E-3</v>
      </c>
      <c r="M40">
        <f t="shared" si="20"/>
        <v>62</v>
      </c>
      <c r="N40" s="27">
        <f>VLOOKUP(M40,'Q3 mortality'!B:D,3,FALSE)</f>
        <v>6.6664000000000003E-3</v>
      </c>
      <c r="O40" s="27">
        <f t="shared" si="6"/>
        <v>1.5119569602639937E-2</v>
      </c>
      <c r="P40" s="27">
        <f t="shared" si="7"/>
        <v>0.98488043039736006</v>
      </c>
      <c r="Q40" s="27">
        <f t="shared" si="21"/>
        <v>0.85952728870982409</v>
      </c>
      <c r="T40">
        <f t="shared" si="8"/>
        <v>28</v>
      </c>
      <c r="U40" s="4">
        <f t="shared" si="9"/>
        <v>0</v>
      </c>
      <c r="V40" s="4">
        <f t="shared" si="10"/>
        <v>4096.5275439386551</v>
      </c>
      <c r="W40" s="4">
        <f t="shared" si="22"/>
        <v>-1000</v>
      </c>
      <c r="X40" s="4">
        <f t="shared" si="23"/>
        <v>-2048.2637719693275</v>
      </c>
      <c r="Y40" s="4">
        <f t="shared" si="11"/>
        <v>26.206594299233188</v>
      </c>
      <c r="Z40" s="4">
        <f t="shared" si="0"/>
        <v>17355.675072261183</v>
      </c>
      <c r="AA40" s="4">
        <f t="shared" si="12"/>
        <v>3453779.3393799756</v>
      </c>
      <c r="AB40" s="4">
        <f t="shared" si="13"/>
        <v>0</v>
      </c>
      <c r="AC40" s="4">
        <f t="shared" si="14"/>
        <v>0</v>
      </c>
      <c r="AD40" s="4">
        <f t="shared" si="15"/>
        <v>18430.145438529744</v>
      </c>
      <c r="AE40" s="4">
        <f t="shared" si="16"/>
        <v>15841.212939307203</v>
      </c>
    </row>
    <row r="41" spans="1:31" x14ac:dyDescent="0.3">
      <c r="A41">
        <f t="shared" si="17"/>
        <v>29</v>
      </c>
      <c r="B41" s="2">
        <f t="shared" si="18"/>
        <v>3453779.3393799756</v>
      </c>
      <c r="C41" s="2">
        <f t="shared" si="19"/>
        <v>104461.4523704357</v>
      </c>
      <c r="D41" s="2">
        <f>VLOOKUP(A41,'Q3 mortality'!$F$5:$G$7,2,TRUE)*C41</f>
        <v>104461.4523704357</v>
      </c>
      <c r="E41" s="2">
        <f t="shared" si="1"/>
        <v>-4178.458094817428</v>
      </c>
      <c r="F41" s="2">
        <f t="shared" si="2"/>
        <v>3554062.3336555939</v>
      </c>
      <c r="G41" s="2">
        <f t="shared" si="3"/>
        <v>3696224.827001818</v>
      </c>
      <c r="H41" s="4">
        <f t="shared" si="4"/>
        <v>-18481.12413500909</v>
      </c>
      <c r="I41" s="4">
        <f t="shared" si="5"/>
        <v>3677743.702866809</v>
      </c>
      <c r="K41">
        <f t="shared" si="20"/>
        <v>61</v>
      </c>
      <c r="L41" s="27">
        <f>VLOOKUP(K41,'Q3 mortality'!B:D,2,FALSE)</f>
        <v>9.1097999999999995E-3</v>
      </c>
      <c r="M41">
        <f t="shared" si="20"/>
        <v>63</v>
      </c>
      <c r="N41" s="27">
        <f>VLOOKUP(M41,'Q3 mortality'!B:D,3,FALSE)</f>
        <v>7.1736000000000013E-3</v>
      </c>
      <c r="O41" s="27">
        <f t="shared" si="6"/>
        <v>1.6218049938720003E-2</v>
      </c>
      <c r="P41" s="27">
        <f t="shared" si="7"/>
        <v>0.98378195006128</v>
      </c>
      <c r="Q41" s="27">
        <f t="shared" si="21"/>
        <v>0.84653160604280753</v>
      </c>
      <c r="T41">
        <f t="shared" si="8"/>
        <v>29</v>
      </c>
      <c r="U41" s="4">
        <f t="shared" si="9"/>
        <v>0</v>
      </c>
      <c r="V41" s="4">
        <f t="shared" si="10"/>
        <v>4178.458094817428</v>
      </c>
      <c r="W41" s="4">
        <f t="shared" si="22"/>
        <v>-1000</v>
      </c>
      <c r="X41" s="4">
        <f t="shared" si="23"/>
        <v>-2089.229047408714</v>
      </c>
      <c r="Y41" s="4">
        <f t="shared" si="11"/>
        <v>27.230726185217851</v>
      </c>
      <c r="Z41" s="4">
        <f t="shared" si="0"/>
        <v>18481.12413500909</v>
      </c>
      <c r="AA41" s="4">
        <f t="shared" si="12"/>
        <v>3677743.702866809</v>
      </c>
      <c r="AB41" s="4">
        <f t="shared" si="13"/>
        <v>0</v>
      </c>
      <c r="AC41" s="4">
        <f t="shared" si="14"/>
        <v>0</v>
      </c>
      <c r="AD41" s="4">
        <f t="shared" si="15"/>
        <v>19597.583908603021</v>
      </c>
      <c r="AE41" s="4">
        <f t="shared" si="16"/>
        <v>16589.974180708396</v>
      </c>
    </row>
    <row r="42" spans="1:31" x14ac:dyDescent="0.3">
      <c r="A42">
        <f t="shared" si="17"/>
        <v>30</v>
      </c>
      <c r="B42" s="2">
        <f t="shared" si="18"/>
        <v>3677743.702866809</v>
      </c>
      <c r="C42" s="2">
        <f t="shared" si="19"/>
        <v>106550.68141784442</v>
      </c>
      <c r="D42" s="2">
        <f>VLOOKUP(A42,'Q3 mortality'!$F$5:$G$7,2,TRUE)*C42</f>
        <v>106550.68141784442</v>
      </c>
      <c r="E42" s="2">
        <f t="shared" si="1"/>
        <v>-4262.0272567137772</v>
      </c>
      <c r="F42" s="2">
        <f t="shared" si="2"/>
        <v>3780032.3570279395</v>
      </c>
      <c r="G42" s="2">
        <f t="shared" si="3"/>
        <v>3931233.6513090571</v>
      </c>
      <c r="H42" s="4">
        <f t="shared" si="4"/>
        <v>-19656.168256545287</v>
      </c>
      <c r="I42" s="4">
        <f t="shared" si="5"/>
        <v>3911577.4830525117</v>
      </c>
      <c r="K42">
        <f t="shared" si="20"/>
        <v>62</v>
      </c>
      <c r="L42" s="27">
        <f>VLOOKUP(K42,'Q3 mortality'!B:D,2,FALSE)</f>
        <v>9.7173999999999993E-3</v>
      </c>
      <c r="M42">
        <f t="shared" si="20"/>
        <v>64</v>
      </c>
      <c r="N42" s="27">
        <f>VLOOKUP(M42,'Q3 mortality'!B:D,3,FALSE)</f>
        <v>7.7592000000000008E-3</v>
      </c>
      <c r="O42" s="27">
        <f t="shared" si="6"/>
        <v>1.740120074991991E-2</v>
      </c>
      <c r="P42" s="27">
        <f t="shared" si="7"/>
        <v>0.98259879925008009</v>
      </c>
      <c r="Q42" s="27">
        <f t="shared" si="21"/>
        <v>0.83280251418130047</v>
      </c>
      <c r="T42">
        <f t="shared" si="8"/>
        <v>30</v>
      </c>
      <c r="U42" s="4">
        <f t="shared" si="9"/>
        <v>0</v>
      </c>
      <c r="V42" s="4">
        <f t="shared" si="10"/>
        <v>4262.0272567137772</v>
      </c>
      <c r="W42" s="4">
        <f t="shared" si="22"/>
        <v>-1000</v>
      </c>
      <c r="X42" s="4">
        <f t="shared" si="23"/>
        <v>-2131.0136283568886</v>
      </c>
      <c r="Y42" s="4">
        <f t="shared" si="11"/>
        <v>28.275340708922215</v>
      </c>
      <c r="Z42" s="4">
        <f t="shared" si="0"/>
        <v>19656.168256545287</v>
      </c>
      <c r="AA42" s="4">
        <f t="shared" si="12"/>
        <v>3911577.4830525117</v>
      </c>
      <c r="AB42" s="4">
        <f t="shared" si="13"/>
        <v>0</v>
      </c>
      <c r="AC42" s="4">
        <f t="shared" si="14"/>
        <v>-192175.56690105243</v>
      </c>
      <c r="AD42" s="4">
        <f t="shared" si="15"/>
        <v>-171360.10967544134</v>
      </c>
      <c r="AE42" s="4">
        <f t="shared" si="16"/>
        <v>-142709.13016809095</v>
      </c>
    </row>
  </sheetData>
  <mergeCells count="5">
    <mergeCell ref="A1:B1"/>
    <mergeCell ref="A2:B2"/>
    <mergeCell ref="A6:B6"/>
    <mergeCell ref="A7:B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E4" sqref="E4"/>
    </sheetView>
  </sheetViews>
  <sheetFormatPr defaultRowHeight="14.4" x14ac:dyDescent="0.3"/>
  <sheetData>
    <row r="1" spans="1:7" x14ac:dyDescent="0.3">
      <c r="D1" s="6">
        <v>1</v>
      </c>
      <c r="E1" s="6">
        <v>2</v>
      </c>
    </row>
    <row r="2" spans="1:7" x14ac:dyDescent="0.3">
      <c r="A2" t="str">
        <f>'Q1 inputs'!A1</f>
        <v>t</v>
      </c>
      <c r="B2" t="str">
        <f>'Q1 inputs'!B1</f>
        <v>r</v>
      </c>
      <c r="C2" t="str">
        <f>'Q1 inputs'!C1</f>
        <v>ft+r</v>
      </c>
      <c r="D2" t="s">
        <v>7</v>
      </c>
      <c r="E2" t="s">
        <v>8</v>
      </c>
    </row>
    <row r="3" spans="1:7" x14ac:dyDescent="0.3">
      <c r="A3">
        <f>'Q1 inputs'!A2</f>
        <v>0</v>
      </c>
      <c r="B3">
        <f>'Q1 inputs'!B2</f>
        <v>1</v>
      </c>
      <c r="C3" s="1">
        <f>'Q1 inputs'!C2</f>
        <v>4.3499999999999997E-2</v>
      </c>
      <c r="D3" s="1">
        <f>(1+C3)</f>
        <v>1.0435000000000001</v>
      </c>
    </row>
    <row r="4" spans="1:7" x14ac:dyDescent="0.3">
      <c r="A4">
        <f>'Q1 inputs'!A3</f>
        <v>1</v>
      </c>
      <c r="B4">
        <f>'Q1 inputs'!B3</f>
        <v>1</v>
      </c>
      <c r="C4" s="1">
        <f>'Q1 inputs'!C3</f>
        <v>4.4499999999999998E-2</v>
      </c>
      <c r="D4" s="1">
        <f>(1+C4)</f>
        <v>1.0445</v>
      </c>
      <c r="E4" s="5">
        <f>C3</f>
        <v>4.3499999999999997E-2</v>
      </c>
      <c r="F4" s="6">
        <v>1</v>
      </c>
      <c r="G4" t="s">
        <v>9</v>
      </c>
    </row>
    <row r="5" spans="1:7" x14ac:dyDescent="0.3">
      <c r="A5">
        <f>'Q1 inputs'!A4</f>
        <v>2</v>
      </c>
      <c r="B5">
        <f>'Q1 inputs'!B4</f>
        <v>1</v>
      </c>
      <c r="C5" s="1">
        <f>'Q1 inputs'!C4</f>
        <v>4.4999999999999998E-2</v>
      </c>
      <c r="D5" s="1">
        <f t="shared" ref="D5:D33" si="0">(1+C5)</f>
        <v>1.0449999999999999</v>
      </c>
      <c r="E5" s="5">
        <f>(PRODUCT($D$3:D4)^(1/(A4+B4)))-1</f>
        <v>4.3999880268192459E-2</v>
      </c>
    </row>
    <row r="6" spans="1:7" x14ac:dyDescent="0.3">
      <c r="A6">
        <f>'Q1 inputs'!A5</f>
        <v>3</v>
      </c>
      <c r="B6">
        <f>'Q1 inputs'!B5</f>
        <v>1</v>
      </c>
      <c r="C6" s="1">
        <f>'Q1 inputs'!C5</f>
        <v>4.7800000000000002E-2</v>
      </c>
      <c r="D6" s="1">
        <f t="shared" si="0"/>
        <v>1.0478000000000001</v>
      </c>
      <c r="E6" s="5">
        <f>(PRODUCT($D$3:D5)^(1/(A5+B5)))-1</f>
        <v>4.4333147114980598E-2</v>
      </c>
    </row>
    <row r="7" spans="1:7" x14ac:dyDescent="0.3">
      <c r="A7">
        <f>'Q1 inputs'!A6</f>
        <v>4</v>
      </c>
      <c r="B7">
        <f>'Q1 inputs'!B6</f>
        <v>1</v>
      </c>
      <c r="C7" s="1">
        <f>'Q1 inputs'!C6</f>
        <v>4.99E-2</v>
      </c>
      <c r="D7" s="1">
        <f t="shared" si="0"/>
        <v>1.0499000000000001</v>
      </c>
      <c r="E7" s="5">
        <f>(PRODUCT($D$3:D6)^(1/(A6+B6)))-1</f>
        <v>4.5198783466579462E-2</v>
      </c>
    </row>
    <row r="8" spans="1:7" x14ac:dyDescent="0.3">
      <c r="A8">
        <f>'Q1 inputs'!A7</f>
        <v>5</v>
      </c>
      <c r="B8">
        <f>'Q1 inputs'!B7</f>
        <v>1</v>
      </c>
      <c r="C8" s="1">
        <f>'Q1 inputs'!C7</f>
        <v>5.1999999999999998E-2</v>
      </c>
      <c r="D8" s="1">
        <f t="shared" si="0"/>
        <v>1.052</v>
      </c>
      <c r="E8" s="5">
        <f>(PRODUCT($D$3:D7)^(1/(A7+B7)))-1</f>
        <v>4.6137339670051736E-2</v>
      </c>
    </row>
    <row r="9" spans="1:7" x14ac:dyDescent="0.3">
      <c r="A9">
        <f>'Q1 inputs'!A8</f>
        <v>6</v>
      </c>
      <c r="B9">
        <f>'Q1 inputs'!B8</f>
        <v>1</v>
      </c>
      <c r="C9" s="1">
        <f>'Q1 inputs'!C8</f>
        <v>5.3699999999999998E-2</v>
      </c>
      <c r="D9" s="1">
        <f t="shared" si="0"/>
        <v>1.0537000000000001</v>
      </c>
      <c r="E9" s="5">
        <f>(PRODUCT($D$3:D8)^(1/(A8+B8)))-1</f>
        <v>4.7112175914502785E-2</v>
      </c>
    </row>
    <row r="10" spans="1:7" x14ac:dyDescent="0.3">
      <c r="A10">
        <f>'Q1 inputs'!A9</f>
        <v>7</v>
      </c>
      <c r="B10">
        <f>'Q1 inputs'!B9</f>
        <v>1</v>
      </c>
      <c r="C10" s="1">
        <f>'Q1 inputs'!C9</f>
        <v>5.9900000000000002E-2</v>
      </c>
      <c r="D10" s="1">
        <f t="shared" si="0"/>
        <v>1.0599000000000001</v>
      </c>
      <c r="E10" s="5">
        <f>(PRODUCT($D$3:D9)^(1/(A9+B9)))-1</f>
        <v>4.8050765921950456E-2</v>
      </c>
    </row>
    <row r="11" spans="1:7" x14ac:dyDescent="0.3">
      <c r="A11">
        <f>'Q1 inputs'!A10</f>
        <v>8</v>
      </c>
      <c r="B11">
        <f>'Q1 inputs'!B10</f>
        <v>1</v>
      </c>
      <c r="C11" s="1">
        <f>'Q1 inputs'!C10</f>
        <v>5.7000000000000002E-2</v>
      </c>
      <c r="D11" s="1">
        <f t="shared" si="0"/>
        <v>1.0569999999999999</v>
      </c>
      <c r="E11" s="5">
        <f>(PRODUCT($D$3:D10)^(1/(A10+B10)))-1</f>
        <v>4.9524645207046136E-2</v>
      </c>
    </row>
    <row r="12" spans="1:7" x14ac:dyDescent="0.3">
      <c r="A12">
        <f>'Q1 inputs'!A11</f>
        <v>9</v>
      </c>
      <c r="B12">
        <f>'Q1 inputs'!B11</f>
        <v>1</v>
      </c>
      <c r="C12" s="1">
        <f>'Q1 inputs'!C11</f>
        <v>0.06</v>
      </c>
      <c r="D12" s="1">
        <f t="shared" si="0"/>
        <v>1.06</v>
      </c>
      <c r="E12" s="5">
        <f>(PRODUCT($D$3:D11)^(1/(A11+B11)))-1</f>
        <v>5.0352622580079665E-2</v>
      </c>
    </row>
    <row r="13" spans="1:7" x14ac:dyDescent="0.3">
      <c r="A13">
        <f>'Q1 inputs'!A12</f>
        <v>10</v>
      </c>
      <c r="B13">
        <f>'Q1 inputs'!B12</f>
        <v>1</v>
      </c>
      <c r="C13" s="1">
        <f>'Q1 inputs'!C12</f>
        <v>6.0100000000000001E-2</v>
      </c>
      <c r="D13" s="1">
        <f t="shared" si="0"/>
        <v>1.0601</v>
      </c>
      <c r="E13" s="5">
        <f>(PRODUCT($D$3:D12)^(1/(A12+B12)))-1</f>
        <v>5.1313395907919501E-2</v>
      </c>
    </row>
    <row r="14" spans="1:7" x14ac:dyDescent="0.3">
      <c r="A14">
        <f>'Q1 inputs'!A13</f>
        <v>11</v>
      </c>
      <c r="B14">
        <f>'Q1 inputs'!B13</f>
        <v>1</v>
      </c>
      <c r="C14" s="1">
        <f>'Q1 inputs'!C13</f>
        <v>6.0600000000000001E-2</v>
      </c>
      <c r="D14" s="1">
        <f t="shared" si="0"/>
        <v>1.0606</v>
      </c>
      <c r="E14" s="5">
        <f>(PRODUCT($D$3:D13)^(1/(A13+B13)))-1</f>
        <v>5.2109159588315412E-2</v>
      </c>
    </row>
    <row r="15" spans="1:7" x14ac:dyDescent="0.3">
      <c r="A15">
        <f>'Q1 inputs'!A14</f>
        <v>12</v>
      </c>
      <c r="B15">
        <f>'Q1 inputs'!B14</f>
        <v>1</v>
      </c>
      <c r="C15" s="1">
        <f>'Q1 inputs'!C14</f>
        <v>6.0999999999999999E-2</v>
      </c>
      <c r="D15" s="1">
        <f t="shared" si="0"/>
        <v>1.0609999999999999</v>
      </c>
      <c r="E15" s="5">
        <f>(PRODUCT($D$3:D14)^(1/(A14+B14)))-1</f>
        <v>5.2814125815040303E-2</v>
      </c>
    </row>
    <row r="16" spans="1:7" x14ac:dyDescent="0.3">
      <c r="A16">
        <f>'Q1 inputs'!A15</f>
        <v>13</v>
      </c>
      <c r="B16">
        <f>'Q1 inputs'!B15</f>
        <v>1</v>
      </c>
      <c r="C16" s="1">
        <f>'Q1 inputs'!C15</f>
        <v>6.1499999999999999E-2</v>
      </c>
      <c r="D16" s="1">
        <f t="shared" si="0"/>
        <v>1.0615000000000001</v>
      </c>
      <c r="E16" s="5">
        <f>(PRODUCT($D$3:D15)^(1/(A15+B15)))-1</f>
        <v>5.3441559984118037E-2</v>
      </c>
    </row>
    <row r="17" spans="1:8" x14ac:dyDescent="0.3">
      <c r="A17">
        <f>'Q1 inputs'!A16</f>
        <v>14</v>
      </c>
      <c r="B17">
        <f>'Q1 inputs'!B16</f>
        <v>1</v>
      </c>
      <c r="C17" s="1">
        <f>'Q1 inputs'!C16</f>
        <v>6.2799999999999995E-2</v>
      </c>
      <c r="D17" s="1">
        <f t="shared" si="0"/>
        <v>1.0628</v>
      </c>
      <c r="E17" s="5">
        <f>(PRODUCT($D$3:D16)^(1/(A16+B16)))-1</f>
        <v>5.4015128520015887E-2</v>
      </c>
    </row>
    <row r="18" spans="1:8" x14ac:dyDescent="0.3">
      <c r="A18">
        <f>'Q1 inputs'!A17</f>
        <v>15</v>
      </c>
      <c r="B18">
        <f>'Q1 inputs'!B17</f>
        <v>1</v>
      </c>
      <c r="C18" s="1">
        <f>'Q1 inputs'!C17</f>
        <v>6.3299999999999995E-2</v>
      </c>
      <c r="D18" s="1">
        <f t="shared" si="0"/>
        <v>1.0632999999999999</v>
      </c>
      <c r="E18" s="5">
        <f>(PRODUCT($D$3:D17)^(1/(A17+B17)))-1</f>
        <v>5.4598520854230115E-2</v>
      </c>
    </row>
    <row r="19" spans="1:8" x14ac:dyDescent="0.3">
      <c r="A19">
        <f>'Q1 inputs'!A18</f>
        <v>16</v>
      </c>
      <c r="B19">
        <f>'Q1 inputs'!B18</f>
        <v>1</v>
      </c>
      <c r="C19" s="1">
        <f>'Q1 inputs'!C18</f>
        <v>6.4299999999999996E-2</v>
      </c>
      <c r="D19" s="1">
        <f t="shared" si="0"/>
        <v>1.0643</v>
      </c>
      <c r="E19" s="5">
        <f>(PRODUCT($D$3:D18)^(1/(A18+B18)))-1</f>
        <v>5.5140271049407774E-2</v>
      </c>
    </row>
    <row r="20" spans="1:8" x14ac:dyDescent="0.3">
      <c r="A20">
        <f>'Q1 inputs'!A19</f>
        <v>17</v>
      </c>
      <c r="B20">
        <f>'Q1 inputs'!B19</f>
        <v>1</v>
      </c>
      <c r="C20" s="1">
        <f>'Q1 inputs'!C19</f>
        <v>6.4899999999999999E-2</v>
      </c>
      <c r="D20" s="1">
        <f t="shared" si="0"/>
        <v>1.0649</v>
      </c>
      <c r="E20" s="5">
        <f>(PRODUCT($D$3:D19)^(1/(A19+B19)))-1</f>
        <v>5.5676889782886985E-2</v>
      </c>
    </row>
    <row r="21" spans="1:8" x14ac:dyDescent="0.3">
      <c r="A21">
        <f>'Q1 inputs'!A20</f>
        <v>18</v>
      </c>
      <c r="B21">
        <f>'Q1 inputs'!B20</f>
        <v>1</v>
      </c>
      <c r="C21" s="1">
        <f>'Q1 inputs'!C20</f>
        <v>6.5799999999999997E-2</v>
      </c>
      <c r="D21" s="1">
        <f t="shared" si="0"/>
        <v>1.0658000000000001</v>
      </c>
      <c r="E21" s="5">
        <f>(PRODUCT($D$3:D20)^(1/(A20+B20)))-1</f>
        <v>5.6187182724617202E-2</v>
      </c>
      <c r="H21" s="6"/>
    </row>
    <row r="22" spans="1:8" x14ac:dyDescent="0.3">
      <c r="A22">
        <f>'Q1 inputs'!A21</f>
        <v>19</v>
      </c>
      <c r="B22">
        <f>'Q1 inputs'!B21</f>
        <v>1</v>
      </c>
      <c r="C22" s="1">
        <f>'Q1 inputs'!C21</f>
        <v>6.59E-2</v>
      </c>
      <c r="D22" s="1">
        <f t="shared" si="0"/>
        <v>1.0659000000000001</v>
      </c>
      <c r="E22" s="5">
        <f>(PRODUCT($D$3:D21)^(1/(A21+B21)))-1</f>
        <v>5.669095207506758E-2</v>
      </c>
    </row>
    <row r="23" spans="1:8" x14ac:dyDescent="0.3">
      <c r="A23">
        <f>'Q1 inputs'!A22</f>
        <v>20</v>
      </c>
      <c r="B23">
        <f>'Q1 inputs'!B22</f>
        <v>1</v>
      </c>
      <c r="C23" s="1">
        <f>'Q1 inputs'!C22</f>
        <v>6.6199999999999995E-2</v>
      </c>
      <c r="D23" s="1">
        <f t="shared" si="0"/>
        <v>1.0662</v>
      </c>
      <c r="E23" s="5">
        <f>(PRODUCT($D$3:D22)^(1/(A22+B22)))-1</f>
        <v>5.7149509102528251E-2</v>
      </c>
      <c r="H23" s="7"/>
    </row>
    <row r="24" spans="1:8" x14ac:dyDescent="0.3">
      <c r="A24">
        <f>'Q1 inputs'!A23</f>
        <v>21</v>
      </c>
      <c r="B24">
        <f>'Q1 inputs'!B23</f>
        <v>1</v>
      </c>
      <c r="C24" s="1">
        <f>'Q1 inputs'!C23</f>
        <v>6.6900000000000001E-2</v>
      </c>
      <c r="D24" s="1">
        <f t="shared" si="0"/>
        <v>1.0669</v>
      </c>
      <c r="E24" s="5">
        <f>(PRODUCT($D$3:D23)^(1/(A23+B23)))-1</f>
        <v>5.7578737597413054E-2</v>
      </c>
    </row>
    <row r="25" spans="1:8" x14ac:dyDescent="0.3">
      <c r="A25">
        <f>'Q1 inputs'!A24</f>
        <v>22</v>
      </c>
      <c r="B25">
        <f>'Q1 inputs'!B24</f>
        <v>1</v>
      </c>
      <c r="C25" s="1">
        <f>'Q1 inputs'!C24</f>
        <v>6.8000000000000005E-2</v>
      </c>
      <c r="D25" s="1">
        <f t="shared" si="0"/>
        <v>1.0680000000000001</v>
      </c>
      <c r="E25" s="5">
        <f>(PRODUCT($D$3:D24)^(1/(A24+B24)))-1</f>
        <v>5.8000659211794092E-2</v>
      </c>
    </row>
    <row r="26" spans="1:8" x14ac:dyDescent="0.3">
      <c r="A26">
        <f>'Q1 inputs'!A25</f>
        <v>23</v>
      </c>
      <c r="B26">
        <f>'Q1 inputs'!B25</f>
        <v>1</v>
      </c>
      <c r="C26" s="1">
        <f>'Q1 inputs'!C25</f>
        <v>6.8500000000000005E-2</v>
      </c>
      <c r="D26" s="1">
        <f t="shared" si="0"/>
        <v>1.0685</v>
      </c>
      <c r="E26" s="5">
        <f>(PRODUCT($D$3:D25)^(1/(A25+B25)))-1</f>
        <v>5.8433460046424912E-2</v>
      </c>
    </row>
    <row r="27" spans="1:8" x14ac:dyDescent="0.3">
      <c r="A27">
        <f>'Q1 inputs'!A26</f>
        <v>24</v>
      </c>
      <c r="B27">
        <f>'Q1 inputs'!B26</f>
        <v>1</v>
      </c>
      <c r="C27" s="1">
        <f>'Q1 inputs'!C26</f>
        <v>6.9000000000000006E-2</v>
      </c>
      <c r="D27" s="1">
        <f t="shared" si="0"/>
        <v>1.069</v>
      </c>
      <c r="E27" s="5">
        <f>(PRODUCT($D$3:D26)^(1/(A26+B26)))-1</f>
        <v>5.8850999504749479E-2</v>
      </c>
    </row>
    <row r="28" spans="1:8" x14ac:dyDescent="0.3">
      <c r="A28">
        <f>'Q1 inputs'!A27</f>
        <v>25</v>
      </c>
      <c r="B28">
        <f>'Q1 inputs'!B27</f>
        <v>1</v>
      </c>
      <c r="C28" s="1">
        <f>'Q1 inputs'!C27</f>
        <v>6.9099999999999995E-2</v>
      </c>
      <c r="D28" s="1">
        <f t="shared" si="0"/>
        <v>1.0690999999999999</v>
      </c>
      <c r="E28" s="5">
        <f>(PRODUCT($D$3:D27)^(1/(A27+B27)))-1</f>
        <v>5.9255103413223598E-2</v>
      </c>
    </row>
    <row r="29" spans="1:8" x14ac:dyDescent="0.3">
      <c r="A29">
        <f>'Q1 inputs'!A28</f>
        <v>26</v>
      </c>
      <c r="B29">
        <f>'Q1 inputs'!B28</f>
        <v>1</v>
      </c>
      <c r="C29" s="1">
        <f>'Q1 inputs'!C28</f>
        <v>6.93E-2</v>
      </c>
      <c r="D29" s="1">
        <f t="shared" si="0"/>
        <v>1.0692999999999999</v>
      </c>
      <c r="E29" s="5">
        <f>(PRODUCT($D$3:D28)^(1/(A28+B28)))-1</f>
        <v>5.9632071553126886E-2</v>
      </c>
    </row>
    <row r="30" spans="1:8" x14ac:dyDescent="0.3">
      <c r="A30">
        <f>'Q1 inputs'!A29</f>
        <v>27</v>
      </c>
      <c r="B30">
        <f>'Q1 inputs'!B29</f>
        <v>1</v>
      </c>
      <c r="C30" s="1">
        <f>'Q1 inputs'!C29</f>
        <v>6.9900000000000004E-2</v>
      </c>
      <c r="D30" s="1">
        <f t="shared" si="0"/>
        <v>1.0699000000000001</v>
      </c>
      <c r="E30" s="5">
        <f>(PRODUCT($D$3:D29)^(1/(A29+B29)))-1</f>
        <v>5.9988579308870804E-2</v>
      </c>
    </row>
    <row r="31" spans="1:8" x14ac:dyDescent="0.3">
      <c r="A31">
        <f>'Q1 inputs'!A30</f>
        <v>28</v>
      </c>
      <c r="B31">
        <f>'Q1 inputs'!B30</f>
        <v>1</v>
      </c>
      <c r="C31" s="1">
        <f>'Q1 inputs'!C30</f>
        <v>7.0000000000000007E-2</v>
      </c>
      <c r="D31" s="1">
        <f t="shared" si="0"/>
        <v>1.07</v>
      </c>
      <c r="E31" s="5">
        <f>(PRODUCT($D$3:D30)^(1/(A30+B30)))-1</f>
        <v>6.0340972486030209E-2</v>
      </c>
    </row>
    <row r="32" spans="1:8" x14ac:dyDescent="0.3">
      <c r="A32">
        <f>'Q1 inputs'!A31</f>
        <v>29</v>
      </c>
      <c r="B32">
        <f>'Q1 inputs'!B31</f>
        <v>1</v>
      </c>
      <c r="C32" s="1">
        <f>'Q1 inputs'!C31</f>
        <v>7.0999999999999994E-2</v>
      </c>
      <c r="D32" s="1">
        <f t="shared" si="0"/>
        <v>1.071</v>
      </c>
      <c r="E32" s="5">
        <f>(PRODUCT($D$3:D31)^(1/(A31+B31)))-1</f>
        <v>6.0672586367822579E-2</v>
      </c>
    </row>
    <row r="33" spans="1:5" x14ac:dyDescent="0.3">
      <c r="A33">
        <f>'Q1 inputs'!A32</f>
        <v>30</v>
      </c>
      <c r="B33">
        <f>'Q1 inputs'!B32</f>
        <v>1</v>
      </c>
      <c r="C33" s="1">
        <f>'Q1 inputs'!C32</f>
        <v>7.1499999999999994E-2</v>
      </c>
      <c r="D33" s="1">
        <f t="shared" si="0"/>
        <v>1.0714999999999999</v>
      </c>
      <c r="E33" s="5">
        <f>(PRODUCT($D$3:D32)^(1/(A32+B32)))-1</f>
        <v>6.1015223709627531E-2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activeCell="J22" sqref="J22"/>
    </sheetView>
  </sheetViews>
  <sheetFormatPr defaultRowHeight="14.4" x14ac:dyDescent="0.3"/>
  <sheetData>
    <row r="1" spans="1:6" x14ac:dyDescent="0.3">
      <c r="C1" s="6">
        <v>2</v>
      </c>
      <c r="D1" s="6">
        <v>1</v>
      </c>
      <c r="F1" s="6">
        <v>2</v>
      </c>
    </row>
    <row r="2" spans="1:6" x14ac:dyDescent="0.3">
      <c r="A2" t="s">
        <v>0</v>
      </c>
      <c r="B2" t="str">
        <f>'Q.1 (i)'!E2</f>
        <v>yt</v>
      </c>
      <c r="C2" t="s">
        <v>10</v>
      </c>
      <c r="E2" t="s">
        <v>129</v>
      </c>
      <c r="F2" s="1">
        <f>(1-C33)/D4</f>
        <v>5.7086872955987376E-2</v>
      </c>
    </row>
    <row r="3" spans="1:6" x14ac:dyDescent="0.3">
      <c r="A3">
        <f>'Q.1 (i)'!A3</f>
        <v>0</v>
      </c>
      <c r="B3" s="1"/>
    </row>
    <row r="4" spans="1:6" x14ac:dyDescent="0.3">
      <c r="A4">
        <f>'Q.1 (i)'!A4</f>
        <v>1</v>
      </c>
      <c r="B4" s="1">
        <f>'Q.1 (i)'!E4</f>
        <v>4.3499999999999997E-2</v>
      </c>
      <c r="C4">
        <f>(1+B4)^-A4</f>
        <v>0.95831336847149007</v>
      </c>
      <c r="D4">
        <f>SUM(C4:C33)</f>
        <v>14.553591312494705</v>
      </c>
    </row>
    <row r="5" spans="1:6" x14ac:dyDescent="0.3">
      <c r="A5">
        <f>'Q.1 (i)'!A5</f>
        <v>2</v>
      </c>
      <c r="B5" s="1">
        <f>'Q.1 (i)'!E5</f>
        <v>4.3999880268192459E-2</v>
      </c>
      <c r="C5">
        <f t="shared" ref="C5:C33" si="0">(1+B5)^-A5</f>
        <v>0.91748527378792721</v>
      </c>
    </row>
    <row r="6" spans="1:6" x14ac:dyDescent="0.3">
      <c r="A6">
        <f>'Q.1 (i)'!A6</f>
        <v>3</v>
      </c>
      <c r="B6" s="1">
        <f>'Q.1 (i)'!E6</f>
        <v>4.4333147114980598E-2</v>
      </c>
      <c r="C6">
        <f t="shared" si="0"/>
        <v>0.87797633855304047</v>
      </c>
    </row>
    <row r="7" spans="1:6" x14ac:dyDescent="0.3">
      <c r="A7">
        <f>'Q.1 (i)'!A7</f>
        <v>4</v>
      </c>
      <c r="B7" s="1">
        <f>'Q.1 (i)'!E7</f>
        <v>4.5198783466579462E-2</v>
      </c>
      <c r="C7">
        <f t="shared" si="0"/>
        <v>0.83792359090765434</v>
      </c>
    </row>
    <row r="8" spans="1:6" x14ac:dyDescent="0.3">
      <c r="A8">
        <f>'Q.1 (i)'!A8</f>
        <v>5</v>
      </c>
      <c r="B8" s="1">
        <f>'Q.1 (i)'!E8</f>
        <v>4.6137339670051736E-2</v>
      </c>
      <c r="C8">
        <f t="shared" si="0"/>
        <v>0.79809847690985314</v>
      </c>
    </row>
    <row r="9" spans="1:6" x14ac:dyDescent="0.3">
      <c r="A9">
        <f>'Q.1 (i)'!A9</f>
        <v>6</v>
      </c>
      <c r="B9" s="1">
        <f>'Q.1 (i)'!E9</f>
        <v>4.7112175914502785E-2</v>
      </c>
      <c r="C9">
        <f t="shared" si="0"/>
        <v>0.75864874230974599</v>
      </c>
    </row>
    <row r="10" spans="1:6" x14ac:dyDescent="0.3">
      <c r="A10">
        <f>'Q.1 (i)'!A10</f>
        <v>7</v>
      </c>
      <c r="B10" s="1">
        <f>'Q.1 (i)'!E10</f>
        <v>4.8050765921950456E-2</v>
      </c>
      <c r="C10">
        <f t="shared" si="0"/>
        <v>0.71998551989156889</v>
      </c>
    </row>
    <row r="11" spans="1:6" x14ac:dyDescent="0.3">
      <c r="A11">
        <f>'Q.1 (i)'!A11</f>
        <v>8</v>
      </c>
      <c r="B11" s="1">
        <f>'Q.1 (i)'!E11</f>
        <v>4.9524645207046136E-2</v>
      </c>
      <c r="C11">
        <f t="shared" si="0"/>
        <v>0.67929570703987963</v>
      </c>
    </row>
    <row r="12" spans="1:6" x14ac:dyDescent="0.3">
      <c r="A12">
        <f>'Q.1 (i)'!A12</f>
        <v>9</v>
      </c>
      <c r="B12" s="1">
        <f>'Q.1 (i)'!E12</f>
        <v>5.0352622580079665E-2</v>
      </c>
      <c r="C12">
        <f t="shared" si="0"/>
        <v>0.64266386664132436</v>
      </c>
    </row>
    <row r="13" spans="1:6" x14ac:dyDescent="0.3">
      <c r="A13">
        <f>'Q.1 (i)'!A13</f>
        <v>10</v>
      </c>
      <c r="B13" s="1">
        <f>'Q.1 (i)'!E13</f>
        <v>5.1313395907919501E-2</v>
      </c>
      <c r="C13">
        <f t="shared" si="0"/>
        <v>0.60628666664275865</v>
      </c>
    </row>
    <row r="14" spans="1:6" x14ac:dyDescent="0.3">
      <c r="A14">
        <f>'Q.1 (i)'!A14</f>
        <v>11</v>
      </c>
      <c r="B14" s="1">
        <f>'Q.1 (i)'!E14</f>
        <v>5.2109159588315412E-2</v>
      </c>
      <c r="C14">
        <f t="shared" si="0"/>
        <v>0.57191459922909027</v>
      </c>
    </row>
    <row r="15" spans="1:6" x14ac:dyDescent="0.3">
      <c r="A15">
        <f>'Q.1 (i)'!A15</f>
        <v>12</v>
      </c>
      <c r="B15" s="1">
        <f>'Q.1 (i)'!E15</f>
        <v>5.2814125815040303E-2</v>
      </c>
      <c r="C15">
        <f t="shared" si="0"/>
        <v>0.53923684634083568</v>
      </c>
    </row>
    <row r="16" spans="1:6" x14ac:dyDescent="0.3">
      <c r="A16">
        <f>'Q.1 (i)'!A16</f>
        <v>13</v>
      </c>
      <c r="B16" s="1">
        <f>'Q.1 (i)'!E16</f>
        <v>5.3441559984118037E-2</v>
      </c>
      <c r="C16">
        <f t="shared" si="0"/>
        <v>0.50823453943528374</v>
      </c>
    </row>
    <row r="17" spans="1:3" x14ac:dyDescent="0.3">
      <c r="A17">
        <f>'Q.1 (i)'!A17</f>
        <v>14</v>
      </c>
      <c r="B17" s="1">
        <f>'Q.1 (i)'!E17</f>
        <v>5.4015128520015887E-2</v>
      </c>
      <c r="C17">
        <f t="shared" si="0"/>
        <v>0.4787890150120428</v>
      </c>
    </row>
    <row r="18" spans="1:3" x14ac:dyDescent="0.3">
      <c r="A18">
        <f>'Q.1 (i)'!A18</f>
        <v>15</v>
      </c>
      <c r="B18" s="1">
        <f>'Q.1 (i)'!E18</f>
        <v>5.4598520854230115E-2</v>
      </c>
      <c r="C18">
        <f t="shared" si="0"/>
        <v>0.45049775593906938</v>
      </c>
    </row>
    <row r="19" spans="1:3" x14ac:dyDescent="0.3">
      <c r="A19">
        <f>'Q.1 (i)'!A19</f>
        <v>16</v>
      </c>
      <c r="B19" s="1">
        <f>'Q.1 (i)'!E19</f>
        <v>5.5140271049407774E-2</v>
      </c>
      <c r="C19">
        <f t="shared" si="0"/>
        <v>0.42367888266629206</v>
      </c>
    </row>
    <row r="20" spans="1:3" x14ac:dyDescent="0.3">
      <c r="A20">
        <f>'Q.1 (i)'!A20</f>
        <v>17</v>
      </c>
      <c r="B20" s="1">
        <f>'Q.1 (i)'!E20</f>
        <v>5.5676889782886985E-2</v>
      </c>
      <c r="C20">
        <f t="shared" si="0"/>
        <v>0.39808219737507555</v>
      </c>
    </row>
    <row r="21" spans="1:3" x14ac:dyDescent="0.3">
      <c r="A21">
        <f>'Q.1 (i)'!A21</f>
        <v>18</v>
      </c>
      <c r="B21" s="1">
        <f>'Q.1 (i)'!E21</f>
        <v>5.6187182724617202E-2</v>
      </c>
      <c r="C21">
        <f t="shared" si="0"/>
        <v>0.37382120140395853</v>
      </c>
    </row>
    <row r="22" spans="1:3" x14ac:dyDescent="0.3">
      <c r="A22">
        <f>'Q.1 (i)'!A22</f>
        <v>19</v>
      </c>
      <c r="B22" s="1">
        <f>'Q.1 (i)'!E22</f>
        <v>5.669095207506758E-2</v>
      </c>
      <c r="C22">
        <f t="shared" si="0"/>
        <v>0.35074235447922547</v>
      </c>
    </row>
    <row r="23" spans="1:3" x14ac:dyDescent="0.3">
      <c r="A23">
        <f>'Q.1 (i)'!A23</f>
        <v>20</v>
      </c>
      <c r="B23" s="1">
        <f>'Q.1 (i)'!E23</f>
        <v>5.7149509102528251E-2</v>
      </c>
      <c r="C23">
        <f t="shared" si="0"/>
        <v>0.32905746737895247</v>
      </c>
    </row>
    <row r="24" spans="1:3" x14ac:dyDescent="0.3">
      <c r="A24">
        <f>'Q.1 (i)'!A24</f>
        <v>21</v>
      </c>
      <c r="B24" s="1">
        <f>'Q.1 (i)'!E24</f>
        <v>5.7578737597413054E-2</v>
      </c>
      <c r="C24">
        <f t="shared" si="0"/>
        <v>0.30862639971764433</v>
      </c>
    </row>
    <row r="25" spans="1:3" x14ac:dyDescent="0.3">
      <c r="A25">
        <f>'Q.1 (i)'!A25</f>
        <v>22</v>
      </c>
      <c r="B25" s="1">
        <f>'Q.1 (i)'!E25</f>
        <v>5.8000659211794092E-2</v>
      </c>
      <c r="C25">
        <f t="shared" si="0"/>
        <v>0.28927397105412417</v>
      </c>
    </row>
    <row r="26" spans="1:3" x14ac:dyDescent="0.3">
      <c r="A26">
        <f>'Q.1 (i)'!A26</f>
        <v>23</v>
      </c>
      <c r="B26" s="1">
        <f>'Q.1 (i)'!E26</f>
        <v>5.8433460046424912E-2</v>
      </c>
      <c r="C26">
        <f t="shared" si="0"/>
        <v>0.27085577814056561</v>
      </c>
    </row>
    <row r="27" spans="1:3" x14ac:dyDescent="0.3">
      <c r="A27">
        <f>'Q.1 (i)'!A27</f>
        <v>24</v>
      </c>
      <c r="B27" s="1">
        <f>'Q.1 (i)'!E27</f>
        <v>5.8850999504749479E-2</v>
      </c>
      <c r="C27">
        <f t="shared" si="0"/>
        <v>0.253491603313584</v>
      </c>
    </row>
    <row r="28" spans="1:3" x14ac:dyDescent="0.3">
      <c r="A28">
        <f>'Q.1 (i)'!A28</f>
        <v>25</v>
      </c>
      <c r="B28" s="1">
        <f>'Q.1 (i)'!E28</f>
        <v>5.9255103413223598E-2</v>
      </c>
      <c r="C28">
        <f t="shared" si="0"/>
        <v>0.2371296569818373</v>
      </c>
    </row>
    <row r="29" spans="1:3" x14ac:dyDescent="0.3">
      <c r="A29">
        <f>'Q.1 (i)'!A29</f>
        <v>26</v>
      </c>
      <c r="B29" s="1">
        <f>'Q.1 (i)'!E29</f>
        <v>5.9632071553126886E-2</v>
      </c>
      <c r="C29">
        <f t="shared" si="0"/>
        <v>0.22180306517803494</v>
      </c>
    </row>
    <row r="30" spans="1:3" x14ac:dyDescent="0.3">
      <c r="A30">
        <f>'Q.1 (i)'!A30</f>
        <v>27</v>
      </c>
      <c r="B30" s="1">
        <f>'Q.1 (i)'!E30</f>
        <v>5.9988579308870804E-2</v>
      </c>
      <c r="C30">
        <f t="shared" si="0"/>
        <v>0.20742828502575156</v>
      </c>
    </row>
    <row r="31" spans="1:3" x14ac:dyDescent="0.3">
      <c r="A31">
        <f>'Q.1 (i)'!A31</f>
        <v>28</v>
      </c>
      <c r="B31" s="1">
        <f>'Q.1 (i)'!E31</f>
        <v>6.0340972486030209E-2</v>
      </c>
      <c r="C31">
        <f t="shared" si="0"/>
        <v>0.19387632958757933</v>
      </c>
    </row>
    <row r="32" spans="1:3" x14ac:dyDescent="0.3">
      <c r="A32">
        <f>'Q.1 (i)'!A32</f>
        <v>29</v>
      </c>
      <c r="B32" s="1">
        <f>'Q.1 (i)'!E32</f>
        <v>6.0672586367822579E-2</v>
      </c>
      <c r="C32">
        <f t="shared" si="0"/>
        <v>0.18119283139026049</v>
      </c>
    </row>
    <row r="33" spans="1:3" x14ac:dyDescent="0.3">
      <c r="A33">
        <f>'Q.1 (i)'!A33</f>
        <v>30</v>
      </c>
      <c r="B33" s="1">
        <f>'Q.1 (i)'!E33</f>
        <v>6.1015223709627531E-2</v>
      </c>
      <c r="C33">
        <f t="shared" si="0"/>
        <v>0.16918098169025317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9"/>
  <sheetViews>
    <sheetView zoomScale="64" zoomScaleNormal="64" workbookViewId="0">
      <selection activeCell="I12" sqref="I12"/>
    </sheetView>
  </sheetViews>
  <sheetFormatPr defaultRowHeight="14.4" x14ac:dyDescent="0.3"/>
  <cols>
    <col min="1" max="1" width="22.109375" bestFit="1" customWidth="1"/>
    <col min="2" max="2" width="15.21875" bestFit="1" customWidth="1"/>
    <col min="3" max="3" width="8.6640625" bestFit="1" customWidth="1"/>
    <col min="4" max="4" width="14.77734375" bestFit="1" customWidth="1"/>
    <col min="5" max="5" width="26.21875" customWidth="1"/>
    <col min="6" max="6" width="17.21875" bestFit="1" customWidth="1"/>
    <col min="7" max="7" width="14.88671875" bestFit="1" customWidth="1"/>
    <col min="8" max="8" width="7.5546875" bestFit="1" customWidth="1"/>
    <col min="9" max="9" width="14" bestFit="1" customWidth="1"/>
    <col min="10" max="10" width="12.6640625" bestFit="1" customWidth="1"/>
    <col min="11" max="11" width="9" bestFit="1" customWidth="1"/>
    <col min="12" max="12" width="9" customWidth="1"/>
    <col min="13" max="13" width="23.109375" bestFit="1" customWidth="1"/>
    <col min="15" max="15" width="22.109375" bestFit="1" customWidth="1"/>
    <col min="16" max="16" width="15.21875" bestFit="1" customWidth="1"/>
    <col min="17" max="17" width="8.6640625" bestFit="1" customWidth="1"/>
    <col min="18" max="18" width="14.77734375" bestFit="1" customWidth="1"/>
    <col min="19" max="19" width="26.21875" bestFit="1" customWidth="1"/>
    <col min="20" max="20" width="17.21875" bestFit="1" customWidth="1"/>
    <col min="21" max="21" width="14.88671875" bestFit="1" customWidth="1"/>
    <col min="22" max="22" width="8.109375" bestFit="1" customWidth="1"/>
    <col min="23" max="23" width="14" bestFit="1" customWidth="1"/>
    <col min="24" max="24" width="12.6640625" bestFit="1" customWidth="1"/>
    <col min="25" max="25" width="10.21875" bestFit="1" customWidth="1"/>
  </cols>
  <sheetData>
    <row r="1" spans="1:27" x14ac:dyDescent="0.3">
      <c r="A1" s="7" t="s">
        <v>16</v>
      </c>
    </row>
    <row r="2" spans="1:27" x14ac:dyDescent="0.3">
      <c r="A2" s="7"/>
      <c r="F2">
        <f>SUM(19:19,L11,Z11)</f>
        <v>30</v>
      </c>
    </row>
    <row r="3" spans="1:27" x14ac:dyDescent="0.3">
      <c r="A3" s="11" t="s">
        <v>12</v>
      </c>
      <c r="E3" t="s">
        <v>126</v>
      </c>
      <c r="F3">
        <f>SUM(B19:I19,P19:W19)</f>
        <v>21</v>
      </c>
      <c r="O3" s="10" t="s">
        <v>33</v>
      </c>
    </row>
    <row r="4" spans="1:27" x14ac:dyDescent="0.3">
      <c r="A4" t="s">
        <v>14</v>
      </c>
      <c r="B4">
        <v>25</v>
      </c>
      <c r="E4" t="s">
        <v>35</v>
      </c>
      <c r="F4">
        <f>SUM(J19:K19,X19:Y19)</f>
        <v>5</v>
      </c>
      <c r="O4" t="s">
        <v>14</v>
      </c>
      <c r="P4">
        <v>16</v>
      </c>
    </row>
    <row r="5" spans="1:27" x14ac:dyDescent="0.3">
      <c r="A5" t="s">
        <v>20</v>
      </c>
      <c r="B5" s="2">
        <v>225</v>
      </c>
      <c r="E5" t="s">
        <v>37</v>
      </c>
      <c r="F5">
        <f>SUM(L19,L11,Z11,Z19)</f>
        <v>4</v>
      </c>
      <c r="O5" t="s">
        <v>20</v>
      </c>
      <c r="P5" s="2">
        <v>1200</v>
      </c>
    </row>
    <row r="6" spans="1:27" x14ac:dyDescent="0.3">
      <c r="A6" t="s">
        <v>28</v>
      </c>
      <c r="B6" s="2">
        <v>50</v>
      </c>
      <c r="O6" t="s">
        <v>28</v>
      </c>
      <c r="P6" s="2">
        <v>120</v>
      </c>
    </row>
    <row r="7" spans="1:27" x14ac:dyDescent="0.3">
      <c r="A7" t="s">
        <v>29</v>
      </c>
      <c r="B7">
        <v>400</v>
      </c>
      <c r="C7" s="16" t="s">
        <v>48</v>
      </c>
      <c r="O7" t="s">
        <v>29</v>
      </c>
      <c r="P7">
        <v>605</v>
      </c>
    </row>
    <row r="8" spans="1:27" x14ac:dyDescent="0.3">
      <c r="A8" t="s">
        <v>30</v>
      </c>
      <c r="B8">
        <v>80</v>
      </c>
      <c r="C8" s="16"/>
      <c r="O8" t="s">
        <v>30</v>
      </c>
      <c r="P8">
        <v>200</v>
      </c>
    </row>
    <row r="9" spans="1:27" x14ac:dyDescent="0.3">
      <c r="A9" t="s">
        <v>43</v>
      </c>
      <c r="B9">
        <v>500</v>
      </c>
      <c r="C9" s="16"/>
      <c r="O9" t="s">
        <v>43</v>
      </c>
      <c r="P9">
        <v>350</v>
      </c>
    </row>
    <row r="10" spans="1:27" x14ac:dyDescent="0.3">
      <c r="A10" t="s">
        <v>51</v>
      </c>
      <c r="B10">
        <v>30</v>
      </c>
      <c r="C10" s="16"/>
    </row>
    <row r="11" spans="1:27" x14ac:dyDescent="0.3">
      <c r="A11" t="s">
        <v>34</v>
      </c>
      <c r="B11" s="8">
        <v>0.05</v>
      </c>
      <c r="C11" s="16" t="s">
        <v>46</v>
      </c>
      <c r="L11" s="6">
        <v>1</v>
      </c>
      <c r="O11" t="s">
        <v>34</v>
      </c>
      <c r="P11" s="5">
        <v>2.5000000000000001E-2</v>
      </c>
      <c r="Z11" s="6">
        <v>1</v>
      </c>
    </row>
    <row r="12" spans="1:27" x14ac:dyDescent="0.3">
      <c r="A12" t="s">
        <v>18</v>
      </c>
      <c r="B12" s="5">
        <v>4.4999999999999998E-2</v>
      </c>
      <c r="C12" s="16" t="s">
        <v>45</v>
      </c>
      <c r="K12" t="s">
        <v>37</v>
      </c>
      <c r="L12" s="5">
        <v>5.6804872026162974E-2</v>
      </c>
      <c r="M12" t="s">
        <v>52</v>
      </c>
      <c r="O12" t="s">
        <v>18</v>
      </c>
      <c r="P12" s="5">
        <v>4.4999999999999998E-2</v>
      </c>
      <c r="Y12" t="s">
        <v>37</v>
      </c>
      <c r="Z12" s="5">
        <v>5.2855737740018581E-2</v>
      </c>
      <c r="AA12" t="s">
        <v>53</v>
      </c>
    </row>
    <row r="13" spans="1:27" x14ac:dyDescent="0.3">
      <c r="A13" t="s">
        <v>19</v>
      </c>
      <c r="B13" s="5">
        <v>3.7499999999999999E-2</v>
      </c>
      <c r="C13" s="16" t="s">
        <v>44</v>
      </c>
      <c r="L13" s="4">
        <f>SUM(L21:L46)</f>
        <v>-7.7898610576376814E-4</v>
      </c>
      <c r="O13" t="s">
        <v>19</v>
      </c>
      <c r="P13" s="5">
        <v>0.1</v>
      </c>
      <c r="Z13" s="4">
        <f>SUM(Z21:Z46)</f>
        <v>1.2970769859066422E-5</v>
      </c>
    </row>
    <row r="14" spans="1:27" x14ac:dyDescent="0.3">
      <c r="A14" t="s">
        <v>23</v>
      </c>
      <c r="B14" s="5">
        <v>0.08</v>
      </c>
      <c r="C14" s="16" t="s">
        <v>47</v>
      </c>
      <c r="P14" s="5"/>
    </row>
    <row r="15" spans="1:27" x14ac:dyDescent="0.3">
      <c r="A15" t="s">
        <v>25</v>
      </c>
      <c r="B15" s="5">
        <v>0.1</v>
      </c>
      <c r="C15" s="16" t="s">
        <v>49</v>
      </c>
      <c r="O15" t="s">
        <v>25</v>
      </c>
      <c r="P15" s="5">
        <v>0.1</v>
      </c>
    </row>
    <row r="16" spans="1:27" x14ac:dyDescent="0.3">
      <c r="A16" t="s">
        <v>26</v>
      </c>
      <c r="B16" s="5">
        <v>0.15</v>
      </c>
      <c r="C16" s="16" t="s">
        <v>50</v>
      </c>
      <c r="O16" t="s">
        <v>26</v>
      </c>
      <c r="P16" s="5">
        <v>0.15</v>
      </c>
    </row>
    <row r="17" spans="1:26" x14ac:dyDescent="0.3">
      <c r="B17" s="2"/>
      <c r="P17" s="5"/>
    </row>
    <row r="18" spans="1:26" ht="43.2" x14ac:dyDescent="0.3">
      <c r="B18" s="8"/>
      <c r="E18" s="15" t="s">
        <v>130</v>
      </c>
    </row>
    <row r="19" spans="1:26" x14ac:dyDescent="0.3">
      <c r="B19" s="6">
        <v>2</v>
      </c>
      <c r="C19" s="6">
        <v>1</v>
      </c>
      <c r="D19" s="6">
        <v>2</v>
      </c>
      <c r="E19" s="13">
        <v>2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2</v>
      </c>
      <c r="L19" s="6">
        <v>1</v>
      </c>
      <c r="P19" s="6">
        <v>1</v>
      </c>
      <c r="Q19" s="6">
        <v>1</v>
      </c>
      <c r="R19" s="6">
        <v>2</v>
      </c>
      <c r="S19" s="6">
        <v>1</v>
      </c>
      <c r="T19" s="6">
        <v>2</v>
      </c>
      <c r="U19" s="6">
        <v>1</v>
      </c>
      <c r="V19" s="6">
        <v>1</v>
      </c>
      <c r="W19" s="6">
        <v>1</v>
      </c>
      <c r="X19" s="6"/>
      <c r="Y19" s="6">
        <v>2</v>
      </c>
      <c r="Z19" s="6">
        <v>1</v>
      </c>
    </row>
    <row r="20" spans="1:26" x14ac:dyDescent="0.3">
      <c r="A20" t="s">
        <v>42</v>
      </c>
      <c r="B20" t="s">
        <v>15</v>
      </c>
      <c r="C20" t="s">
        <v>17</v>
      </c>
      <c r="D20" t="s">
        <v>21</v>
      </c>
      <c r="E20" t="s">
        <v>31</v>
      </c>
      <c r="F20" t="s">
        <v>22</v>
      </c>
      <c r="G20" t="s">
        <v>32</v>
      </c>
      <c r="H20" t="s">
        <v>24</v>
      </c>
      <c r="I20" t="s">
        <v>27</v>
      </c>
      <c r="J20" t="s">
        <v>36</v>
      </c>
      <c r="K20" t="s">
        <v>35</v>
      </c>
      <c r="L20" t="s">
        <v>38</v>
      </c>
      <c r="O20" t="s">
        <v>13</v>
      </c>
      <c r="P20" t="s">
        <v>15</v>
      </c>
      <c r="Q20" t="s">
        <v>17</v>
      </c>
      <c r="R20" t="s">
        <v>21</v>
      </c>
      <c r="S20" t="s">
        <v>31</v>
      </c>
      <c r="T20" t="s">
        <v>22</v>
      </c>
      <c r="U20" t="s">
        <v>32</v>
      </c>
      <c r="V20" t="s">
        <v>24</v>
      </c>
      <c r="W20" t="s">
        <v>27</v>
      </c>
      <c r="X20" t="str">
        <f>J20</f>
        <v>Forward rates</v>
      </c>
      <c r="Y20" t="str">
        <f>K20</f>
        <v>NPV</v>
      </c>
      <c r="Z20" t="s">
        <v>38</v>
      </c>
    </row>
    <row r="21" spans="1:26" x14ac:dyDescent="0.3">
      <c r="A21">
        <v>0</v>
      </c>
      <c r="D21" s="2"/>
      <c r="E21" s="2"/>
      <c r="G21" s="2">
        <f>-(reserves1+B9)</f>
        <v>-900</v>
      </c>
      <c r="I21" s="4">
        <f t="shared" ref="I21:I46" si="0">SUM(B21:C21,E21:H21)</f>
        <v>-900</v>
      </c>
      <c r="J21" s="4"/>
      <c r="K21" s="4">
        <f t="shared" ref="K21:K45" si="1">I21+K22/(1+J22)</f>
        <v>27.700066831372396</v>
      </c>
      <c r="L21" s="4">
        <f t="shared" ref="L21:L46" si="2">I21*(1+$L$12)^-A21</f>
        <v>-900</v>
      </c>
      <c r="O21">
        <v>0</v>
      </c>
      <c r="U21" s="17">
        <f>-(reserves2+P9)</f>
        <v>-955</v>
      </c>
      <c r="W21" s="4">
        <f t="shared" ref="W21:W37" si="3">SUM(P21:Q21,S21:V21)</f>
        <v>-955</v>
      </c>
      <c r="X21" s="1">
        <f t="shared" ref="X21:X37" si="4">J21</f>
        <v>0</v>
      </c>
      <c r="Y21" s="4">
        <f t="shared" ref="Y21:Y36" si="5">W21+Y22/(1+X22)</f>
        <v>70.104714105467565</v>
      </c>
      <c r="Z21" s="4">
        <f t="shared" ref="Z21:Z37" si="6">W21*(1+$Z$12)^-O21</f>
        <v>-955</v>
      </c>
    </row>
    <row r="22" spans="1:26" x14ac:dyDescent="0.3">
      <c r="A22">
        <f t="shared" ref="A22" si="7">IF(A21&gt;=$B$4,"",A21+1)</f>
        <v>1</v>
      </c>
      <c r="B22" s="9">
        <f>B5</f>
        <v>225</v>
      </c>
      <c r="C22" s="9">
        <f>-B6</f>
        <v>-50</v>
      </c>
      <c r="D22" s="9">
        <f>-B8</f>
        <v>-80</v>
      </c>
      <c r="E22" s="2">
        <f>IF(-SUM($D$22:D22)&gt;reserves1,D22,0)</f>
        <v>0</v>
      </c>
      <c r="F22" s="9">
        <f>B10</f>
        <v>30</v>
      </c>
      <c r="G22" s="2"/>
      <c r="H22" s="4">
        <f t="shared" ref="H22:H46" si="8">-((B22*tp)+(F22*ti))</f>
        <v>-27</v>
      </c>
      <c r="I22" s="4">
        <f t="shared" si="0"/>
        <v>178</v>
      </c>
      <c r="J22" s="5">
        <f>'Q1 inputs'!$C3</f>
        <v>4.4499999999999998E-2</v>
      </c>
      <c r="K22" s="4">
        <f t="shared" si="1"/>
        <v>968.98271980536845</v>
      </c>
      <c r="L22" s="4">
        <f t="shared" si="2"/>
        <v>168.43222879804563</v>
      </c>
      <c r="O22">
        <f t="shared" ref="O22:O42" si="9">IF(O21&gt;=$P$4,"",O21+1)</f>
        <v>1</v>
      </c>
      <c r="P22" s="12">
        <f>P5</f>
        <v>1200</v>
      </c>
      <c r="Q22" s="12">
        <f>-P6</f>
        <v>-120</v>
      </c>
      <c r="R22" s="12">
        <f>-P8</f>
        <v>-200</v>
      </c>
      <c r="S22" s="4">
        <f>IF(-SUM($R$22:R22)&gt;reserves2,R22,0)</f>
        <v>0</v>
      </c>
      <c r="T22" s="4">
        <f>'Q1 inputs'!J3*AVERAGE('Q1 inputs'!H3:I3)/100000</f>
        <v>69.68719969960938</v>
      </c>
      <c r="U22" s="4"/>
      <c r="V22" s="4">
        <f t="shared" ref="V22:V37" si="10">-((P22*tp)+MAX((T22*ti),0))</f>
        <v>-130.45307995494142</v>
      </c>
      <c r="W22" s="4">
        <f t="shared" si="3"/>
        <v>1019.2341197446681</v>
      </c>
      <c r="X22" s="1">
        <f t="shared" si="4"/>
        <v>4.4499999999999998E-2</v>
      </c>
      <c r="Y22" s="4">
        <f t="shared" si="5"/>
        <v>1070.7218738831609</v>
      </c>
      <c r="Z22" s="4">
        <f t="shared" si="6"/>
        <v>968.06626322090426</v>
      </c>
    </row>
    <row r="23" spans="1:26" x14ac:dyDescent="0.3">
      <c r="A23">
        <f>IF(A22&gt;=$B$4,"",A22+1)</f>
        <v>2</v>
      </c>
      <c r="B23" s="2">
        <f t="shared" ref="B23:B46" si="11">B22*(1-lapse)</f>
        <v>216.5625</v>
      </c>
      <c r="C23" s="2">
        <f t="shared" ref="C23:C46" si="12">C22*(1+inflation)</f>
        <v>-52.25</v>
      </c>
      <c r="D23" s="2">
        <f t="shared" ref="D23:D46" si="13">IF(MOD(A22,5)=0,D22*(1+claims),D22)</f>
        <v>-80</v>
      </c>
      <c r="E23" s="2">
        <f>IF(-SUM($D$22:D23)&gt;reserves1,D23,0)</f>
        <v>0</v>
      </c>
      <c r="F23" s="2">
        <f t="shared" ref="F23:F46" si="14">F22*(1+growth)</f>
        <v>32.400000000000006</v>
      </c>
      <c r="G23" s="2"/>
      <c r="H23" s="4">
        <f t="shared" si="8"/>
        <v>-26.516249999999999</v>
      </c>
      <c r="I23" s="4">
        <f t="shared" si="0"/>
        <v>170.19625000000002</v>
      </c>
      <c r="J23" s="5">
        <f>'Q1 inputs'!$C4</f>
        <v>4.4999999999999998E-2</v>
      </c>
      <c r="K23" s="4">
        <f t="shared" si="1"/>
        <v>826.57694219660993</v>
      </c>
      <c r="L23" s="4">
        <f t="shared" si="2"/>
        <v>152.39136998074207</v>
      </c>
      <c r="O23">
        <f t="shared" si="9"/>
        <v>2</v>
      </c>
      <c r="P23" s="4">
        <f>P22*(1-lapse2)</f>
        <v>1080</v>
      </c>
      <c r="Q23" s="4">
        <f t="shared" ref="Q23:Q37" si="15">Q22*(1+inflation)</f>
        <v>-125.39999999999999</v>
      </c>
      <c r="R23" s="4">
        <f>IF(MOD(O22,3)=0,R22*(1+claims2),R22)</f>
        <v>-200</v>
      </c>
      <c r="S23" s="4">
        <f>IF(-SUM($R$22:R23)&gt;reserves2,R23,0)</f>
        <v>0</v>
      </c>
      <c r="T23" s="4">
        <f>'Q1 inputs'!J4*AVERAGE('Q1 inputs'!H4:I4)/100000</f>
        <v>69.276640394366297</v>
      </c>
      <c r="U23" s="4"/>
      <c r="V23" s="4">
        <f t="shared" si="10"/>
        <v>-118.39149605915495</v>
      </c>
      <c r="W23" s="4">
        <f t="shared" si="3"/>
        <v>905.48514433521132</v>
      </c>
      <c r="X23" s="1">
        <f t="shared" si="4"/>
        <v>4.4999999999999998E-2</v>
      </c>
      <c r="Y23" s="4">
        <f t="shared" si="5"/>
        <v>53.804703074725126</v>
      </c>
      <c r="Z23" s="4">
        <f t="shared" si="6"/>
        <v>816.85240688617966</v>
      </c>
    </row>
    <row r="24" spans="1:26" x14ac:dyDescent="0.3">
      <c r="A24">
        <f t="shared" ref="A24:A49" si="16">IF(A23&gt;=$B$4,"",A23+1)</f>
        <v>3</v>
      </c>
      <c r="B24" s="2">
        <f t="shared" si="11"/>
        <v>208.44140625</v>
      </c>
      <c r="C24" s="2">
        <f t="shared" si="12"/>
        <v>-54.601249999999993</v>
      </c>
      <c r="D24" s="2">
        <f t="shared" si="13"/>
        <v>-80</v>
      </c>
      <c r="E24" s="2">
        <f>IF(-SUM($D$22:D24)&gt;reserves1,D24,0)</f>
        <v>0</v>
      </c>
      <c r="F24" s="2">
        <f t="shared" si="14"/>
        <v>34.992000000000012</v>
      </c>
      <c r="G24" s="2"/>
      <c r="H24" s="4">
        <f t="shared" si="8"/>
        <v>-26.092940625000004</v>
      </c>
      <c r="I24" s="4">
        <f t="shared" si="0"/>
        <v>162.73921562500001</v>
      </c>
      <c r="J24" s="5">
        <f>'Q1 inputs'!$C5</f>
        <v>4.7800000000000002E-2</v>
      </c>
      <c r="K24" s="4">
        <f t="shared" si="1"/>
        <v>687.75568928360792</v>
      </c>
      <c r="L24" s="4">
        <f t="shared" si="2"/>
        <v>137.88207106302707</v>
      </c>
      <c r="O24">
        <f t="shared" si="9"/>
        <v>3</v>
      </c>
      <c r="P24" s="4">
        <f>P23*(1-lapse2)</f>
        <v>972</v>
      </c>
      <c r="Q24" s="4">
        <f t="shared" si="15"/>
        <v>-131.04299999999998</v>
      </c>
      <c r="R24" s="4">
        <f t="shared" ref="R24:R37" si="17">IF(MOD(O23,2)=0,R23*(1+claims2),R23)</f>
        <v>-204.99999999999997</v>
      </c>
      <c r="S24" s="4">
        <f>IF(-SUM($R$22:R24)&gt;reserves2,R24,0)</f>
        <v>0</v>
      </c>
      <c r="T24" s="4">
        <f>'Q1 inputs'!J5*AVERAGE('Q1 inputs'!H5:I5)/100000</f>
        <v>234.85933116010665</v>
      </c>
      <c r="U24" s="4"/>
      <c r="V24" s="4">
        <f t="shared" si="10"/>
        <v>-132.42889967401601</v>
      </c>
      <c r="W24" s="4">
        <f t="shared" si="3"/>
        <v>943.38743148609046</v>
      </c>
      <c r="X24" s="1">
        <f t="shared" si="4"/>
        <v>4.7800000000000002E-2</v>
      </c>
      <c r="Y24" s="4">
        <f t="shared" si="5"/>
        <v>-892.3907663527375</v>
      </c>
      <c r="Z24" s="4">
        <f t="shared" si="6"/>
        <v>808.3202916084673</v>
      </c>
    </row>
    <row r="25" spans="1:26" x14ac:dyDescent="0.3">
      <c r="A25">
        <f t="shared" si="16"/>
        <v>4</v>
      </c>
      <c r="B25" s="2">
        <f t="shared" si="11"/>
        <v>200.62485351562501</v>
      </c>
      <c r="C25" s="2">
        <f t="shared" si="12"/>
        <v>-57.058306249999987</v>
      </c>
      <c r="D25" s="2">
        <f t="shared" si="13"/>
        <v>-80</v>
      </c>
      <c r="E25" s="2">
        <f>IF(-SUM($D$22:D25)&gt;reserves1,D25,0)</f>
        <v>0</v>
      </c>
      <c r="F25" s="2">
        <f t="shared" si="14"/>
        <v>37.791360000000012</v>
      </c>
      <c r="G25" s="2"/>
      <c r="H25" s="4">
        <f t="shared" si="8"/>
        <v>-25.731189351562502</v>
      </c>
      <c r="I25" s="4">
        <f t="shared" si="0"/>
        <v>155.62671791406254</v>
      </c>
      <c r="J25" s="5">
        <f>'Q1 inputs'!$C6</f>
        <v>4.99E-2</v>
      </c>
      <c r="K25" s="4">
        <f t="shared" si="1"/>
        <v>551.21479569417249</v>
      </c>
      <c r="L25" s="4">
        <f t="shared" si="2"/>
        <v>124.76849353668605</v>
      </c>
      <c r="O25">
        <f t="shared" si="9"/>
        <v>4</v>
      </c>
      <c r="P25" s="4">
        <f>P24*(1-lapse2)</f>
        <v>874.80000000000007</v>
      </c>
      <c r="Q25" s="4">
        <f t="shared" si="15"/>
        <v>-136.93993499999996</v>
      </c>
      <c r="R25" s="4">
        <f t="shared" si="17"/>
        <v>-204.99999999999997</v>
      </c>
      <c r="S25" s="4">
        <f>IF(-SUM($R$22:R25)&gt;reserves2,R25,0)</f>
        <v>-204.99999999999997</v>
      </c>
      <c r="T25" s="4">
        <f>'Q1 inputs'!J6*AVERAGE('Q1 inputs'!H6:I6)/100000</f>
        <v>-191.06602444662363</v>
      </c>
      <c r="U25" s="4"/>
      <c r="V25" s="4">
        <f t="shared" si="10"/>
        <v>-87.480000000000018</v>
      </c>
      <c r="W25" s="4">
        <f t="shared" si="3"/>
        <v>254.31404055337646</v>
      </c>
      <c r="X25" s="1">
        <f t="shared" si="4"/>
        <v>4.99E-2</v>
      </c>
      <c r="Y25" s="4">
        <f t="shared" si="5"/>
        <v>-1927.3835299109855</v>
      </c>
      <c r="Z25" s="4">
        <f t="shared" si="6"/>
        <v>206.96402650901769</v>
      </c>
    </row>
    <row r="26" spans="1:26" x14ac:dyDescent="0.3">
      <c r="A26">
        <f t="shared" si="16"/>
        <v>5</v>
      </c>
      <c r="B26" s="2">
        <f t="shared" si="11"/>
        <v>193.10142150878906</v>
      </c>
      <c r="C26" s="2">
        <f t="shared" si="12"/>
        <v>-59.625930031249979</v>
      </c>
      <c r="D26" s="2">
        <f t="shared" si="13"/>
        <v>-80</v>
      </c>
      <c r="E26" s="2">
        <f>IF(-SUM($D$22:D26)&gt;reserves1,D26,0)</f>
        <v>0</v>
      </c>
      <c r="F26" s="2">
        <f t="shared" si="14"/>
        <v>40.814668800000014</v>
      </c>
      <c r="G26" s="2"/>
      <c r="H26" s="4">
        <f t="shared" si="8"/>
        <v>-25.432342470878908</v>
      </c>
      <c r="I26" s="4">
        <f t="shared" si="0"/>
        <v>148.85781780666019</v>
      </c>
      <c r="J26" s="5">
        <f>'Q1 inputs'!$C7</f>
        <v>5.1999999999999998E-2</v>
      </c>
      <c r="K26" s="4">
        <f t="shared" si="1"/>
        <v>416.15865782467569</v>
      </c>
      <c r="L26" s="4">
        <f t="shared" si="2"/>
        <v>112.92695407078661</v>
      </c>
      <c r="O26">
        <f t="shared" si="9"/>
        <v>5</v>
      </c>
      <c r="P26" s="4">
        <f>P25*(1-lapse2)</f>
        <v>787.32</v>
      </c>
      <c r="Q26" s="4">
        <f t="shared" si="15"/>
        <v>-143.10223207499996</v>
      </c>
      <c r="R26" s="4">
        <f t="shared" si="17"/>
        <v>-210.12499999999994</v>
      </c>
      <c r="S26" s="4">
        <f>IF(-SUM($R$22:R26)&gt;reserves2,R26,0)</f>
        <v>-210.12499999999994</v>
      </c>
      <c r="T26" s="4">
        <f>'Q1 inputs'!J7*AVERAGE('Q1 inputs'!H7:I7)/100000</f>
        <v>125.94184352002405</v>
      </c>
      <c r="U26" s="4"/>
      <c r="V26" s="4">
        <f t="shared" si="10"/>
        <v>-97.623276528003629</v>
      </c>
      <c r="W26" s="4">
        <f t="shared" si="3"/>
        <v>462.41133491702055</v>
      </c>
      <c r="X26" s="1">
        <f t="shared" si="4"/>
        <v>5.1999999999999998E-2</v>
      </c>
      <c r="Y26" s="4">
        <f t="shared" si="5"/>
        <v>-2295.145844128509</v>
      </c>
      <c r="Z26" s="4">
        <f t="shared" si="6"/>
        <v>357.4243450273575</v>
      </c>
    </row>
    <row r="27" spans="1:26" x14ac:dyDescent="0.3">
      <c r="A27">
        <f t="shared" si="16"/>
        <v>6</v>
      </c>
      <c r="B27" s="2">
        <f t="shared" si="11"/>
        <v>185.86011820220946</v>
      </c>
      <c r="C27" s="2">
        <f t="shared" si="12"/>
        <v>-62.30909688265622</v>
      </c>
      <c r="D27" s="2">
        <f t="shared" si="13"/>
        <v>-84</v>
      </c>
      <c r="E27" s="2">
        <f>IF(-SUM($D$22:D27)&gt;reserves1,D27,0)</f>
        <v>-84</v>
      </c>
      <c r="F27" s="2">
        <f t="shared" si="14"/>
        <v>44.079842304000017</v>
      </c>
      <c r="G27" s="2"/>
      <c r="H27" s="4">
        <f t="shared" si="8"/>
        <v>-25.197988165820949</v>
      </c>
      <c r="I27" s="4">
        <f t="shared" si="0"/>
        <v>58.432875457732322</v>
      </c>
      <c r="J27" s="5">
        <f>'Q1 inputs'!$C8</f>
        <v>5.3699999999999998E-2</v>
      </c>
      <c r="K27" s="4">
        <f t="shared" si="1"/>
        <v>281.65489512698292</v>
      </c>
      <c r="L27" s="4">
        <f t="shared" si="2"/>
        <v>41.94579380671118</v>
      </c>
      <c r="O27">
        <f t="shared" si="9"/>
        <v>6</v>
      </c>
      <c r="P27" s="4"/>
      <c r="Q27" s="4">
        <f t="shared" si="15"/>
        <v>-149.54183251837495</v>
      </c>
      <c r="R27" s="4">
        <f t="shared" si="17"/>
        <v>-210.12499999999994</v>
      </c>
      <c r="S27" s="4">
        <f>IF(-SUM($R$22:R27)&gt;reserves2,R27,0)</f>
        <v>-210.12499999999994</v>
      </c>
      <c r="T27" s="4">
        <f>'Q1 inputs'!J8*AVERAGE('Q1 inputs'!H8:I8)/100000</f>
        <v>55.155282036428915</v>
      </c>
      <c r="U27" s="4"/>
      <c r="V27" s="4">
        <f t="shared" si="10"/>
        <v>-8.2732923054643361</v>
      </c>
      <c r="W27" s="4">
        <f t="shared" si="3"/>
        <v>-312.78484278741035</v>
      </c>
      <c r="X27" s="1">
        <f t="shared" si="4"/>
        <v>5.3699999999999998E-2</v>
      </c>
      <c r="Y27" s="4">
        <f t="shared" si="5"/>
        <v>-2905.6379995602747</v>
      </c>
      <c r="Z27" s="4">
        <f t="shared" si="6"/>
        <v>-229.63204316171928</v>
      </c>
    </row>
    <row r="28" spans="1:26" x14ac:dyDescent="0.3">
      <c r="A28">
        <f t="shared" si="16"/>
        <v>7</v>
      </c>
      <c r="B28" s="2">
        <f t="shared" si="11"/>
        <v>178.89036376962662</v>
      </c>
      <c r="C28" s="2">
        <f t="shared" si="12"/>
        <v>-65.113006242375747</v>
      </c>
      <c r="D28" s="2">
        <f t="shared" si="13"/>
        <v>-84</v>
      </c>
      <c r="E28" s="2">
        <f>IF(-SUM($D$22:D28)&gt;reserves1,D28,0)</f>
        <v>-84</v>
      </c>
      <c r="F28" s="2">
        <f t="shared" si="14"/>
        <v>47.60622968832002</v>
      </c>
      <c r="G28" s="2"/>
      <c r="H28" s="4">
        <f t="shared" si="8"/>
        <v>-25.029970830210665</v>
      </c>
      <c r="I28" s="4">
        <f t="shared" si="0"/>
        <v>52.353616385360219</v>
      </c>
      <c r="J28" s="5">
        <f>'Q1 inputs'!$C9</f>
        <v>5.9900000000000002E-2</v>
      </c>
      <c r="K28" s="4">
        <f t="shared" si="1"/>
        <v>236.59301864743875</v>
      </c>
      <c r="L28" s="4">
        <f t="shared" si="2"/>
        <v>35.561742998406103</v>
      </c>
      <c r="O28">
        <f t="shared" si="9"/>
        <v>7</v>
      </c>
      <c r="P28" s="4"/>
      <c r="Q28" s="4">
        <f t="shared" si="15"/>
        <v>-156.2712149817018</v>
      </c>
      <c r="R28" s="4">
        <f t="shared" si="17"/>
        <v>-215.37812499999993</v>
      </c>
      <c r="S28" s="4">
        <f>IF(-SUM($R$22:R28)&gt;reserves2,R28,0)</f>
        <v>-215.37812499999993</v>
      </c>
      <c r="T28" s="4">
        <f>'Q1 inputs'!J9*AVERAGE('Q1 inputs'!H9:I9)/100000</f>
        <v>185.56403691706117</v>
      </c>
      <c r="U28" s="4"/>
      <c r="V28" s="4">
        <f t="shared" si="10"/>
        <v>-27.834605537559174</v>
      </c>
      <c r="W28" s="4">
        <f t="shared" si="3"/>
        <v>-213.91990860219971</v>
      </c>
      <c r="X28" s="1">
        <f t="shared" si="4"/>
        <v>5.9900000000000002E-2</v>
      </c>
      <c r="Y28" s="4">
        <f t="shared" si="5"/>
        <v>-2748.1650608635591</v>
      </c>
      <c r="Z28" s="4">
        <f t="shared" si="6"/>
        <v>-149.16575363017219</v>
      </c>
    </row>
    <row r="29" spans="1:26" x14ac:dyDescent="0.3">
      <c r="A29">
        <f t="shared" si="16"/>
        <v>8</v>
      </c>
      <c r="B29" s="2">
        <f t="shared" si="11"/>
        <v>172.18197512826563</v>
      </c>
      <c r="C29" s="2">
        <f t="shared" si="12"/>
        <v>-68.043091523282655</v>
      </c>
      <c r="D29" s="2">
        <f t="shared" si="13"/>
        <v>-84</v>
      </c>
      <c r="E29" s="2">
        <f>IF(-SUM($D$22:D29)&gt;reserves1,D29,0)</f>
        <v>-84</v>
      </c>
      <c r="F29" s="2">
        <f t="shared" si="14"/>
        <v>51.414728063385624</v>
      </c>
      <c r="G29" s="2"/>
      <c r="H29" s="4">
        <f t="shared" si="8"/>
        <v>-24.930406722334407</v>
      </c>
      <c r="I29" s="4">
        <f t="shared" si="0"/>
        <v>46.623204946034193</v>
      </c>
      <c r="J29" s="5">
        <f>'Q1 inputs'!$C10</f>
        <v>5.7000000000000002E-2</v>
      </c>
      <c r="K29" s="4">
        <f t="shared" si="1"/>
        <v>194.741048191017</v>
      </c>
      <c r="L29" s="4">
        <f t="shared" si="2"/>
        <v>29.967027752938463</v>
      </c>
      <c r="O29">
        <f t="shared" si="9"/>
        <v>8</v>
      </c>
      <c r="P29" s="4"/>
      <c r="Q29" s="4">
        <f t="shared" si="15"/>
        <v>-163.30341965587837</v>
      </c>
      <c r="R29" s="4">
        <f t="shared" si="17"/>
        <v>-215.37812499999993</v>
      </c>
      <c r="S29" s="4">
        <f>IF(-SUM($R$22:R29)&gt;reserves2,R29,0)</f>
        <v>-215.37812499999993</v>
      </c>
      <c r="T29" s="4">
        <f>'Q1 inputs'!J10*AVERAGE('Q1 inputs'!H10:I10)/100000</f>
        <v>-45.689021322966639</v>
      </c>
      <c r="U29" s="4"/>
      <c r="V29" s="4">
        <f t="shared" si="10"/>
        <v>0</v>
      </c>
      <c r="W29" s="4">
        <f t="shared" si="3"/>
        <v>-424.37056597884492</v>
      </c>
      <c r="X29" s="1">
        <f t="shared" si="4"/>
        <v>5.7000000000000002E-2</v>
      </c>
      <c r="Y29" s="4">
        <f t="shared" si="5"/>
        <v>-2678.6971259402571</v>
      </c>
      <c r="Z29" s="4">
        <f t="shared" si="6"/>
        <v>-281.05693637038735</v>
      </c>
    </row>
    <row r="30" spans="1:26" x14ac:dyDescent="0.3">
      <c r="A30">
        <f t="shared" si="16"/>
        <v>9</v>
      </c>
      <c r="B30" s="2">
        <f t="shared" si="11"/>
        <v>165.72515106095568</v>
      </c>
      <c r="C30" s="2">
        <f t="shared" si="12"/>
        <v>-71.105030641830368</v>
      </c>
      <c r="D30" s="2">
        <f t="shared" si="13"/>
        <v>-84</v>
      </c>
      <c r="E30" s="2">
        <f>IF(-SUM($D$22:D30)&gt;reserves1,D30,0)</f>
        <v>-84</v>
      </c>
      <c r="F30" s="2">
        <f t="shared" si="14"/>
        <v>55.52790630845648</v>
      </c>
      <c r="G30" s="2"/>
      <c r="H30" s="4">
        <f t="shared" si="8"/>
        <v>-24.901701052364039</v>
      </c>
      <c r="I30" s="4">
        <f t="shared" si="0"/>
        <v>41.246325675217754</v>
      </c>
      <c r="J30" s="5">
        <f>'Q1 inputs'!$C11</f>
        <v>0.06</v>
      </c>
      <c r="K30" s="4">
        <f t="shared" si="1"/>
        <v>157.00491383968179</v>
      </c>
      <c r="L30" s="4">
        <f t="shared" si="2"/>
        <v>25.086033946779704</v>
      </c>
      <c r="O30">
        <f t="shared" si="9"/>
        <v>9</v>
      </c>
      <c r="P30" s="4"/>
      <c r="Q30" s="4">
        <f t="shared" si="15"/>
        <v>-170.65207354039288</v>
      </c>
      <c r="R30" s="4">
        <f t="shared" si="17"/>
        <v>-220.76257812499992</v>
      </c>
      <c r="S30" s="4">
        <f>IF(-SUM($R$22:R30)&gt;reserves2,R30,0)</f>
        <v>-220.76257812499992</v>
      </c>
      <c r="T30" s="4">
        <f>'Q1 inputs'!J11*AVERAGE('Q1 inputs'!H11:I11)/100000</f>
        <v>15.595856438325864</v>
      </c>
      <c r="U30" s="4"/>
      <c r="V30" s="4">
        <f t="shared" si="10"/>
        <v>-2.3393784657488794</v>
      </c>
      <c r="W30" s="4">
        <f t="shared" si="3"/>
        <v>-378.15817369281581</v>
      </c>
      <c r="X30" s="1">
        <f t="shared" si="4"/>
        <v>0.06</v>
      </c>
      <c r="Y30" s="4">
        <f t="shared" si="5"/>
        <v>-2389.5861535590971</v>
      </c>
      <c r="Z30" s="4">
        <f t="shared" si="6"/>
        <v>-237.87767094042286</v>
      </c>
    </row>
    <row r="31" spans="1:26" x14ac:dyDescent="0.3">
      <c r="A31">
        <f t="shared" si="16"/>
        <v>10</v>
      </c>
      <c r="B31" s="2">
        <f t="shared" si="11"/>
        <v>159.51045789616984</v>
      </c>
      <c r="C31" s="2">
        <f t="shared" si="12"/>
        <v>-74.304757020712728</v>
      </c>
      <c r="D31" s="2">
        <f t="shared" si="13"/>
        <v>-84</v>
      </c>
      <c r="E31" s="2">
        <f>IF(-SUM($D$22:D31)&gt;reserves1,D31,0)</f>
        <v>-84</v>
      </c>
      <c r="F31" s="2">
        <f t="shared" si="14"/>
        <v>59.970138813133005</v>
      </c>
      <c r="G31" s="2"/>
      <c r="H31" s="4">
        <f t="shared" si="8"/>
        <v>-24.946566611586935</v>
      </c>
      <c r="I31" s="4">
        <f t="shared" si="0"/>
        <v>36.229273077003185</v>
      </c>
      <c r="J31" s="5">
        <f>'Q1 inputs'!$C12</f>
        <v>6.0100000000000001E-2</v>
      </c>
      <c r="K31" s="4">
        <f t="shared" si="1"/>
        <v>122.71567931314834</v>
      </c>
      <c r="L31" s="4">
        <f t="shared" si="2"/>
        <v>20.850263722964851</v>
      </c>
      <c r="O31">
        <f t="shared" si="9"/>
        <v>10</v>
      </c>
      <c r="P31" s="4"/>
      <c r="Q31" s="4">
        <f t="shared" si="15"/>
        <v>-178.33141684971054</v>
      </c>
      <c r="R31" s="4">
        <f t="shared" si="17"/>
        <v>-220.76257812499992</v>
      </c>
      <c r="S31" s="4">
        <f>IF(-SUM($R$22:R31)&gt;reserves2,R31,0)</f>
        <v>-220.76257812499992</v>
      </c>
      <c r="T31" s="4">
        <f>'Q1 inputs'!J12*AVERAGE('Q1 inputs'!H12:I12)/100000</f>
        <v>213.11119590343145</v>
      </c>
      <c r="U31" s="4"/>
      <c r="V31" s="4">
        <f t="shared" si="10"/>
        <v>-31.966679385514716</v>
      </c>
      <c r="W31" s="4">
        <f t="shared" si="3"/>
        <v>-217.94947845679368</v>
      </c>
      <c r="X31" s="1">
        <f t="shared" si="4"/>
        <v>6.0100000000000001E-2</v>
      </c>
      <c r="Y31" s="4">
        <f t="shared" si="5"/>
        <v>-2132.3148014562448</v>
      </c>
      <c r="Z31" s="4">
        <f t="shared" si="6"/>
        <v>-130.21683988886838</v>
      </c>
    </row>
    <row r="32" spans="1:26" x14ac:dyDescent="0.3">
      <c r="A32">
        <f t="shared" si="16"/>
        <v>11</v>
      </c>
      <c r="B32" s="2">
        <f t="shared" si="11"/>
        <v>153.52881572506348</v>
      </c>
      <c r="C32" s="2">
        <f t="shared" si="12"/>
        <v>-77.64847108664479</v>
      </c>
      <c r="D32" s="2">
        <f t="shared" si="13"/>
        <v>-88.2</v>
      </c>
      <c r="E32" s="2">
        <f>IF(-SUM($D$22:D32)&gt;reserves1,D32,0)</f>
        <v>-88.2</v>
      </c>
      <c r="F32" s="2">
        <f t="shared" si="14"/>
        <v>64.767749918183654</v>
      </c>
      <c r="G32" s="2"/>
      <c r="H32" s="4">
        <f t="shared" si="8"/>
        <v>-25.068044060233895</v>
      </c>
      <c r="I32" s="4">
        <f t="shared" si="0"/>
        <v>27.380050496368447</v>
      </c>
      <c r="J32" s="5">
        <f>'Q1 inputs'!$C13</f>
        <v>6.0600000000000001E-2</v>
      </c>
      <c r="K32" s="4">
        <f t="shared" si="1"/>
        <v>91.727482454055547</v>
      </c>
      <c r="L32" s="4">
        <f t="shared" si="2"/>
        <v>14.91047126987487</v>
      </c>
      <c r="O32">
        <f t="shared" si="9"/>
        <v>11</v>
      </c>
      <c r="P32" s="4"/>
      <c r="Q32" s="4">
        <f t="shared" si="15"/>
        <v>-186.35633060794748</v>
      </c>
      <c r="R32" s="4">
        <f t="shared" si="17"/>
        <v>-226.28164257812489</v>
      </c>
      <c r="S32" s="4">
        <f>IF(-SUM($R$22:R32)&gt;reserves2,R32,0)</f>
        <v>-226.28164257812489</v>
      </c>
      <c r="T32" s="4">
        <f>'Q1 inputs'!J13*AVERAGE('Q1 inputs'!H13:I13)/100000</f>
        <v>5.2441972050586676</v>
      </c>
      <c r="U32" s="4"/>
      <c r="V32" s="4">
        <f t="shared" si="10"/>
        <v>-0.78662958075880007</v>
      </c>
      <c r="W32" s="4">
        <f t="shared" si="3"/>
        <v>-408.18040556177255</v>
      </c>
      <c r="X32" s="1">
        <f t="shared" si="4"/>
        <v>6.0600000000000001E-2</v>
      </c>
      <c r="Y32" s="4">
        <f t="shared" si="5"/>
        <v>-2030.3758615732181</v>
      </c>
      <c r="Z32" s="4">
        <f t="shared" si="6"/>
        <v>-231.62989065074842</v>
      </c>
    </row>
    <row r="33" spans="1:26" x14ac:dyDescent="0.3">
      <c r="A33">
        <f t="shared" si="16"/>
        <v>12</v>
      </c>
      <c r="B33" s="2">
        <f t="shared" si="11"/>
        <v>147.77148513537361</v>
      </c>
      <c r="C33" s="2">
        <f t="shared" si="12"/>
        <v>-81.142652285543804</v>
      </c>
      <c r="D33" s="2">
        <f t="shared" si="13"/>
        <v>-88.2</v>
      </c>
      <c r="E33" s="2">
        <f>IF(-SUM($D$22:D33)&gt;reserves1,D33,0)</f>
        <v>-88.2</v>
      </c>
      <c r="F33" s="2">
        <f t="shared" si="14"/>
        <v>69.94916991163835</v>
      </c>
      <c r="G33" s="2"/>
      <c r="H33" s="4">
        <f t="shared" si="8"/>
        <v>-25.269524000283113</v>
      </c>
      <c r="I33" s="4">
        <f t="shared" si="0"/>
        <v>23.10847876118504</v>
      </c>
      <c r="J33" s="5">
        <f>'Q1 inputs'!$C14</f>
        <v>6.0999999999999999E-2</v>
      </c>
      <c r="K33" s="4">
        <f t="shared" si="1"/>
        <v>68.272625307106011</v>
      </c>
      <c r="L33" s="4">
        <f t="shared" si="2"/>
        <v>11.907858776254027</v>
      </c>
      <c r="O33">
        <f t="shared" si="9"/>
        <v>12</v>
      </c>
      <c r="P33" s="4"/>
      <c r="Q33" s="4">
        <f t="shared" si="15"/>
        <v>-194.7423654853051</v>
      </c>
      <c r="R33" s="4">
        <f t="shared" si="17"/>
        <v>-226.28164257812489</v>
      </c>
      <c r="S33" s="4">
        <f>IF(-SUM($R$22:R33)&gt;reserves2,R33,0)</f>
        <v>-226.28164257812489</v>
      </c>
      <c r="T33" s="4">
        <f>'Q1 inputs'!J14*AVERAGE('Q1 inputs'!H14:I14)/100000</f>
        <v>-114.02758165632925</v>
      </c>
      <c r="U33" s="4"/>
      <c r="V33" s="4">
        <f t="shared" si="10"/>
        <v>0</v>
      </c>
      <c r="W33" s="4">
        <f t="shared" si="3"/>
        <v>-535.05158971975925</v>
      </c>
      <c r="X33" s="1">
        <f t="shared" si="4"/>
        <v>6.0999999999999999E-2</v>
      </c>
      <c r="Y33" s="4">
        <f t="shared" si="5"/>
        <v>-1721.1493788281434</v>
      </c>
      <c r="Z33" s="4">
        <f t="shared" si="6"/>
        <v>-288.38272402559522</v>
      </c>
    </row>
    <row r="34" spans="1:26" x14ac:dyDescent="0.3">
      <c r="A34">
        <f t="shared" si="16"/>
        <v>13</v>
      </c>
      <c r="B34" s="2">
        <f t="shared" si="11"/>
        <v>142.2300544427971</v>
      </c>
      <c r="C34" s="2">
        <f t="shared" si="12"/>
        <v>-84.794071638393262</v>
      </c>
      <c r="D34" s="2">
        <f t="shared" si="13"/>
        <v>-88.2</v>
      </c>
      <c r="E34" s="2">
        <f>IF(-SUM($D$22:D34)&gt;reserves1,D34,0)</f>
        <v>-88.2</v>
      </c>
      <c r="F34" s="2">
        <f t="shared" si="14"/>
        <v>75.545103504569425</v>
      </c>
      <c r="G34" s="2"/>
      <c r="H34" s="4">
        <f t="shared" si="8"/>
        <v>-25.554770969965126</v>
      </c>
      <c r="I34" s="4">
        <f t="shared" si="0"/>
        <v>19.226315339008131</v>
      </c>
      <c r="J34" s="5">
        <f>'Q1 inputs'!$C15</f>
        <v>6.1499999999999999E-2</v>
      </c>
      <c r="K34" s="4">
        <f t="shared" si="1"/>
        <v>47.941741558495124</v>
      </c>
      <c r="L34" s="4">
        <f t="shared" si="2"/>
        <v>9.3748337110761817</v>
      </c>
      <c r="O34">
        <f t="shared" si="9"/>
        <v>13</v>
      </c>
      <c r="P34" s="4"/>
      <c r="Q34" s="4">
        <f t="shared" si="15"/>
        <v>-203.50577193214383</v>
      </c>
      <c r="R34" s="4">
        <f t="shared" si="17"/>
        <v>-231.93868364257798</v>
      </c>
      <c r="S34" s="4">
        <f>IF(-SUM($R$22:R34)&gt;reserves2,R34,0)</f>
        <v>-231.93868364257798</v>
      </c>
      <c r="T34" s="4">
        <f>'Q1 inputs'!J15*AVERAGE('Q1 inputs'!H15:I15)/100000</f>
        <v>148.91697695501554</v>
      </c>
      <c r="U34" s="4"/>
      <c r="V34" s="4">
        <f t="shared" si="10"/>
        <v>-22.33754654325233</v>
      </c>
      <c r="W34" s="4">
        <f t="shared" si="3"/>
        <v>-308.86502516295855</v>
      </c>
      <c r="X34" s="1">
        <f t="shared" si="4"/>
        <v>6.1499999999999999E-2</v>
      </c>
      <c r="Y34" s="4">
        <f t="shared" si="5"/>
        <v>-1259.04280313855</v>
      </c>
      <c r="Z34" s="4">
        <f t="shared" si="6"/>
        <v>-158.11513596556173</v>
      </c>
    </row>
    <row r="35" spans="1:26" x14ac:dyDescent="0.3">
      <c r="A35">
        <f t="shared" si="16"/>
        <v>14</v>
      </c>
      <c r="B35" s="2">
        <f t="shared" si="11"/>
        <v>136.8964274011922</v>
      </c>
      <c r="C35" s="2">
        <f t="shared" si="12"/>
        <v>-88.609804862120953</v>
      </c>
      <c r="D35" s="2">
        <f t="shared" si="13"/>
        <v>-88.2</v>
      </c>
      <c r="E35" s="2">
        <f>IF(-SUM($D$22:D35)&gt;reserves1,D35,0)</f>
        <v>-88.2</v>
      </c>
      <c r="F35" s="2">
        <f t="shared" si="14"/>
        <v>81.588711784934986</v>
      </c>
      <c r="G35" s="2"/>
      <c r="H35" s="4">
        <f t="shared" si="8"/>
        <v>-25.927949507859466</v>
      </c>
      <c r="I35" s="4">
        <f t="shared" si="0"/>
        <v>15.747384816146763</v>
      </c>
      <c r="J35" s="5">
        <f>'Q1 inputs'!$C16</f>
        <v>6.2799999999999995E-2</v>
      </c>
      <c r="K35" s="4">
        <f t="shared" si="1"/>
        <v>30.518754986070775</v>
      </c>
      <c r="L35" s="4">
        <f t="shared" si="2"/>
        <v>7.265761627459816</v>
      </c>
      <c r="O35">
        <f t="shared" si="9"/>
        <v>14</v>
      </c>
      <c r="P35" s="4"/>
      <c r="Q35" s="4">
        <f t="shared" si="15"/>
        <v>-212.66353166909028</v>
      </c>
      <c r="R35" s="4">
        <f t="shared" si="17"/>
        <v>-231.93868364257798</v>
      </c>
      <c r="S35" s="4">
        <f>IF(-SUM($R$22:R35)&gt;reserves2,R35,0)</f>
        <v>-231.93868364257798</v>
      </c>
      <c r="T35" s="4">
        <f>'Q1 inputs'!J16*AVERAGE('Q1 inputs'!H16:I16)/100000</f>
        <v>178.84313664168667</v>
      </c>
      <c r="U35" s="4"/>
      <c r="V35" s="4">
        <f t="shared" si="10"/>
        <v>-26.826470496252998</v>
      </c>
      <c r="W35" s="4">
        <f t="shared" si="3"/>
        <v>-292.58554916623461</v>
      </c>
      <c r="X35" s="1">
        <f t="shared" si="4"/>
        <v>6.2799999999999995E-2</v>
      </c>
      <c r="Y35" s="4">
        <f t="shared" si="5"/>
        <v>-1009.8489424324584</v>
      </c>
      <c r="Z35" s="4">
        <f t="shared" si="6"/>
        <v>-142.26193679904912</v>
      </c>
    </row>
    <row r="36" spans="1:26" x14ac:dyDescent="0.3">
      <c r="A36">
        <f t="shared" si="16"/>
        <v>15</v>
      </c>
      <c r="B36" s="2">
        <f t="shared" si="11"/>
        <v>131.76281137364748</v>
      </c>
      <c r="C36" s="2">
        <f t="shared" si="12"/>
        <v>-92.597246080916392</v>
      </c>
      <c r="D36" s="2">
        <f t="shared" si="13"/>
        <v>-88.2</v>
      </c>
      <c r="E36" s="2">
        <f>IF(-SUM($D$22:D36)&gt;reserves1,D36,0)</f>
        <v>-88.2</v>
      </c>
      <c r="F36" s="2">
        <f t="shared" si="14"/>
        <v>88.115808727729785</v>
      </c>
      <c r="G36" s="2"/>
      <c r="H36" s="4">
        <f t="shared" si="8"/>
        <v>-26.393652446524214</v>
      </c>
      <c r="I36" s="4">
        <f t="shared" si="0"/>
        <v>12.687721573936656</v>
      </c>
      <c r="J36" s="5">
        <f>'Q1 inputs'!$C17</f>
        <v>6.3299999999999995E-2</v>
      </c>
      <c r="K36" s="4">
        <f t="shared" si="1"/>
        <v>15.706397901680202</v>
      </c>
      <c r="L36" s="4">
        <f t="shared" si="2"/>
        <v>5.5393848397972176</v>
      </c>
      <c r="O36">
        <f t="shared" si="9"/>
        <v>15</v>
      </c>
      <c r="P36" s="4"/>
      <c r="Q36" s="4">
        <f t="shared" si="15"/>
        <v>-222.23339059419934</v>
      </c>
      <c r="R36" s="4">
        <f t="shared" si="17"/>
        <v>-237.73715073364241</v>
      </c>
      <c r="S36" s="4">
        <f>IF(-SUM($R$22:R36)&gt;reserves2,R36,0)</f>
        <v>-237.73715073364241</v>
      </c>
      <c r="T36" s="4">
        <f>'Q1 inputs'!J17*AVERAGE('Q1 inputs'!H17:I17)/100000</f>
        <v>131.03470669449999</v>
      </c>
      <c r="U36" s="4"/>
      <c r="V36" s="4">
        <f t="shared" si="10"/>
        <v>-19.655206004174996</v>
      </c>
      <c r="W36" s="4">
        <f t="shared" si="3"/>
        <v>-348.59104063751676</v>
      </c>
      <c r="X36" s="1">
        <f t="shared" si="4"/>
        <v>6.3299999999999995E-2</v>
      </c>
      <c r="Y36" s="4">
        <f t="shared" si="5"/>
        <v>-762.66616605997569</v>
      </c>
      <c r="Z36" s="4">
        <f t="shared" si="6"/>
        <v>-160.9841790244204</v>
      </c>
    </row>
    <row r="37" spans="1:26" x14ac:dyDescent="0.3">
      <c r="A37">
        <f t="shared" si="16"/>
        <v>16</v>
      </c>
      <c r="B37" s="2">
        <f t="shared" si="11"/>
        <v>126.8217059471357</v>
      </c>
      <c r="C37" s="2">
        <f t="shared" si="12"/>
        <v>-96.764122154557626</v>
      </c>
      <c r="D37" s="2">
        <f t="shared" si="13"/>
        <v>-92.610000000000014</v>
      </c>
      <c r="E37" s="2">
        <f>IF(-SUM($D$22:D37)&gt;reserves1,D37,0)</f>
        <v>-92.610000000000014</v>
      </c>
      <c r="F37" s="2">
        <f t="shared" si="14"/>
        <v>95.165073425948179</v>
      </c>
      <c r="G37" s="2"/>
      <c r="H37" s="4">
        <f t="shared" si="8"/>
        <v>-26.956931608605796</v>
      </c>
      <c r="I37" s="4">
        <f t="shared" si="0"/>
        <v>5.6557256099204416</v>
      </c>
      <c r="J37" s="5">
        <f>'Q1 inputs'!$C18</f>
        <v>6.4299999999999996E-2</v>
      </c>
      <c r="K37" s="4">
        <f t="shared" si="1"/>
        <v>3.2127772156174546</v>
      </c>
      <c r="L37" s="4">
        <f t="shared" si="2"/>
        <v>2.336530330346795</v>
      </c>
      <c r="O37">
        <f t="shared" si="9"/>
        <v>16</v>
      </c>
      <c r="P37" s="4"/>
      <c r="Q37" s="4">
        <f t="shared" si="15"/>
        <v>-232.2338931709383</v>
      </c>
      <c r="R37" s="4">
        <f t="shared" si="17"/>
        <v>-237.73715073364241</v>
      </c>
      <c r="S37" s="4">
        <f>IF(-SUM($R$22:R37)&gt;reserves2,R37,0)</f>
        <v>-237.73715073364241</v>
      </c>
      <c r="T37" s="4">
        <f>'Q1 inputs'!J18*AVERAGE('Q1 inputs'!H18:I18)/100000</f>
        <v>34.436338726420793</v>
      </c>
      <c r="U37" s="4"/>
      <c r="V37" s="4">
        <f t="shared" si="10"/>
        <v>-5.1654508089631186</v>
      </c>
      <c r="W37" s="4">
        <f t="shared" si="3"/>
        <v>-440.70015598712303</v>
      </c>
      <c r="X37" s="1">
        <f t="shared" si="4"/>
        <v>6.4299999999999996E-2</v>
      </c>
      <c r="Y37" s="4">
        <f>W37+Y38/(1+X38)</f>
        <v>-440.70015598712303</v>
      </c>
      <c r="Z37" s="4">
        <f t="shared" si="6"/>
        <v>-193.30420982421168</v>
      </c>
    </row>
    <row r="38" spans="1:26" x14ac:dyDescent="0.3">
      <c r="A38">
        <f t="shared" si="16"/>
        <v>17</v>
      </c>
      <c r="B38" s="2">
        <f t="shared" si="11"/>
        <v>122.06589197411812</v>
      </c>
      <c r="C38" s="2">
        <f t="shared" si="12"/>
        <v>-101.11850765151272</v>
      </c>
      <c r="D38" s="2">
        <f t="shared" si="13"/>
        <v>-92.610000000000014</v>
      </c>
      <c r="E38" s="2">
        <f>IF(-SUM($D$22:D38)&gt;reserves1,D38,0)</f>
        <v>-92.610000000000014</v>
      </c>
      <c r="F38" s="2">
        <f t="shared" si="14"/>
        <v>102.77827930002404</v>
      </c>
      <c r="G38" s="2"/>
      <c r="H38" s="4">
        <f t="shared" si="8"/>
        <v>-27.62333109241542</v>
      </c>
      <c r="I38" s="4">
        <f t="shared" si="0"/>
        <v>3.4923325302140071</v>
      </c>
      <c r="J38" s="5">
        <f>'Q1 inputs'!$C19</f>
        <v>6.4899999999999999E-2</v>
      </c>
      <c r="K38" s="4">
        <f t="shared" si="1"/>
        <v>-2.601495745093251</v>
      </c>
      <c r="L38" s="4">
        <f t="shared" si="2"/>
        <v>1.3652238736780922</v>
      </c>
      <c r="O38" t="str">
        <f t="shared" si="9"/>
        <v/>
      </c>
      <c r="Z38" s="4"/>
    </row>
    <row r="39" spans="1:26" x14ac:dyDescent="0.3">
      <c r="A39">
        <f t="shared" si="16"/>
        <v>18</v>
      </c>
      <c r="B39" s="2">
        <f t="shared" si="11"/>
        <v>117.48842102508868</v>
      </c>
      <c r="C39" s="2">
        <f t="shared" si="12"/>
        <v>-105.66884049583078</v>
      </c>
      <c r="D39" s="2">
        <f t="shared" si="13"/>
        <v>-92.610000000000014</v>
      </c>
      <c r="E39" s="2">
        <f>IF(-SUM($D$22:D39)&gt;reserves1,D39,0)</f>
        <v>-92.610000000000014</v>
      </c>
      <c r="F39" s="2">
        <f t="shared" si="14"/>
        <v>111.00054164402597</v>
      </c>
      <c r="G39" s="2"/>
      <c r="H39" s="4">
        <f t="shared" si="8"/>
        <v>-28.398923349112764</v>
      </c>
      <c r="I39" s="4">
        <f t="shared" si="0"/>
        <v>1.8111988241711003</v>
      </c>
      <c r="J39" s="5">
        <f>'Q1 inputs'!$C20</f>
        <v>6.5799999999999997E-2</v>
      </c>
      <c r="K39" s="4">
        <f t="shared" si="1"/>
        <v>-6.4948021758224765</v>
      </c>
      <c r="L39" s="4">
        <f t="shared" si="2"/>
        <v>0.66997655544452284</v>
      </c>
      <c r="O39" t="str">
        <f t="shared" si="9"/>
        <v/>
      </c>
      <c r="Z39" s="4"/>
    </row>
    <row r="40" spans="1:26" x14ac:dyDescent="0.3">
      <c r="A40">
        <f t="shared" si="16"/>
        <v>19</v>
      </c>
      <c r="B40" s="2">
        <f t="shared" si="11"/>
        <v>113.08260523664786</v>
      </c>
      <c r="C40" s="2">
        <f t="shared" si="12"/>
        <v>-110.42393831814316</v>
      </c>
      <c r="D40" s="2">
        <f t="shared" si="13"/>
        <v>-92.610000000000014</v>
      </c>
      <c r="E40" s="2">
        <f>IF(-SUM($D$22:D40)&gt;reserves1,D40,0)</f>
        <v>-92.610000000000014</v>
      </c>
      <c r="F40" s="2">
        <f t="shared" si="14"/>
        <v>119.88058497554806</v>
      </c>
      <c r="G40" s="2"/>
      <c r="H40" s="4">
        <f t="shared" si="8"/>
        <v>-29.290348269996997</v>
      </c>
      <c r="I40" s="4">
        <f t="shared" si="0"/>
        <v>0.63890362405575729</v>
      </c>
      <c r="J40" s="5">
        <f>'Q1 inputs'!$C21</f>
        <v>6.59E-2</v>
      </c>
      <c r="K40" s="4">
        <f t="shared" si="1"/>
        <v>-8.8533664658931546</v>
      </c>
      <c r="L40" s="4">
        <f t="shared" si="2"/>
        <v>0.22363203866402387</v>
      </c>
      <c r="O40" t="str">
        <f t="shared" si="9"/>
        <v/>
      </c>
      <c r="Z40" s="4"/>
    </row>
    <row r="41" spans="1:26" x14ac:dyDescent="0.3">
      <c r="A41">
        <f t="shared" si="16"/>
        <v>20</v>
      </c>
      <c r="B41" s="2">
        <f t="shared" si="11"/>
        <v>108.84200754027357</v>
      </c>
      <c r="C41" s="2">
        <f t="shared" si="12"/>
        <v>-115.39301554245959</v>
      </c>
      <c r="D41" s="2">
        <f t="shared" si="13"/>
        <v>-92.610000000000014</v>
      </c>
      <c r="E41" s="2">
        <f>IF(-SUM($D$22:D41)&gt;reserves1,D41,0)</f>
        <v>-92.610000000000014</v>
      </c>
      <c r="F41" s="2">
        <f t="shared" si="14"/>
        <v>129.4710317735919</v>
      </c>
      <c r="G41" s="2"/>
      <c r="H41" s="4">
        <f t="shared" si="8"/>
        <v>-30.304855520066141</v>
      </c>
      <c r="I41" s="4">
        <f t="shared" si="0"/>
        <v>5.168251339725316E-3</v>
      </c>
      <c r="J41" s="5">
        <f>'Q1 inputs'!$C22</f>
        <v>6.6199999999999995E-2</v>
      </c>
      <c r="K41" s="4">
        <f t="shared" si="1"/>
        <v>-10.120658369903531</v>
      </c>
      <c r="L41" s="4">
        <f t="shared" si="2"/>
        <v>1.71177819694455E-3</v>
      </c>
      <c r="O41" t="str">
        <f t="shared" si="9"/>
        <v/>
      </c>
      <c r="Z41" s="4"/>
    </row>
    <row r="42" spans="1:26" x14ac:dyDescent="0.3">
      <c r="A42">
        <f t="shared" si="16"/>
        <v>21</v>
      </c>
      <c r="B42" s="2">
        <f t="shared" si="11"/>
        <v>104.76043225751332</v>
      </c>
      <c r="C42" s="2">
        <f t="shared" si="12"/>
        <v>-120.58570124187027</v>
      </c>
      <c r="D42" s="2">
        <f t="shared" si="13"/>
        <v>-97.240500000000011</v>
      </c>
      <c r="E42" s="2">
        <f>IF(-SUM($D$22:D42)&gt;reserves1,D42,0)</f>
        <v>-97.240500000000011</v>
      </c>
      <c r="F42" s="2">
        <f t="shared" si="14"/>
        <v>139.82871431547926</v>
      </c>
      <c r="G42" s="2"/>
      <c r="H42" s="4">
        <f t="shared" si="8"/>
        <v>-31.450350373073221</v>
      </c>
      <c r="I42" s="4">
        <f t="shared" si="0"/>
        <v>-4.6874050419509246</v>
      </c>
      <c r="J42" s="5">
        <f>'Q1 inputs'!$C23</f>
        <v>6.6900000000000001E-2</v>
      </c>
      <c r="K42" s="4">
        <f t="shared" si="1"/>
        <v>-10.803244422204429</v>
      </c>
      <c r="L42" s="4">
        <f t="shared" si="2"/>
        <v>-1.4690667883101318</v>
      </c>
      <c r="O42" t="str">
        <f t="shared" si="9"/>
        <v/>
      </c>
      <c r="Z42" s="4"/>
    </row>
    <row r="43" spans="1:26" x14ac:dyDescent="0.3">
      <c r="A43">
        <f t="shared" si="16"/>
        <v>22</v>
      </c>
      <c r="B43" s="2">
        <f t="shared" si="11"/>
        <v>100.83191604785657</v>
      </c>
      <c r="C43" s="2">
        <f t="shared" si="12"/>
        <v>-126.01205779775442</v>
      </c>
      <c r="D43" s="2">
        <f t="shared" si="13"/>
        <v>-97.240500000000011</v>
      </c>
      <c r="E43" s="2">
        <f>IF(-SUM($D$22:D43)&gt;reserves1,D43,0)</f>
        <v>-97.240500000000011</v>
      </c>
      <c r="F43" s="2">
        <f t="shared" si="14"/>
        <v>151.0150114607176</v>
      </c>
      <c r="G43" s="2"/>
      <c r="H43" s="4">
        <f t="shared" si="8"/>
        <v>-32.735443323893293</v>
      </c>
      <c r="I43" s="4">
        <f t="shared" si="0"/>
        <v>-4.1410736130735586</v>
      </c>
      <c r="J43" s="5">
        <f>'Q1 inputs'!$C24</f>
        <v>6.8000000000000005E-2</v>
      </c>
      <c r="K43" s="4">
        <f t="shared" si="1"/>
        <v>-6.5317164581107434</v>
      </c>
      <c r="L43" s="4">
        <f t="shared" si="2"/>
        <v>-1.2280815356139669</v>
      </c>
      <c r="Z43" s="4"/>
    </row>
    <row r="44" spans="1:26" x14ac:dyDescent="0.3">
      <c r="A44">
        <f t="shared" si="16"/>
        <v>23</v>
      </c>
      <c r="B44" s="2">
        <f t="shared" si="11"/>
        <v>97.050719196061948</v>
      </c>
      <c r="C44" s="2">
        <f t="shared" si="12"/>
        <v>-131.68260039865336</v>
      </c>
      <c r="D44" s="2">
        <f t="shared" si="13"/>
        <v>-97.240500000000011</v>
      </c>
      <c r="E44" s="2">
        <f>IF(-SUM($D$22:D44)&gt;reserves1,D44,0)</f>
        <v>-97.240500000000011</v>
      </c>
      <c r="F44" s="2">
        <f t="shared" si="14"/>
        <v>163.09621237757503</v>
      </c>
      <c r="G44" s="2"/>
      <c r="H44" s="4">
        <f t="shared" si="8"/>
        <v>-34.16950377624245</v>
      </c>
      <c r="I44" s="4">
        <f t="shared" si="0"/>
        <v>-2.9456726012588632</v>
      </c>
      <c r="J44" s="5">
        <f>'Q1 inputs'!$C25</f>
        <v>6.8500000000000005E-2</v>
      </c>
      <c r="K44" s="4">
        <f t="shared" si="1"/>
        <v>-2.5544018799222314</v>
      </c>
      <c r="L44" s="4">
        <f t="shared" si="2"/>
        <v>-0.8266162136082289</v>
      </c>
      <c r="Z44" s="4"/>
    </row>
    <row r="45" spans="1:26" x14ac:dyDescent="0.3">
      <c r="A45">
        <f t="shared" si="16"/>
        <v>24</v>
      </c>
      <c r="B45" s="2">
        <f t="shared" si="11"/>
        <v>93.411317226209633</v>
      </c>
      <c r="C45" s="2">
        <f t="shared" si="12"/>
        <v>-137.60831741659277</v>
      </c>
      <c r="D45" s="2">
        <f t="shared" si="13"/>
        <v>-97.240500000000011</v>
      </c>
      <c r="E45" s="2">
        <f>IF(-SUM($D$22:D45)&gt;reserves1,D45,0)</f>
        <v>-97.240500000000011</v>
      </c>
      <c r="F45" s="2">
        <f t="shared" si="14"/>
        <v>176.14390936778105</v>
      </c>
      <c r="G45" s="2"/>
      <c r="H45" s="4">
        <f t="shared" si="8"/>
        <v>-35.762718127788119</v>
      </c>
      <c r="I45" s="4">
        <f t="shared" si="0"/>
        <v>-1.0563089503902319</v>
      </c>
      <c r="J45" s="5">
        <f>'Q1 inputs'!$C26</f>
        <v>6.9000000000000006E-2</v>
      </c>
      <c r="K45" s="4">
        <f t="shared" si="1"/>
        <v>0.4182684011088591</v>
      </c>
      <c r="L45" s="4">
        <f t="shared" si="2"/>
        <v>-0.28048884696869064</v>
      </c>
      <c r="Z45" s="4"/>
    </row>
    <row r="46" spans="1:26" x14ac:dyDescent="0.3">
      <c r="A46">
        <f t="shared" si="16"/>
        <v>25</v>
      </c>
      <c r="B46" s="2">
        <f t="shared" si="11"/>
        <v>89.908392830226774</v>
      </c>
      <c r="C46" s="2">
        <f t="shared" si="12"/>
        <v>-143.80069170033943</v>
      </c>
      <c r="D46" s="2">
        <f t="shared" si="13"/>
        <v>-97.240500000000011</v>
      </c>
      <c r="E46" s="2">
        <f>IF(-SUM($D$22:D46)&gt;reserves1,D46,0)</f>
        <v>-97.240500000000011</v>
      </c>
      <c r="F46" s="2">
        <f t="shared" si="14"/>
        <v>190.23542211720354</v>
      </c>
      <c r="G46" s="2"/>
      <c r="H46" s="4">
        <f t="shared" si="8"/>
        <v>-37.526152600603211</v>
      </c>
      <c r="I46" s="4">
        <f t="shared" si="0"/>
        <v>1.5764706464876781</v>
      </c>
      <c r="J46" s="5">
        <f>'Q1 inputs'!$C27</f>
        <v>6.9099999999999995E-2</v>
      </c>
      <c r="K46" s="4">
        <f>I46+K47/(1+J47)</f>
        <v>1.5764706464876781</v>
      </c>
      <c r="L46" s="4">
        <f t="shared" si="2"/>
        <v>0.3961099205150877</v>
      </c>
      <c r="Z46" s="4"/>
    </row>
    <row r="47" spans="1:26" x14ac:dyDescent="0.3">
      <c r="A47" t="str">
        <f t="shared" si="16"/>
        <v/>
      </c>
    </row>
    <row r="48" spans="1:26" x14ac:dyDescent="0.3">
      <c r="A48" t="str">
        <f t="shared" si="16"/>
        <v/>
      </c>
    </row>
    <row r="49" spans="1:1" x14ac:dyDescent="0.3">
      <c r="A49" t="str">
        <f t="shared" si="16"/>
        <v/>
      </c>
    </row>
  </sheetData>
  <pageMargins left="0.7" right="0.7" top="0.75" bottom="0.75" header="0.3" footer="0.3"/>
  <ignoredErrors>
    <ignoredError sqref="W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A12" sqref="A12"/>
    </sheetView>
  </sheetViews>
  <sheetFormatPr defaultRowHeight="14.4" x14ac:dyDescent="0.3"/>
  <sheetData>
    <row r="1" spans="1:2" x14ac:dyDescent="0.3">
      <c r="A1" s="6">
        <v>1</v>
      </c>
      <c r="B1" t="s">
        <v>123</v>
      </c>
    </row>
    <row r="2" spans="1:2" x14ac:dyDescent="0.3">
      <c r="A2" s="6">
        <v>1</v>
      </c>
      <c r="B2" t="s">
        <v>124</v>
      </c>
    </row>
    <row r="4" spans="1:2" x14ac:dyDescent="0.3">
      <c r="A4" s="6">
        <v>1</v>
      </c>
      <c r="B4" t="s">
        <v>128</v>
      </c>
    </row>
    <row r="5" spans="1:2" x14ac:dyDescent="0.3">
      <c r="A5" s="6">
        <v>1</v>
      </c>
      <c r="B5" t="s">
        <v>127</v>
      </c>
    </row>
    <row r="6" spans="1:2" x14ac:dyDescent="0.3">
      <c r="A6" s="6">
        <v>1</v>
      </c>
      <c r="B6" t="s">
        <v>39</v>
      </c>
    </row>
    <row r="7" spans="1:2" x14ac:dyDescent="0.3">
      <c r="A7" s="6">
        <v>1</v>
      </c>
      <c r="B7" t="s">
        <v>40</v>
      </c>
    </row>
    <row r="8" spans="1:2" x14ac:dyDescent="0.3">
      <c r="A8" s="6"/>
    </row>
    <row r="9" spans="1:2" x14ac:dyDescent="0.3">
      <c r="A9" s="6">
        <v>1</v>
      </c>
      <c r="B9" t="s">
        <v>41</v>
      </c>
    </row>
    <row r="11" spans="1:2" x14ac:dyDescent="0.3">
      <c r="A11" s="6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/>
  </sheetViews>
  <sheetFormatPr defaultRowHeight="14.4" x14ac:dyDescent="0.3"/>
  <cols>
    <col min="1" max="1" width="14.5546875" bestFit="1" customWidth="1"/>
    <col min="2" max="2" width="12.21875" customWidth="1"/>
  </cols>
  <sheetData>
    <row r="1" spans="1:2" x14ac:dyDescent="0.3">
      <c r="A1" s="7"/>
    </row>
    <row r="3" spans="1:2" x14ac:dyDescent="0.3">
      <c r="A3" t="s">
        <v>54</v>
      </c>
      <c r="B3" s="3">
        <v>5000000</v>
      </c>
    </row>
    <row r="4" spans="1:2" x14ac:dyDescent="0.3">
      <c r="A4" t="s">
        <v>55</v>
      </c>
      <c r="B4">
        <v>15</v>
      </c>
    </row>
    <row r="5" spans="1:2" x14ac:dyDescent="0.3">
      <c r="A5" t="s">
        <v>56</v>
      </c>
      <c r="B5" s="19">
        <v>0.05</v>
      </c>
    </row>
    <row r="6" spans="1:2" x14ac:dyDescent="0.3">
      <c r="B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10"/>
  <sheetViews>
    <sheetView workbookViewId="0"/>
  </sheetViews>
  <sheetFormatPr defaultRowHeight="14.4" x14ac:dyDescent="0.3"/>
  <cols>
    <col min="1" max="1" width="17.44140625" bestFit="1" customWidth="1"/>
    <col min="2" max="2" width="11.21875" bestFit="1" customWidth="1"/>
    <col min="3" max="3" width="10.21875" bestFit="1" customWidth="1"/>
    <col min="4" max="5" width="8.6640625" bestFit="1" customWidth="1"/>
    <col min="6" max="6" width="17.109375" bestFit="1" customWidth="1"/>
    <col min="7" max="7" width="11.77734375" bestFit="1" customWidth="1"/>
    <col min="8" max="8" width="16.5546875" customWidth="1"/>
    <col min="9" max="10" width="8.6640625" bestFit="1" customWidth="1"/>
    <col min="11" max="11" width="10.21875" bestFit="1" customWidth="1"/>
  </cols>
  <sheetData>
    <row r="3" spans="1:11" x14ac:dyDescent="0.3">
      <c r="A3" t="s">
        <v>57</v>
      </c>
      <c r="F3" t="s">
        <v>60</v>
      </c>
    </row>
    <row r="5" spans="1:11" x14ac:dyDescent="0.3">
      <c r="A5" t="s">
        <v>10</v>
      </c>
      <c r="B5" s="20">
        <f>(1+'Q.2 inputs'!B5)^-'Q.2 inputs'!B4</f>
        <v>0.48101709809097021</v>
      </c>
      <c r="C5" s="6">
        <v>1</v>
      </c>
      <c r="F5" t="s">
        <v>68</v>
      </c>
      <c r="G5" s="20">
        <f>(1+'Q.2 inputs'!B5)*'Q.2 (i) a &amp; b'!B6</f>
        <v>10.898640940089624</v>
      </c>
      <c r="H5" s="6">
        <v>2</v>
      </c>
      <c r="I5" s="18"/>
      <c r="J5" s="18"/>
      <c r="K5" s="18"/>
    </row>
    <row r="6" spans="1:11" x14ac:dyDescent="0.3">
      <c r="A6" t="s">
        <v>58</v>
      </c>
      <c r="B6" s="20">
        <f>(1-B5)/'Q.2 inputs'!B5</f>
        <v>10.379658038180594</v>
      </c>
      <c r="C6" s="6">
        <v>2</v>
      </c>
      <c r="F6" t="s">
        <v>67</v>
      </c>
      <c r="G6" s="20">
        <f>(G5-'Q.2 inputs'!B4*'Q.2 (i) a &amp; b'!B5)/'Q.2 inputs'!B5</f>
        <v>73.667689374501421</v>
      </c>
      <c r="H6" s="6">
        <v>2</v>
      </c>
      <c r="I6" s="18"/>
      <c r="J6" s="18"/>
      <c r="K6" s="18"/>
    </row>
    <row r="7" spans="1:11" x14ac:dyDescent="0.3">
      <c r="F7" t="s">
        <v>72</v>
      </c>
      <c r="G7" s="3">
        <v>20000</v>
      </c>
      <c r="H7" s="6">
        <v>0.5</v>
      </c>
      <c r="I7" s="18"/>
      <c r="J7" s="18"/>
      <c r="K7" s="18"/>
    </row>
    <row r="8" spans="1:11" x14ac:dyDescent="0.3">
      <c r="A8" t="s">
        <v>59</v>
      </c>
      <c r="B8" s="2">
        <f>'Q.2 inputs'!B3/'Q.2 (i) a &amp; b'!B6</f>
        <v>481711.43804622185</v>
      </c>
      <c r="C8" s="6">
        <v>2</v>
      </c>
      <c r="F8" t="s">
        <v>61</v>
      </c>
      <c r="G8" s="3">
        <f>('Q.2 inputs'!B3+20000*G6)/B6</f>
        <v>623657.71239075577</v>
      </c>
      <c r="H8" s="6">
        <v>2.5</v>
      </c>
      <c r="I8" s="18"/>
      <c r="J8" s="18"/>
      <c r="K8" s="18"/>
    </row>
    <row r="9" spans="1:11" x14ac:dyDescent="0.3">
      <c r="I9" s="18"/>
      <c r="J9" s="18"/>
      <c r="K9" s="18"/>
    </row>
    <row r="10" spans="1:11" x14ac:dyDescent="0.3">
      <c r="I10" s="18"/>
      <c r="J10" s="18"/>
      <c r="K10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K21"/>
  <sheetViews>
    <sheetView workbookViewId="0">
      <selection activeCell="E18" sqref="E18"/>
    </sheetView>
  </sheetViews>
  <sheetFormatPr defaultRowHeight="14.4" x14ac:dyDescent="0.3"/>
  <cols>
    <col min="1" max="1" width="10.21875" customWidth="1"/>
    <col min="2" max="2" width="11.21875" bestFit="1" customWidth="1"/>
    <col min="3" max="3" width="10.21875" bestFit="1" customWidth="1"/>
    <col min="4" max="5" width="8.6640625" bestFit="1" customWidth="1"/>
    <col min="6" max="6" width="10.5546875" bestFit="1" customWidth="1"/>
    <col min="8" max="8" width="16.33203125" bestFit="1" customWidth="1"/>
    <col min="9" max="9" width="8.6640625" bestFit="1" customWidth="1"/>
    <col min="10" max="10" width="12.88671875" bestFit="1" customWidth="1"/>
    <col min="11" max="11" width="9.6640625" bestFit="1" customWidth="1"/>
  </cols>
  <sheetData>
    <row r="3" spans="1:11" x14ac:dyDescent="0.3">
      <c r="A3" t="s">
        <v>73</v>
      </c>
      <c r="I3" s="18"/>
      <c r="J3" s="18"/>
      <c r="K3" s="18"/>
    </row>
    <row r="4" spans="1:11" x14ac:dyDescent="0.3">
      <c r="H4" t="s">
        <v>66</v>
      </c>
      <c r="I4" s="18">
        <v>20000</v>
      </c>
      <c r="J4" s="18"/>
      <c r="K4" s="18"/>
    </row>
    <row r="5" spans="1:11" ht="28.8" x14ac:dyDescent="0.3">
      <c r="B5" s="6">
        <v>1</v>
      </c>
      <c r="C5" s="6">
        <v>1.5</v>
      </c>
      <c r="D5" s="6">
        <v>1</v>
      </c>
      <c r="E5" s="6">
        <v>1</v>
      </c>
      <c r="F5" s="6">
        <v>0.5</v>
      </c>
      <c r="H5" s="14" t="s">
        <v>69</v>
      </c>
      <c r="I5" s="18">
        <v>623657.71239075577</v>
      </c>
      <c r="J5" s="18" t="s">
        <v>71</v>
      </c>
      <c r="K5" s="18"/>
    </row>
    <row r="6" spans="1:11" x14ac:dyDescent="0.3">
      <c r="A6" t="s">
        <v>3</v>
      </c>
      <c r="B6" t="s">
        <v>64</v>
      </c>
      <c r="C6" t="s">
        <v>61</v>
      </c>
      <c r="D6" t="s">
        <v>62</v>
      </c>
      <c r="E6" t="s">
        <v>63</v>
      </c>
      <c r="F6" t="s">
        <v>65</v>
      </c>
      <c r="J6" s="18"/>
      <c r="K6" s="18"/>
    </row>
    <row r="7" spans="1:11" x14ac:dyDescent="0.3">
      <c r="A7">
        <v>1</v>
      </c>
      <c r="B7" s="18">
        <f>'Q.2 inputs'!B3</f>
        <v>5000000</v>
      </c>
      <c r="C7" s="18">
        <f>I5-step</f>
        <v>603657.71239075577</v>
      </c>
      <c r="D7" s="18">
        <f>B7*'Q.2 inputs'!$B$5</f>
        <v>250000</v>
      </c>
      <c r="E7" s="18">
        <f t="shared" ref="E7:E21" si="0">C7-D7</f>
        <v>353657.71239075577</v>
      </c>
      <c r="F7" s="18">
        <f t="shared" ref="F7:F21" si="1">B7-E7</f>
        <v>4646342.2876092438</v>
      </c>
      <c r="I7" s="18"/>
      <c r="J7" s="18"/>
      <c r="K7" s="18"/>
    </row>
    <row r="8" spans="1:11" x14ac:dyDescent="0.3">
      <c r="A8">
        <f t="shared" ref="A8:A21" si="2">A7+1</f>
        <v>2</v>
      </c>
      <c r="B8" s="18">
        <f t="shared" ref="B8:B21" si="3">F7</f>
        <v>4646342.2876092438</v>
      </c>
      <c r="C8" s="18">
        <f t="shared" ref="C8:C21" si="4">C7-step</f>
        <v>583657.71239075577</v>
      </c>
      <c r="D8" s="18">
        <f>B8*'Q.2 inputs'!$B$5</f>
        <v>232317.11438046221</v>
      </c>
      <c r="E8" s="18">
        <f t="shared" si="0"/>
        <v>351340.59801029356</v>
      </c>
      <c r="F8" s="18">
        <f t="shared" si="1"/>
        <v>4295001.6895989506</v>
      </c>
      <c r="H8" t="s">
        <v>70</v>
      </c>
      <c r="I8" s="18" t="b">
        <f>I5='Q.2 (i) a &amp; b'!G8</f>
        <v>1</v>
      </c>
      <c r="J8" s="21">
        <v>1</v>
      </c>
      <c r="K8" s="18"/>
    </row>
    <row r="9" spans="1:11" x14ac:dyDescent="0.3">
      <c r="A9">
        <f t="shared" si="2"/>
        <v>3</v>
      </c>
      <c r="B9" s="18">
        <f t="shared" si="3"/>
        <v>4295001.6895989506</v>
      </c>
      <c r="C9" s="18">
        <f t="shared" si="4"/>
        <v>563657.71239075577</v>
      </c>
      <c r="D9" s="18">
        <f>B9*'Q.2 inputs'!$B$5</f>
        <v>214750.08447994755</v>
      </c>
      <c r="E9" s="18">
        <f t="shared" si="0"/>
        <v>348907.62791080819</v>
      </c>
      <c r="F9" s="18">
        <f t="shared" si="1"/>
        <v>3946094.0616881424</v>
      </c>
      <c r="I9" s="18"/>
      <c r="J9" s="18"/>
      <c r="K9" s="18"/>
    </row>
    <row r="10" spans="1:11" x14ac:dyDescent="0.3">
      <c r="A10">
        <f t="shared" si="2"/>
        <v>4</v>
      </c>
      <c r="B10" s="18">
        <f t="shared" si="3"/>
        <v>3946094.0616881424</v>
      </c>
      <c r="C10" s="18">
        <f t="shared" si="4"/>
        <v>543657.71239075577</v>
      </c>
      <c r="D10" s="18">
        <f>B10*'Q.2 inputs'!$B$5</f>
        <v>197304.70308440714</v>
      </c>
      <c r="E10" s="18">
        <f t="shared" si="0"/>
        <v>346353.00930634863</v>
      </c>
      <c r="F10" s="18">
        <f t="shared" si="1"/>
        <v>3599741.052381794</v>
      </c>
      <c r="I10" s="18"/>
      <c r="J10" s="18"/>
      <c r="K10" s="18"/>
    </row>
    <row r="11" spans="1:11" x14ac:dyDescent="0.3">
      <c r="A11">
        <f t="shared" si="2"/>
        <v>5</v>
      </c>
      <c r="B11" s="18">
        <f t="shared" si="3"/>
        <v>3599741.052381794</v>
      </c>
      <c r="C11" s="18">
        <f t="shared" si="4"/>
        <v>523657.71239075577</v>
      </c>
      <c r="D11" s="18">
        <f>B11*'Q.2 inputs'!$B$5</f>
        <v>179987.05261908972</v>
      </c>
      <c r="E11" s="18">
        <f t="shared" si="0"/>
        <v>343670.65977166605</v>
      </c>
      <c r="F11" s="18">
        <f t="shared" si="1"/>
        <v>3256070.392610128</v>
      </c>
      <c r="I11" s="18"/>
      <c r="J11" s="18"/>
      <c r="K11" s="18"/>
    </row>
    <row r="12" spans="1:11" x14ac:dyDescent="0.3">
      <c r="A12">
        <f t="shared" si="2"/>
        <v>6</v>
      </c>
      <c r="B12" s="18">
        <f t="shared" si="3"/>
        <v>3256070.392610128</v>
      </c>
      <c r="C12" s="18">
        <f t="shared" si="4"/>
        <v>503657.71239075577</v>
      </c>
      <c r="D12" s="18">
        <f>B12*'Q.2 inputs'!$B$5</f>
        <v>162803.5196305064</v>
      </c>
      <c r="E12" s="18">
        <f t="shared" si="0"/>
        <v>340854.19276024937</v>
      </c>
      <c r="F12" s="18">
        <f t="shared" si="1"/>
        <v>2915216.1998498784</v>
      </c>
      <c r="I12" s="18"/>
      <c r="J12" s="18"/>
      <c r="K12" s="18"/>
    </row>
    <row r="13" spans="1:11" x14ac:dyDescent="0.3">
      <c r="A13">
        <f t="shared" si="2"/>
        <v>7</v>
      </c>
      <c r="B13" s="18">
        <f t="shared" si="3"/>
        <v>2915216.1998498784</v>
      </c>
      <c r="C13" s="18">
        <f t="shared" si="4"/>
        <v>483657.71239075577</v>
      </c>
      <c r="D13" s="18">
        <f>B13*'Q.2 inputs'!$B$5</f>
        <v>145760.80999249392</v>
      </c>
      <c r="E13" s="18">
        <f t="shared" si="0"/>
        <v>337896.90239826182</v>
      </c>
      <c r="F13" s="18">
        <f t="shared" si="1"/>
        <v>2577319.2974516167</v>
      </c>
    </row>
    <row r="14" spans="1:11" x14ac:dyDescent="0.3">
      <c r="A14">
        <f t="shared" si="2"/>
        <v>8</v>
      </c>
      <c r="B14" s="18">
        <f t="shared" si="3"/>
        <v>2577319.2974516167</v>
      </c>
      <c r="C14" s="18">
        <f t="shared" si="4"/>
        <v>463657.71239075577</v>
      </c>
      <c r="D14" s="18">
        <f>B14*'Q.2 inputs'!$B$5</f>
        <v>128865.96487258084</v>
      </c>
      <c r="E14" s="18">
        <f t="shared" si="0"/>
        <v>334791.74751817493</v>
      </c>
      <c r="F14" s="18">
        <f t="shared" si="1"/>
        <v>2242527.5499334419</v>
      </c>
    </row>
    <row r="15" spans="1:11" x14ac:dyDescent="0.3">
      <c r="A15">
        <f t="shared" si="2"/>
        <v>9</v>
      </c>
      <c r="B15" s="18">
        <f t="shared" si="3"/>
        <v>2242527.5499334419</v>
      </c>
      <c r="C15" s="18">
        <f t="shared" si="4"/>
        <v>443657.71239075577</v>
      </c>
      <c r="D15" s="18">
        <f>B15*'Q.2 inputs'!$B$5</f>
        <v>112126.3774966721</v>
      </c>
      <c r="E15" s="18">
        <f t="shared" si="0"/>
        <v>331531.33489408367</v>
      </c>
      <c r="F15" s="18">
        <f t="shared" si="1"/>
        <v>1910996.2150393582</v>
      </c>
    </row>
    <row r="16" spans="1:11" x14ac:dyDescent="0.3">
      <c r="A16">
        <f t="shared" si="2"/>
        <v>10</v>
      </c>
      <c r="B16" s="18">
        <f t="shared" si="3"/>
        <v>1910996.2150393582</v>
      </c>
      <c r="C16" s="18">
        <f t="shared" si="4"/>
        <v>423657.71239075577</v>
      </c>
      <c r="D16" s="18">
        <f>B16*'Q.2 inputs'!$B$5</f>
        <v>95549.810751967918</v>
      </c>
      <c r="E16" s="18">
        <f t="shared" si="0"/>
        <v>328107.90163878782</v>
      </c>
      <c r="F16" s="18">
        <f t="shared" si="1"/>
        <v>1582888.3134005703</v>
      </c>
    </row>
    <row r="17" spans="1:6" x14ac:dyDescent="0.3">
      <c r="A17">
        <f t="shared" si="2"/>
        <v>11</v>
      </c>
      <c r="B17" s="18">
        <f t="shared" si="3"/>
        <v>1582888.3134005703</v>
      </c>
      <c r="C17" s="18">
        <f t="shared" si="4"/>
        <v>403657.71239075577</v>
      </c>
      <c r="D17" s="18">
        <f>B17*'Q.2 inputs'!$B$5</f>
        <v>79144.415670028524</v>
      </c>
      <c r="E17" s="18">
        <f t="shared" si="0"/>
        <v>324513.29672072723</v>
      </c>
      <c r="F17" s="18">
        <f t="shared" si="1"/>
        <v>1258375.016679843</v>
      </c>
    </row>
    <row r="18" spans="1:6" x14ac:dyDescent="0.3">
      <c r="A18">
        <f t="shared" si="2"/>
        <v>12</v>
      </c>
      <c r="B18" s="18">
        <f t="shared" si="3"/>
        <v>1258375.016679843</v>
      </c>
      <c r="C18" s="18">
        <f t="shared" si="4"/>
        <v>383657.71239075577</v>
      </c>
      <c r="D18" s="18">
        <f>B18*'Q.2 inputs'!$B$5</f>
        <v>62918.750833992148</v>
      </c>
      <c r="E18" s="18">
        <f t="shared" si="0"/>
        <v>320738.96155676362</v>
      </c>
      <c r="F18" s="18">
        <f t="shared" si="1"/>
        <v>937636.05512307934</v>
      </c>
    </row>
    <row r="19" spans="1:6" x14ac:dyDescent="0.3">
      <c r="A19">
        <f t="shared" si="2"/>
        <v>13</v>
      </c>
      <c r="B19" s="18">
        <f t="shared" si="3"/>
        <v>937636.05512307934</v>
      </c>
      <c r="C19" s="18">
        <f t="shared" si="4"/>
        <v>363657.71239075577</v>
      </c>
      <c r="D19" s="18">
        <f>B19*'Q.2 inputs'!$B$5</f>
        <v>46881.802756153971</v>
      </c>
      <c r="E19" s="18">
        <f t="shared" si="0"/>
        <v>316775.90963460179</v>
      </c>
      <c r="F19" s="18">
        <f t="shared" si="1"/>
        <v>620860.14548847754</v>
      </c>
    </row>
    <row r="20" spans="1:6" x14ac:dyDescent="0.3">
      <c r="A20">
        <f t="shared" si="2"/>
        <v>14</v>
      </c>
      <c r="B20" s="18">
        <f t="shared" si="3"/>
        <v>620860.14548847754</v>
      </c>
      <c r="C20" s="18">
        <f t="shared" si="4"/>
        <v>343657.71239075577</v>
      </c>
      <c r="D20" s="18">
        <f>B20*'Q.2 inputs'!$B$5</f>
        <v>31043.007274423879</v>
      </c>
      <c r="E20" s="18">
        <f t="shared" si="0"/>
        <v>312614.70511633187</v>
      </c>
      <c r="F20" s="18">
        <f t="shared" si="1"/>
        <v>308245.44037214568</v>
      </c>
    </row>
    <row r="21" spans="1:6" x14ac:dyDescent="0.3">
      <c r="A21">
        <f t="shared" si="2"/>
        <v>15</v>
      </c>
      <c r="B21" s="18">
        <f t="shared" si="3"/>
        <v>308245.44037214568</v>
      </c>
      <c r="C21" s="18">
        <f t="shared" si="4"/>
        <v>323657.71239075577</v>
      </c>
      <c r="D21" s="18">
        <f>B21*'Q.2 inputs'!$B$5</f>
        <v>15412.272018607284</v>
      </c>
      <c r="E21" s="18">
        <f t="shared" si="0"/>
        <v>308245.44037214847</v>
      </c>
      <c r="F21" s="18">
        <f t="shared" si="1"/>
        <v>-2.7939677238464355E-9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8"/>
  <sheetViews>
    <sheetView workbookViewId="0"/>
  </sheetViews>
  <sheetFormatPr defaultRowHeight="14.4" x14ac:dyDescent="0.3"/>
  <cols>
    <col min="1" max="1" width="19.21875" customWidth="1"/>
    <col min="2" max="2" width="15.44140625" bestFit="1" customWidth="1"/>
    <col min="3" max="3" width="12" bestFit="1" customWidth="1"/>
    <col min="4" max="4" width="9.6640625" bestFit="1" customWidth="1"/>
  </cols>
  <sheetData>
    <row r="2" spans="1:4" x14ac:dyDescent="0.3">
      <c r="B2" s="6">
        <v>2</v>
      </c>
      <c r="C2" s="6">
        <v>1</v>
      </c>
      <c r="D2" s="6">
        <v>1</v>
      </c>
    </row>
    <row r="3" spans="1:4" x14ac:dyDescent="0.3">
      <c r="B3" t="s">
        <v>79</v>
      </c>
      <c r="C3" t="s">
        <v>76</v>
      </c>
      <c r="D3" t="s">
        <v>82</v>
      </c>
    </row>
    <row r="4" spans="1:4" x14ac:dyDescent="0.3">
      <c r="A4" t="s">
        <v>80</v>
      </c>
      <c r="B4" s="18">
        <f>'Q.2 (i) a &amp; b'!B8*'Q.2 inputs'!B4</f>
        <v>7225671.570693328</v>
      </c>
      <c r="C4" s="18">
        <f>'Q.2 inputs'!$B$3</f>
        <v>5000000</v>
      </c>
      <c r="D4" s="18">
        <f>B4-C4</f>
        <v>2225671.570693328</v>
      </c>
    </row>
    <row r="5" spans="1:4" x14ac:dyDescent="0.3">
      <c r="A5" t="s">
        <v>81</v>
      </c>
      <c r="B5" s="18">
        <f>SUM('Q.2(i) c'!C7:C21)</f>
        <v>6954865.6858613398</v>
      </c>
      <c r="C5" s="18">
        <f>'Q.2 inputs'!$B$3</f>
        <v>5000000</v>
      </c>
      <c r="D5" s="18">
        <f t="shared" ref="D5" si="0">B5-C5</f>
        <v>1954865.6858613398</v>
      </c>
    </row>
    <row r="8" spans="1:4" ht="43.2" x14ac:dyDescent="0.3">
      <c r="A8" s="14" t="s">
        <v>125</v>
      </c>
      <c r="B8" s="3">
        <f>'Q.2 inputs'!B4/2*((2*('Q.2 (i) a &amp; b'!G8-'Q.2 (i) a &amp; b'!G7))+('Q.2 inputs'!B4-1)*-'Q.2 (i) a &amp; b'!G7)</f>
        <v>6954865.6858613361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4D6C390916B4A8494C33A5D3CA82B" ma:contentTypeVersion="17" ma:contentTypeDescription="Create a new document." ma:contentTypeScope="" ma:versionID="eeaf27003bc6ef8b97a491cee091336a">
  <xsd:schema xmlns:xsd="http://www.w3.org/2001/XMLSchema" xmlns:xs="http://www.w3.org/2001/XMLSchema" xmlns:p="http://schemas.microsoft.com/office/2006/metadata/properties" xmlns:ns1="http://schemas.microsoft.com/sharepoint/v3" xmlns:ns2="307a12b3-3a39-4e5f-afa6-4629bb16037e" xmlns:ns3="1f0d55de-41a8-442a-939a-8c7a93a15acc" targetNamespace="http://schemas.microsoft.com/office/2006/metadata/properties" ma:root="true" ma:fieldsID="b739585612418cb0ce26f5ceb61b5725" ns1:_="" ns2:_="" ns3:_="">
    <xsd:import namespace="http://schemas.microsoft.com/sharepoint/v3"/>
    <xsd:import namespace="307a12b3-3a39-4e5f-afa6-4629bb16037e"/>
    <xsd:import namespace="1f0d55de-41a8-442a-939a-8c7a93a15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a12b3-3a39-4e5f-afa6-4629bb160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790f828-4d96-4d10-bc53-6c3febba0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d55de-41a8-442a-939a-8c7a93a15ac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38ea2c-1d97-4ed9-8a85-6ab57bb76901}" ma:internalName="TaxCatchAll" ma:showField="CatchAllData" ma:web="1f0d55de-41a8-442a-939a-8c7a93a15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7a12b3-3a39-4e5f-afa6-4629bb16037e">
      <Terms xmlns="http://schemas.microsoft.com/office/infopath/2007/PartnerControls"/>
    </lcf76f155ced4ddcb4097134ff3c332f>
    <_ip_UnifiedCompliancePolicyUIAction xmlns="http://schemas.microsoft.com/sharepoint/v3" xsi:nil="true"/>
    <TaxCatchAll xmlns="1f0d55de-41a8-442a-939a-8c7a93a15acc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67523C-C01D-4855-9871-5A5F6A6B0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CF102F-D58E-4BA5-BC7D-A36227E62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a12b3-3a39-4e5f-afa6-4629bb16037e"/>
    <ds:schemaRef ds:uri="1f0d55de-41a8-442a-939a-8c7a93a1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1F647-4769-427B-9217-7C3F0355E679}">
  <ds:schemaRefs>
    <ds:schemaRef ds:uri="http://purl.org/dc/dcmitype/"/>
    <ds:schemaRef ds:uri="1f0d55de-41a8-442a-939a-8c7a93a15acc"/>
    <ds:schemaRef ds:uri="http://schemas.microsoft.com/sharepoint/v3"/>
    <ds:schemaRef ds:uri="307a12b3-3a39-4e5f-afa6-4629bb16037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Q1 inputs</vt:lpstr>
      <vt:lpstr>Q.1 (i)</vt:lpstr>
      <vt:lpstr>Q.1 (ii)</vt:lpstr>
      <vt:lpstr>Q.1(iii) a,b&amp;c</vt:lpstr>
      <vt:lpstr>Q.1 (iv)</vt:lpstr>
      <vt:lpstr>Q.2 inputs</vt:lpstr>
      <vt:lpstr>Q.2 (i) a &amp; b</vt:lpstr>
      <vt:lpstr>Q.2(i) c</vt:lpstr>
      <vt:lpstr>Q.2 (ii)</vt:lpstr>
      <vt:lpstr>Q.2 (iii)</vt:lpstr>
      <vt:lpstr>Q3 mortality</vt:lpstr>
      <vt:lpstr>Q.3 (i)</vt:lpstr>
      <vt:lpstr>Q.3 (ii)</vt:lpstr>
      <vt:lpstr>claims</vt:lpstr>
      <vt:lpstr>claims2</vt:lpstr>
      <vt:lpstr>growth</vt:lpstr>
      <vt:lpstr>inflation</vt:lpstr>
      <vt:lpstr>lapse</vt:lpstr>
      <vt:lpstr>lapse2</vt:lpstr>
      <vt:lpstr>reserves1</vt:lpstr>
      <vt:lpstr>reserves2</vt:lpstr>
      <vt:lpstr>step</vt:lpstr>
      <vt:lpstr>ti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Gauri Jamwal - Manager</cp:lastModifiedBy>
  <dcterms:modified xsi:type="dcterms:W3CDTF">2024-06-01T18:27:53Z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0x010100FE74D6C390916B4A8494C33A5D3CA82B</vt:lpwstr>
  </property>
</Properties>
</file>