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actuariesindia.sharepoint.com/sites/Exams/Shared Documents/Actuarial Examination/Year 2023_November Exam/Note/Solution/To be send to IT/Formatting in progress/"/>
    </mc:Choice>
  </mc:AlternateContent>
  <xr:revisionPtr revIDLastSave="0" documentId="13_ncr:1_{4CF1F172-BF22-4729-8BEC-A4C2CC5A8A76}" xr6:coauthVersionLast="47" xr6:coauthVersionMax="47" xr10:uidLastSave="{00000000-0000-0000-0000-000000000000}"/>
  <bookViews>
    <workbookView xWindow="-110" yWindow="-110" windowWidth="19420" windowHeight="10300" xr2:uid="{75E16625-E15A-47CF-A686-889399029096}"/>
  </bookViews>
  <sheets>
    <sheet name="Inputs" sheetId="2" r:id="rId1"/>
    <sheet name="Projection - base" sheetId="3" r:id="rId2"/>
    <sheet name="Other inputs " sheetId="4" r:id="rId3"/>
    <sheet name="Not to be part of QP---&gt;" sheetId="5" r:id="rId4"/>
    <sheet name="Projection - Scenario 1" sheetId="6" r:id="rId5"/>
    <sheet name="Projection - Scenario 2" sheetId="8" r:id="rId6"/>
    <sheet name="Projection - Scenario 3" sheetId="9" r:id="rId7"/>
    <sheet name="Projection - Scenario 4" sheetId="10" r:id="rId8"/>
    <sheet name="Summary - results" sheetId="11" r:id="rId9"/>
    <sheet name="Summary"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3" l="1"/>
  <c r="C18" i="9" l="1"/>
  <c r="F17" i="9"/>
  <c r="E17" i="9"/>
  <c r="D17" i="9"/>
  <c r="C17" i="9"/>
  <c r="C19" i="9" s="1"/>
  <c r="F18" i="9"/>
  <c r="E18" i="9"/>
  <c r="D18" i="9"/>
  <c r="F19" i="9"/>
  <c r="E19" i="9"/>
  <c r="D19" i="9"/>
  <c r="F18" i="8"/>
  <c r="F19" i="8" s="1"/>
  <c r="E18" i="8"/>
  <c r="E19" i="8" s="1"/>
  <c r="D18" i="8"/>
  <c r="C18" i="8"/>
  <c r="C19" i="8" s="1"/>
  <c r="F17" i="8"/>
  <c r="E17" i="8"/>
  <c r="D17" i="8"/>
  <c r="C17" i="8"/>
  <c r="D19" i="8"/>
  <c r="F18" i="6"/>
  <c r="E18" i="6"/>
  <c r="D18" i="6"/>
  <c r="C18" i="6"/>
  <c r="F17" i="6"/>
  <c r="F19" i="6" s="1"/>
  <c r="E17" i="6"/>
  <c r="E19" i="6" s="1"/>
  <c r="D17" i="6"/>
  <c r="D19" i="6" s="1"/>
  <c r="C17" i="6"/>
  <c r="C19" i="6" s="1"/>
  <c r="E18" i="3"/>
  <c r="D18" i="3"/>
  <c r="C18" i="3"/>
  <c r="AG13" i="3"/>
  <c r="AL13" i="3" s="1"/>
  <c r="AQ13" i="3" s="1"/>
  <c r="AF13" i="3"/>
  <c r="AK13" i="3" s="1"/>
  <c r="AP13" i="3" s="1"/>
  <c r="AE13" i="3"/>
  <c r="AJ13" i="3" s="1"/>
  <c r="AO13" i="3" s="1"/>
  <c r="AK12" i="3"/>
  <c r="AP12" i="3" s="1"/>
  <c r="AJ12" i="3"/>
  <c r="AO12" i="3" s="1"/>
  <c r="AG12" i="3"/>
  <c r="AL12" i="3" s="1"/>
  <c r="AQ12" i="3" s="1"/>
  <c r="AF12" i="3"/>
  <c r="AE12" i="3"/>
  <c r="AL11" i="3"/>
  <c r="AQ11" i="3" s="1"/>
  <c r="AK11" i="3"/>
  <c r="AP11" i="3" s="1"/>
  <c r="AJ11" i="3"/>
  <c r="AO11" i="3" s="1"/>
  <c r="AG11" i="3"/>
  <c r="AF11" i="3"/>
  <c r="AE11" i="3"/>
  <c r="AP10" i="3"/>
  <c r="AL10" i="3"/>
  <c r="AQ10" i="3" s="1"/>
  <c r="AK10" i="3"/>
  <c r="AG10" i="3"/>
  <c r="AF10" i="3"/>
  <c r="AE10" i="3"/>
  <c r="AJ10" i="3" s="1"/>
  <c r="AO10" i="3" s="1"/>
  <c r="AG9" i="3"/>
  <c r="AL9" i="3" s="1"/>
  <c r="AQ9" i="3" s="1"/>
  <c r="AF9" i="3"/>
  <c r="AK9" i="3" s="1"/>
  <c r="AP9" i="3" s="1"/>
  <c r="AE9" i="3"/>
  <c r="AJ9" i="3" s="1"/>
  <c r="AO9" i="3" s="1"/>
  <c r="AK8" i="3"/>
  <c r="AP8" i="3" s="1"/>
  <c r="AJ8" i="3"/>
  <c r="AO8" i="3" s="1"/>
  <c r="AG8" i="3"/>
  <c r="AL8" i="3" s="1"/>
  <c r="AQ8" i="3" s="1"/>
  <c r="AF8" i="3"/>
  <c r="AE8" i="3"/>
  <c r="AL7" i="3"/>
  <c r="AQ7" i="3" s="1"/>
  <c r="AK7" i="3"/>
  <c r="AP7" i="3" s="1"/>
  <c r="AJ7" i="3"/>
  <c r="AO7" i="3" s="1"/>
  <c r="AG7" i="3"/>
  <c r="AF7" i="3"/>
  <c r="AE7" i="3"/>
  <c r="AP6" i="3"/>
  <c r="AL6" i="3"/>
  <c r="AQ6" i="3" s="1"/>
  <c r="AK6" i="3"/>
  <c r="AG6" i="3"/>
  <c r="AF6" i="3"/>
  <c r="AE6" i="3"/>
  <c r="AJ6" i="3" s="1"/>
  <c r="AO6" i="3" s="1"/>
  <c r="AG5" i="3"/>
  <c r="AL5" i="3" s="1"/>
  <c r="AQ5" i="3" s="1"/>
  <c r="AF5" i="3"/>
  <c r="AK5" i="3" s="1"/>
  <c r="AP5" i="3" s="1"/>
  <c r="AE5" i="3"/>
  <c r="AJ5" i="3" s="1"/>
  <c r="AO5" i="3" s="1"/>
  <c r="AK4" i="3"/>
  <c r="AP4" i="3" s="1"/>
  <c r="AJ4" i="3"/>
  <c r="AO4" i="3" s="1"/>
  <c r="AG4" i="3"/>
  <c r="AL4" i="3" s="1"/>
  <c r="AQ4" i="3" s="1"/>
  <c r="AF4" i="3"/>
  <c r="AE4" i="3"/>
  <c r="M6" i="2"/>
  <c r="M7" i="2" s="1"/>
  <c r="M8" i="2" s="1"/>
  <c r="M9" i="2" s="1"/>
  <c r="M10" i="2" s="1"/>
  <c r="M11" i="2" s="1"/>
  <c r="M12" i="2" s="1"/>
  <c r="M13" i="2" s="1"/>
  <c r="L6" i="2"/>
  <c r="L7" i="2" s="1"/>
  <c r="L8" i="2" s="1"/>
  <c r="L9" i="2" s="1"/>
  <c r="L10" i="2" s="1"/>
  <c r="L11" i="2" s="1"/>
  <c r="L12" i="2" s="1"/>
  <c r="L13" i="2" s="1"/>
  <c r="K6" i="2"/>
  <c r="K7" i="2" s="1"/>
  <c r="K8" i="2" s="1"/>
  <c r="K9" i="2" s="1"/>
  <c r="K10" i="2" s="1"/>
  <c r="K11" i="2" s="1"/>
  <c r="K12" i="2" s="1"/>
  <c r="K13" i="2" s="1"/>
  <c r="M5" i="2"/>
  <c r="L5" i="2"/>
  <c r="K5" i="2"/>
  <c r="M7" i="4"/>
  <c r="M8" i="4" s="1"/>
  <c r="M9" i="4" s="1"/>
  <c r="M10" i="4" s="1"/>
  <c r="M11" i="4" s="1"/>
  <c r="M12" i="4" s="1"/>
  <c r="M13" i="4" s="1"/>
  <c r="M14" i="4" s="1"/>
  <c r="M6" i="4"/>
  <c r="D17" i="3" l="1"/>
  <c r="D19" i="3" s="1"/>
  <c r="E17" i="3"/>
  <c r="E19" i="3" s="1"/>
  <c r="F17" i="3"/>
  <c r="F19" i="3" s="1"/>
  <c r="S14" i="8" l="1"/>
  <c r="O5" i="2"/>
  <c r="O6" i="2"/>
  <c r="O7" i="2"/>
  <c r="O8" i="2"/>
  <c r="O9" i="2"/>
  <c r="O10" i="2"/>
  <c r="O11" i="2"/>
  <c r="O12" i="2"/>
  <c r="O13" i="2"/>
  <c r="O4" i="2"/>
  <c r="AS5" i="10" l="1"/>
  <c r="AS6" i="10"/>
  <c r="AS7" i="10"/>
  <c r="AS8" i="10"/>
  <c r="AS9" i="10"/>
  <c r="AS10" i="10"/>
  <c r="AS11" i="10"/>
  <c r="AS12" i="10"/>
  <c r="AS13" i="10"/>
  <c r="AS4" i="10"/>
  <c r="AT4" i="10" s="1"/>
  <c r="AT5" i="10" s="1"/>
  <c r="AT6" i="10" s="1"/>
  <c r="AT7" i="10" s="1"/>
  <c r="AT8" i="10" s="1"/>
  <c r="AT9" i="10" s="1"/>
  <c r="AT10" i="10" s="1"/>
  <c r="AT11" i="10" s="1"/>
  <c r="AT12" i="10" s="1"/>
  <c r="AT13" i="10" s="1"/>
  <c r="N5" i="8"/>
  <c r="N6" i="8"/>
  <c r="N7" i="8"/>
  <c r="N8" i="8"/>
  <c r="N9" i="8"/>
  <c r="N10" i="8"/>
  <c r="N11" i="8"/>
  <c r="N12" i="8"/>
  <c r="N13" i="8"/>
  <c r="N4" i="8"/>
  <c r="P5" i="8"/>
  <c r="P6" i="8"/>
  <c r="P7" i="8"/>
  <c r="P8" i="8"/>
  <c r="P9" i="8"/>
  <c r="P10" i="8"/>
  <c r="P11" i="8"/>
  <c r="P12" i="8"/>
  <c r="P13" i="8"/>
  <c r="P4" i="8"/>
  <c r="R13" i="10"/>
  <c r="Q13" i="10"/>
  <c r="O13" i="10"/>
  <c r="N13" i="10"/>
  <c r="R12" i="10"/>
  <c r="Q12" i="10"/>
  <c r="O12" i="10"/>
  <c r="N12" i="10"/>
  <c r="R11" i="10"/>
  <c r="Q11" i="10"/>
  <c r="O11" i="10"/>
  <c r="N11" i="10"/>
  <c r="R10" i="10"/>
  <c r="Q10" i="10"/>
  <c r="O10" i="10"/>
  <c r="N10" i="10"/>
  <c r="R9" i="10"/>
  <c r="Q9" i="10"/>
  <c r="O9" i="10"/>
  <c r="N9" i="10"/>
  <c r="Q8" i="10"/>
  <c r="O8" i="10"/>
  <c r="N8" i="10"/>
  <c r="Q7" i="10"/>
  <c r="O7" i="10"/>
  <c r="N7" i="10"/>
  <c r="Q6" i="10"/>
  <c r="O6" i="10"/>
  <c r="N6" i="10"/>
  <c r="Q5" i="10"/>
  <c r="O5" i="10"/>
  <c r="N5" i="10"/>
  <c r="Q4" i="10"/>
  <c r="O4" i="10"/>
  <c r="N4" i="10"/>
  <c r="M4" i="10"/>
  <c r="M5" i="10" s="1"/>
  <c r="C4" i="10"/>
  <c r="R13" i="9"/>
  <c r="Q13" i="9"/>
  <c r="O13" i="9"/>
  <c r="N13" i="9"/>
  <c r="R12" i="9"/>
  <c r="Q12" i="9"/>
  <c r="O12" i="9"/>
  <c r="N12" i="9"/>
  <c r="R11" i="9"/>
  <c r="Q11" i="9"/>
  <c r="O11" i="9"/>
  <c r="N11" i="9"/>
  <c r="R10" i="9"/>
  <c r="Q10" i="9"/>
  <c r="O10" i="9"/>
  <c r="N10" i="9"/>
  <c r="R9" i="9"/>
  <c r="Q9" i="9"/>
  <c r="O9" i="9"/>
  <c r="N9" i="9"/>
  <c r="Q8" i="9"/>
  <c r="O8" i="9"/>
  <c r="N8" i="9"/>
  <c r="Q7" i="9"/>
  <c r="O7" i="9"/>
  <c r="N7" i="9"/>
  <c r="Q6" i="9"/>
  <c r="O6" i="9"/>
  <c r="N6" i="9"/>
  <c r="Q5" i="9"/>
  <c r="O5" i="9"/>
  <c r="N5" i="9"/>
  <c r="Q4" i="9"/>
  <c r="O4" i="9"/>
  <c r="N4" i="9"/>
  <c r="M4" i="9"/>
  <c r="M5" i="9" s="1"/>
  <c r="C4" i="9"/>
  <c r="F4" i="9" s="1"/>
  <c r="S13" i="8"/>
  <c r="R13" i="8"/>
  <c r="O13" i="8"/>
  <c r="S12" i="8"/>
  <c r="R12" i="8"/>
  <c r="O12" i="8"/>
  <c r="S11" i="8"/>
  <c r="R11" i="8"/>
  <c r="O11" i="8"/>
  <c r="S10" i="8"/>
  <c r="R10" i="8"/>
  <c r="O10" i="8"/>
  <c r="S9" i="8"/>
  <c r="R9" i="8"/>
  <c r="O9" i="8"/>
  <c r="R8" i="8"/>
  <c r="O8" i="8"/>
  <c r="R7" i="8"/>
  <c r="O7" i="8"/>
  <c r="R6" i="8"/>
  <c r="O6" i="8"/>
  <c r="R5" i="8"/>
  <c r="O5" i="8"/>
  <c r="R4" i="8"/>
  <c r="S7" i="8" s="1"/>
  <c r="O4" i="8"/>
  <c r="M4" i="8"/>
  <c r="M5" i="8" s="1"/>
  <c r="C4" i="8"/>
  <c r="F4" i="8" s="1"/>
  <c r="R13" i="6"/>
  <c r="Q13" i="6"/>
  <c r="O13" i="6"/>
  <c r="N13" i="6"/>
  <c r="R12" i="6"/>
  <c r="Q12" i="6"/>
  <c r="O12" i="6"/>
  <c r="N12" i="6"/>
  <c r="R11" i="6"/>
  <c r="Q11" i="6"/>
  <c r="O11" i="6"/>
  <c r="N11" i="6"/>
  <c r="R10" i="6"/>
  <c r="Q10" i="6"/>
  <c r="O10" i="6"/>
  <c r="N10" i="6"/>
  <c r="R9" i="6"/>
  <c r="Q9" i="6"/>
  <c r="O9" i="6"/>
  <c r="N9" i="6"/>
  <c r="Q8" i="6"/>
  <c r="O8" i="6"/>
  <c r="N8" i="6"/>
  <c r="Q7" i="6"/>
  <c r="O7" i="6"/>
  <c r="N7" i="6"/>
  <c r="Q6" i="6"/>
  <c r="O6" i="6"/>
  <c r="N6" i="6"/>
  <c r="Q5" i="6"/>
  <c r="O5" i="6"/>
  <c r="N5" i="6"/>
  <c r="Q4" i="6"/>
  <c r="R6" i="6" s="1"/>
  <c r="O4" i="6"/>
  <c r="N4" i="6"/>
  <c r="M4" i="6"/>
  <c r="M5" i="6" s="1"/>
  <c r="C4" i="6"/>
  <c r="C5" i="6" s="1"/>
  <c r="C6" i="6" s="1"/>
  <c r="C7" i="6" s="1"/>
  <c r="C8" i="6" s="1"/>
  <c r="C9" i="6" s="1"/>
  <c r="C10" i="6" s="1"/>
  <c r="C11" i="6" s="1"/>
  <c r="C12" i="6" s="1"/>
  <c r="C13" i="6" s="1"/>
  <c r="O5" i="3"/>
  <c r="O6" i="3"/>
  <c r="O7" i="3"/>
  <c r="O8" i="3"/>
  <c r="O9" i="3"/>
  <c r="O10" i="3"/>
  <c r="O11" i="3"/>
  <c r="O12" i="3"/>
  <c r="O13" i="3"/>
  <c r="O4" i="3"/>
  <c r="R9" i="3"/>
  <c r="R10" i="3"/>
  <c r="R11" i="3"/>
  <c r="R12" i="3"/>
  <c r="R13" i="3"/>
  <c r="Q5" i="3"/>
  <c r="Q6" i="3"/>
  <c r="Q7" i="3"/>
  <c r="Q8" i="3"/>
  <c r="Q9" i="3"/>
  <c r="Q10" i="3"/>
  <c r="Q11" i="3"/>
  <c r="Q12" i="3"/>
  <c r="Q13" i="3"/>
  <c r="Q4" i="3"/>
  <c r="N5" i="3"/>
  <c r="N6" i="3"/>
  <c r="N7" i="3"/>
  <c r="N8" i="3"/>
  <c r="N9" i="3"/>
  <c r="N10" i="3"/>
  <c r="N11" i="3"/>
  <c r="N12" i="3"/>
  <c r="N13" i="3"/>
  <c r="N4" i="3"/>
  <c r="M4" i="3"/>
  <c r="M5" i="3" s="1"/>
  <c r="M6" i="3" s="1"/>
  <c r="M7" i="3" s="1"/>
  <c r="M8" i="3" s="1"/>
  <c r="M9" i="3" s="1"/>
  <c r="M10" i="3" s="1"/>
  <c r="M11" i="3" s="1"/>
  <c r="M12" i="3" s="1"/>
  <c r="M13" i="3" s="1"/>
  <c r="C4" i="3"/>
  <c r="F4" i="3" s="1"/>
  <c r="W4" i="3" s="1"/>
  <c r="C18" i="10" l="1"/>
  <c r="S8" i="8"/>
  <c r="R5" i="10"/>
  <c r="R6" i="3"/>
  <c r="R5" i="6"/>
  <c r="R5" i="9"/>
  <c r="R7" i="9"/>
  <c r="D4" i="9"/>
  <c r="E4" i="9"/>
  <c r="S5" i="8"/>
  <c r="P4" i="6"/>
  <c r="D4" i="8"/>
  <c r="AF4" i="8" s="1"/>
  <c r="X4" i="8"/>
  <c r="K4" i="8"/>
  <c r="AH4" i="8"/>
  <c r="S4" i="8"/>
  <c r="S6" i="8"/>
  <c r="Q4" i="8"/>
  <c r="M6" i="10"/>
  <c r="D4" i="10"/>
  <c r="R6" i="10"/>
  <c r="E4" i="10"/>
  <c r="C5" i="10"/>
  <c r="F4" i="10"/>
  <c r="P4" i="10"/>
  <c r="Y4" i="10" s="1"/>
  <c r="R7" i="10"/>
  <c r="R4" i="10"/>
  <c r="R14" i="10" s="1"/>
  <c r="R8" i="10"/>
  <c r="K4" i="9"/>
  <c r="AG4" i="9"/>
  <c r="W4" i="9"/>
  <c r="M6" i="9"/>
  <c r="R6" i="9"/>
  <c r="R14" i="9" s="1"/>
  <c r="C5" i="9"/>
  <c r="P5" i="9" s="1"/>
  <c r="Y5" i="9" s="1"/>
  <c r="P4" i="9"/>
  <c r="R4" i="9"/>
  <c r="R8" i="9"/>
  <c r="M6" i="8"/>
  <c r="E4" i="8"/>
  <c r="C5" i="8"/>
  <c r="M6" i="6"/>
  <c r="E4" i="6"/>
  <c r="D4" i="6"/>
  <c r="F4" i="6"/>
  <c r="R7" i="6"/>
  <c r="R4" i="6"/>
  <c r="R14" i="6" s="1"/>
  <c r="R8" i="6"/>
  <c r="P4" i="3"/>
  <c r="R5" i="3"/>
  <c r="R8" i="3"/>
  <c r="R4" i="3"/>
  <c r="R7" i="3"/>
  <c r="R14" i="3" s="1"/>
  <c r="K4" i="3"/>
  <c r="C5" i="3"/>
  <c r="P5" i="3" s="1"/>
  <c r="D4" i="3"/>
  <c r="E4" i="3"/>
  <c r="V4" i="8" l="1"/>
  <c r="I4" i="8"/>
  <c r="Z4" i="8"/>
  <c r="Y4" i="6"/>
  <c r="Y4" i="9"/>
  <c r="F5" i="9"/>
  <c r="E5" i="9"/>
  <c r="D5" i="9"/>
  <c r="M7" i="10"/>
  <c r="J4" i="10"/>
  <c r="AF4" i="10"/>
  <c r="V4" i="10"/>
  <c r="K4" i="10"/>
  <c r="AG4" i="10"/>
  <c r="W4" i="10"/>
  <c r="AE4" i="10"/>
  <c r="U4" i="10"/>
  <c r="I4" i="10"/>
  <c r="F5" i="10"/>
  <c r="C6" i="10"/>
  <c r="E5" i="10"/>
  <c r="D5" i="10"/>
  <c r="P5" i="10"/>
  <c r="Y5" i="10" s="1"/>
  <c r="AE4" i="9"/>
  <c r="U4" i="9"/>
  <c r="I4" i="9"/>
  <c r="C6" i="9"/>
  <c r="M7" i="9"/>
  <c r="J4" i="9"/>
  <c r="V4" i="9"/>
  <c r="AF4" i="9"/>
  <c r="M7" i="8"/>
  <c r="J4" i="8"/>
  <c r="H4" i="8" s="1"/>
  <c r="AG4" i="8"/>
  <c r="AE4" i="8" s="1"/>
  <c r="W4" i="8"/>
  <c r="U4" i="8" s="1"/>
  <c r="F5" i="8"/>
  <c r="Q5" i="8"/>
  <c r="Z5" i="8" s="1"/>
  <c r="C6" i="8"/>
  <c r="E5" i="8"/>
  <c r="D5" i="8"/>
  <c r="AE4" i="6"/>
  <c r="U4" i="6"/>
  <c r="I4" i="6"/>
  <c r="K4" i="6"/>
  <c r="AG4" i="6"/>
  <c r="W4" i="6"/>
  <c r="F5" i="6"/>
  <c r="E5" i="6"/>
  <c r="D5" i="6"/>
  <c r="V4" i="6"/>
  <c r="J4" i="6"/>
  <c r="AF4" i="6"/>
  <c r="M7" i="6"/>
  <c r="P5" i="6"/>
  <c r="Y5" i="6" s="1"/>
  <c r="U4" i="3"/>
  <c r="V4" i="3"/>
  <c r="F5" i="3"/>
  <c r="Y4" i="3"/>
  <c r="J4" i="3"/>
  <c r="I4" i="3"/>
  <c r="E5" i="3"/>
  <c r="D5" i="3"/>
  <c r="C6" i="3"/>
  <c r="P6" i="3" s="1"/>
  <c r="Y5" i="3"/>
  <c r="AD4" i="9" l="1"/>
  <c r="AD4" i="10"/>
  <c r="F6" i="9"/>
  <c r="E6" i="9"/>
  <c r="D6" i="9"/>
  <c r="T4" i="10"/>
  <c r="AB4" i="10" s="1"/>
  <c r="AL4" i="10" s="1"/>
  <c r="AQ4" i="10" s="1"/>
  <c r="T4" i="6"/>
  <c r="Z4" i="6" s="1"/>
  <c r="AJ4" i="6" s="1"/>
  <c r="AA4" i="8"/>
  <c r="AK4" i="8" s="1"/>
  <c r="AP4" i="8" s="1"/>
  <c r="AC4" i="8"/>
  <c r="AM4" i="8" s="1"/>
  <c r="AR4" i="8" s="1"/>
  <c r="M8" i="10"/>
  <c r="F6" i="10"/>
  <c r="C7" i="10"/>
  <c r="E6" i="10"/>
  <c r="D6" i="10"/>
  <c r="P6" i="10"/>
  <c r="Y6" i="10" s="1"/>
  <c r="AF5" i="10"/>
  <c r="V5" i="10"/>
  <c r="J5" i="10"/>
  <c r="AG5" i="10"/>
  <c r="W5" i="10"/>
  <c r="K5" i="10"/>
  <c r="I5" i="10"/>
  <c r="AE5" i="10"/>
  <c r="U5" i="10"/>
  <c r="H4" i="10"/>
  <c r="AF5" i="9"/>
  <c r="V5" i="9"/>
  <c r="J5" i="9"/>
  <c r="H4" i="9"/>
  <c r="C7" i="9"/>
  <c r="P6" i="9"/>
  <c r="Y6" i="9" s="1"/>
  <c r="W5" i="9"/>
  <c r="AG5" i="9"/>
  <c r="K5" i="9"/>
  <c r="I5" i="9"/>
  <c r="AE5" i="9"/>
  <c r="U5" i="9"/>
  <c r="M8" i="9"/>
  <c r="T4" i="9"/>
  <c r="AA4" i="9" s="1"/>
  <c r="AK4" i="9" s="1"/>
  <c r="AP4" i="9" s="1"/>
  <c r="M8" i="8"/>
  <c r="AF5" i="8"/>
  <c r="I5" i="8"/>
  <c r="V5" i="8"/>
  <c r="AB4" i="8"/>
  <c r="AL4" i="8" s="1"/>
  <c r="F6" i="8"/>
  <c r="C7" i="8"/>
  <c r="E6" i="8"/>
  <c r="D6" i="8"/>
  <c r="Q6" i="8"/>
  <c r="Z6" i="8" s="1"/>
  <c r="AG5" i="8"/>
  <c r="W5" i="8"/>
  <c r="J5" i="8"/>
  <c r="K5" i="8"/>
  <c r="AH5" i="8"/>
  <c r="X5" i="8"/>
  <c r="J5" i="6"/>
  <c r="AF5" i="6"/>
  <c r="V5" i="6"/>
  <c r="P6" i="6"/>
  <c r="Y6" i="6" s="1"/>
  <c r="F6" i="6"/>
  <c r="E6" i="6"/>
  <c r="D6" i="6"/>
  <c r="I5" i="6"/>
  <c r="U5" i="6"/>
  <c r="AE5" i="6"/>
  <c r="M8" i="6"/>
  <c r="K5" i="6"/>
  <c r="AG5" i="6"/>
  <c r="W5" i="6"/>
  <c r="H4" i="6"/>
  <c r="AD4" i="6"/>
  <c r="AD4" i="3"/>
  <c r="W5" i="3"/>
  <c r="C7" i="3"/>
  <c r="U5" i="3"/>
  <c r="V5" i="3"/>
  <c r="T4" i="3"/>
  <c r="AB4" i="3" s="1"/>
  <c r="K5" i="3"/>
  <c r="F6" i="3"/>
  <c r="E6" i="3"/>
  <c r="Y6" i="3"/>
  <c r="H4" i="3"/>
  <c r="I5" i="3"/>
  <c r="J5" i="3"/>
  <c r="D6" i="3"/>
  <c r="AD5" i="10" l="1"/>
  <c r="F7" i="9"/>
  <c r="E7" i="9"/>
  <c r="D7" i="9"/>
  <c r="AE5" i="8"/>
  <c r="U5" i="8"/>
  <c r="AC5" i="8" s="1"/>
  <c r="AM5" i="8" s="1"/>
  <c r="AR5" i="8" s="1"/>
  <c r="T5" i="6"/>
  <c r="AB5" i="6" s="1"/>
  <c r="Z4" i="10"/>
  <c r="AJ4" i="10" s="1"/>
  <c r="AO4" i="10" s="1"/>
  <c r="AA4" i="10"/>
  <c r="AK4" i="10" s="1"/>
  <c r="AP4" i="10" s="1"/>
  <c r="AB4" i="6"/>
  <c r="AL4" i="6" s="1"/>
  <c r="AQ4" i="6" s="1"/>
  <c r="AA4" i="6"/>
  <c r="AK4" i="6" s="1"/>
  <c r="AP4" i="6" s="1"/>
  <c r="AQ4" i="8"/>
  <c r="AJ4" i="8"/>
  <c r="AO4" i="8" s="1"/>
  <c r="AA5" i="6"/>
  <c r="AK5" i="6" s="1"/>
  <c r="AP5" i="6" s="1"/>
  <c r="H5" i="10"/>
  <c r="AE6" i="10"/>
  <c r="U6" i="10"/>
  <c r="I6" i="10"/>
  <c r="AF6" i="10"/>
  <c r="V6" i="10"/>
  <c r="J6" i="10"/>
  <c r="D7" i="10"/>
  <c r="E7" i="10"/>
  <c r="C8" i="10"/>
  <c r="F7" i="10"/>
  <c r="P7" i="10"/>
  <c r="Y7" i="10" s="1"/>
  <c r="AG6" i="10"/>
  <c r="W6" i="10"/>
  <c r="K6" i="10"/>
  <c r="T5" i="10"/>
  <c r="AB5" i="10" s="1"/>
  <c r="AL5" i="10" s="1"/>
  <c r="AQ5" i="10" s="1"/>
  <c r="M9" i="10"/>
  <c r="AE6" i="9"/>
  <c r="U6" i="9"/>
  <c r="I6" i="9"/>
  <c r="H5" i="9"/>
  <c r="AF6" i="9"/>
  <c r="V6" i="9"/>
  <c r="J6" i="9"/>
  <c r="C8" i="9"/>
  <c r="P7" i="9"/>
  <c r="Y7" i="9" s="1"/>
  <c r="M9" i="9"/>
  <c r="K6" i="9"/>
  <c r="AG6" i="9"/>
  <c r="W6" i="9"/>
  <c r="T5" i="9"/>
  <c r="AB5" i="9" s="1"/>
  <c r="AL5" i="9" s="1"/>
  <c r="AQ5" i="9" s="1"/>
  <c r="Z4" i="9"/>
  <c r="AJ4" i="9" s="1"/>
  <c r="AB4" i="9"/>
  <c r="AL4" i="9" s="1"/>
  <c r="AQ4" i="9" s="1"/>
  <c r="AD5" i="9"/>
  <c r="AB5" i="8"/>
  <c r="AL5" i="8" s="1"/>
  <c r="AQ5" i="8" s="1"/>
  <c r="H5" i="8"/>
  <c r="I6" i="8"/>
  <c r="AF6" i="8"/>
  <c r="V6" i="8"/>
  <c r="AG6" i="8"/>
  <c r="W6" i="8"/>
  <c r="J6" i="8"/>
  <c r="D7" i="8"/>
  <c r="Q7" i="8"/>
  <c r="Z7" i="8" s="1"/>
  <c r="F7" i="8"/>
  <c r="C8" i="8"/>
  <c r="E7" i="8"/>
  <c r="AH6" i="8"/>
  <c r="X6" i="8"/>
  <c r="K6" i="8"/>
  <c r="M9" i="8"/>
  <c r="AO4" i="6"/>
  <c r="AG6" i="6"/>
  <c r="W6" i="6"/>
  <c r="K6" i="6"/>
  <c r="AL5" i="6"/>
  <c r="AQ5" i="6" s="1"/>
  <c r="H5" i="6"/>
  <c r="M9" i="6"/>
  <c r="I6" i="6"/>
  <c r="AE6" i="6"/>
  <c r="U6" i="6"/>
  <c r="AF6" i="6"/>
  <c r="V6" i="6"/>
  <c r="J6" i="6"/>
  <c r="AD5" i="6"/>
  <c r="D7" i="6"/>
  <c r="F7" i="6"/>
  <c r="E7" i="6"/>
  <c r="P7" i="6"/>
  <c r="Y7" i="6" s="1"/>
  <c r="C8" i="3"/>
  <c r="P8" i="3" s="1"/>
  <c r="Y8" i="3" s="1"/>
  <c r="P7" i="3"/>
  <c r="Y7" i="3" s="1"/>
  <c r="D7" i="3"/>
  <c r="U7" i="3" s="1"/>
  <c r="F7" i="3"/>
  <c r="AA4" i="3"/>
  <c r="T5" i="3"/>
  <c r="AA5" i="3" s="1"/>
  <c r="W7" i="3"/>
  <c r="U6" i="3"/>
  <c r="W6" i="3"/>
  <c r="V6" i="3"/>
  <c r="AD5" i="3"/>
  <c r="K6" i="3"/>
  <c r="Z4" i="3"/>
  <c r="E7" i="3"/>
  <c r="J7" i="3" s="1"/>
  <c r="J6" i="3"/>
  <c r="H5" i="3"/>
  <c r="K7" i="3"/>
  <c r="I6" i="3"/>
  <c r="E8" i="3"/>
  <c r="I7" i="3" l="1"/>
  <c r="AA5" i="8"/>
  <c r="AK5" i="8" s="1"/>
  <c r="E8" i="9"/>
  <c r="D8" i="9"/>
  <c r="F8" i="9"/>
  <c r="AI4" i="10"/>
  <c r="AN4" i="10" s="1"/>
  <c r="F8" i="3"/>
  <c r="K8" i="3" s="1"/>
  <c r="D8" i="3"/>
  <c r="U8" i="3" s="1"/>
  <c r="AE6" i="8"/>
  <c r="Z5" i="6"/>
  <c r="AJ5" i="6" s="1"/>
  <c r="AI5" i="6" s="1"/>
  <c r="AN5" i="6" s="1"/>
  <c r="AI4" i="6"/>
  <c r="AN4" i="6" s="1"/>
  <c r="Z5" i="9"/>
  <c r="AJ5" i="9" s="1"/>
  <c r="AO5" i="9" s="1"/>
  <c r="AF7" i="10"/>
  <c r="V7" i="10"/>
  <c r="J7" i="10"/>
  <c r="H6" i="10"/>
  <c r="AE7" i="10"/>
  <c r="U7" i="10"/>
  <c r="I7" i="10"/>
  <c r="T6" i="10"/>
  <c r="AA5" i="10"/>
  <c r="AK5" i="10" s="1"/>
  <c r="AP5" i="10" s="1"/>
  <c r="Z5" i="10"/>
  <c r="AJ5" i="10" s="1"/>
  <c r="AD6" i="10"/>
  <c r="M10" i="10"/>
  <c r="AG7" i="10"/>
  <c r="W7" i="10"/>
  <c r="K7" i="10"/>
  <c r="P8" i="10"/>
  <c r="Y8" i="10" s="1"/>
  <c r="F8" i="10"/>
  <c r="C9" i="10"/>
  <c r="E8" i="10"/>
  <c r="D8" i="10"/>
  <c r="AF7" i="9"/>
  <c r="V7" i="9"/>
  <c r="J7" i="9"/>
  <c r="AA5" i="9"/>
  <c r="AK5" i="9" s="1"/>
  <c r="AP5" i="9" s="1"/>
  <c r="H6" i="9"/>
  <c r="T6" i="9"/>
  <c r="M10" i="9"/>
  <c r="AD6" i="9"/>
  <c r="P8" i="9"/>
  <c r="Y8" i="9" s="1"/>
  <c r="C9" i="9"/>
  <c r="AG7" i="9"/>
  <c r="W7" i="9"/>
  <c r="K7" i="9"/>
  <c r="AI4" i="9"/>
  <c r="AN4" i="9" s="1"/>
  <c r="AO4" i="9"/>
  <c r="I7" i="9"/>
  <c r="AE7" i="9"/>
  <c r="U7" i="9"/>
  <c r="D8" i="8"/>
  <c r="F8" i="8"/>
  <c r="C9" i="8"/>
  <c r="E8" i="8"/>
  <c r="Q8" i="8"/>
  <c r="Z8" i="8" s="1"/>
  <c r="H6" i="8"/>
  <c r="M10" i="8"/>
  <c r="AJ5" i="8"/>
  <c r="AO5" i="8" s="1"/>
  <c r="AP5" i="8"/>
  <c r="AH7" i="8"/>
  <c r="X7" i="8"/>
  <c r="K7" i="8"/>
  <c r="AG7" i="8"/>
  <c r="W7" i="8"/>
  <c r="J7" i="8"/>
  <c r="AF7" i="8"/>
  <c r="V7" i="8"/>
  <c r="I7" i="8"/>
  <c r="U6" i="8"/>
  <c r="AA6" i="8" s="1"/>
  <c r="AK6" i="8" s="1"/>
  <c r="AG7" i="6"/>
  <c r="W7" i="6"/>
  <c r="K7" i="6"/>
  <c r="M10" i="6"/>
  <c r="AF7" i="6"/>
  <c r="V7" i="6"/>
  <c r="J7" i="6"/>
  <c r="AE7" i="6"/>
  <c r="U7" i="6"/>
  <c r="I7" i="6"/>
  <c r="H6" i="6"/>
  <c r="F8" i="6"/>
  <c r="E8" i="6"/>
  <c r="D8" i="6"/>
  <c r="P8" i="6"/>
  <c r="Y8" i="6" s="1"/>
  <c r="T6" i="6"/>
  <c r="AA6" i="6" s="1"/>
  <c r="AK6" i="6" s="1"/>
  <c r="AP6" i="6" s="1"/>
  <c r="AD6" i="6"/>
  <c r="C9" i="3"/>
  <c r="P9" i="3" s="1"/>
  <c r="Y9" i="3" s="1"/>
  <c r="Z5" i="3"/>
  <c r="AB5" i="3"/>
  <c r="T6" i="3"/>
  <c r="Z6" i="3" s="1"/>
  <c r="V8" i="3"/>
  <c r="AI4" i="3"/>
  <c r="AN4" i="3" s="1"/>
  <c r="AD6" i="3"/>
  <c r="AD7" i="3"/>
  <c r="V7" i="3"/>
  <c r="H6" i="3"/>
  <c r="J8" i="3"/>
  <c r="H7" i="3"/>
  <c r="E9" i="3" l="1"/>
  <c r="I8" i="3"/>
  <c r="F9" i="9"/>
  <c r="E9" i="9"/>
  <c r="D9" i="9"/>
  <c r="W8" i="3"/>
  <c r="T8" i="3" s="1"/>
  <c r="AA8" i="3" s="1"/>
  <c r="AD7" i="10"/>
  <c r="AI5" i="3"/>
  <c r="AN5" i="3" s="1"/>
  <c r="AO5" i="6"/>
  <c r="T7" i="9"/>
  <c r="AA7" i="9" s="1"/>
  <c r="AK7" i="9" s="1"/>
  <c r="AP7" i="9" s="1"/>
  <c r="U7" i="8"/>
  <c r="AB7" i="8" s="1"/>
  <c r="AL7" i="8" s="1"/>
  <c r="AQ7" i="8" s="1"/>
  <c r="AE7" i="8"/>
  <c r="AD7" i="6"/>
  <c r="AB6" i="6"/>
  <c r="AL6" i="6" s="1"/>
  <c r="AQ6" i="6" s="1"/>
  <c r="Z6" i="6"/>
  <c r="AJ6" i="6" s="1"/>
  <c r="K8" i="10"/>
  <c r="AG8" i="10"/>
  <c r="W8" i="10"/>
  <c r="AI5" i="10"/>
  <c r="AN5" i="10" s="1"/>
  <c r="AO5" i="10"/>
  <c r="AE8" i="10"/>
  <c r="U8" i="10"/>
  <c r="I8" i="10"/>
  <c r="V8" i="10"/>
  <c r="J8" i="10"/>
  <c r="AF8" i="10"/>
  <c r="M11" i="10"/>
  <c r="H7" i="10"/>
  <c r="AB6" i="10"/>
  <c r="AL6" i="10" s="1"/>
  <c r="AQ6" i="10" s="1"/>
  <c r="Z6" i="10"/>
  <c r="AJ6" i="10" s="1"/>
  <c r="AA6" i="10"/>
  <c r="AK6" i="10" s="1"/>
  <c r="AP6" i="10" s="1"/>
  <c r="F9" i="10"/>
  <c r="C10" i="10"/>
  <c r="E9" i="10"/>
  <c r="D9" i="10"/>
  <c r="P9" i="10"/>
  <c r="Y9" i="10" s="1"/>
  <c r="T7" i="10"/>
  <c r="Z7" i="10" s="1"/>
  <c r="AJ7" i="10" s="1"/>
  <c r="AA6" i="9"/>
  <c r="AK6" i="9" s="1"/>
  <c r="AP6" i="9" s="1"/>
  <c r="Z6" i="9"/>
  <c r="AJ6" i="9" s="1"/>
  <c r="C10" i="9"/>
  <c r="P9" i="9"/>
  <c r="Y9" i="9" s="1"/>
  <c r="AD7" i="9"/>
  <c r="K8" i="9"/>
  <c r="AG8" i="9"/>
  <c r="W8" i="9"/>
  <c r="M11" i="9"/>
  <c r="H7" i="9"/>
  <c r="AB6" i="9"/>
  <c r="AL6" i="9" s="1"/>
  <c r="AQ6" i="9" s="1"/>
  <c r="AE8" i="9"/>
  <c r="U8" i="9"/>
  <c r="I8" i="9"/>
  <c r="J8" i="9"/>
  <c r="AF8" i="9"/>
  <c r="V8" i="9"/>
  <c r="AI5" i="9"/>
  <c r="AN5" i="9" s="1"/>
  <c r="AP6" i="8"/>
  <c r="M11" i="8"/>
  <c r="AF8" i="8"/>
  <c r="V8" i="8"/>
  <c r="I8" i="8"/>
  <c r="AB6" i="8"/>
  <c r="AL6" i="8" s="1"/>
  <c r="AQ6" i="8" s="1"/>
  <c r="Q9" i="8"/>
  <c r="Z9" i="8" s="1"/>
  <c r="F9" i="8"/>
  <c r="C10" i="8"/>
  <c r="E9" i="8"/>
  <c r="D9" i="8"/>
  <c r="K8" i="8"/>
  <c r="X8" i="8"/>
  <c r="AH8" i="8"/>
  <c r="AC6" i="8"/>
  <c r="AM6" i="8" s="1"/>
  <c r="AR6" i="8" s="1"/>
  <c r="J8" i="8"/>
  <c r="AG8" i="8"/>
  <c r="W8" i="8"/>
  <c r="H7" i="8"/>
  <c r="AO6" i="6"/>
  <c r="M11" i="6"/>
  <c r="K8" i="6"/>
  <c r="W8" i="6"/>
  <c r="AG8" i="6"/>
  <c r="AE8" i="6"/>
  <c r="U8" i="6"/>
  <c r="I8" i="6"/>
  <c r="H7" i="6"/>
  <c r="F9" i="6"/>
  <c r="E9" i="6"/>
  <c r="D9" i="6"/>
  <c r="P9" i="6"/>
  <c r="Y9" i="6" s="1"/>
  <c r="J8" i="6"/>
  <c r="V8" i="6"/>
  <c r="AF8" i="6"/>
  <c r="T7" i="6"/>
  <c r="Z7" i="6" s="1"/>
  <c r="AJ7" i="6" s="1"/>
  <c r="D9" i="3"/>
  <c r="I9" i="3" s="1"/>
  <c r="F9" i="3"/>
  <c r="W9" i="3" s="1"/>
  <c r="C10" i="3"/>
  <c r="P10" i="3" s="1"/>
  <c r="Y10" i="3" s="1"/>
  <c r="T7" i="3"/>
  <c r="AA7" i="3" s="1"/>
  <c r="AB6" i="3"/>
  <c r="V9" i="3"/>
  <c r="AD8" i="3"/>
  <c r="AA6" i="3"/>
  <c r="H8" i="3"/>
  <c r="J9" i="3"/>
  <c r="C11" i="3"/>
  <c r="P11" i="3" s="1"/>
  <c r="F10" i="3"/>
  <c r="AI6" i="6" l="1"/>
  <c r="AN6" i="6" s="1"/>
  <c r="K9" i="3"/>
  <c r="D10" i="3"/>
  <c r="E10" i="3"/>
  <c r="AD8" i="6"/>
  <c r="F10" i="9"/>
  <c r="E10" i="9"/>
  <c r="D10" i="9"/>
  <c r="AD8" i="10"/>
  <c r="AB7" i="10"/>
  <c r="AL7" i="10" s="1"/>
  <c r="AQ7" i="10" s="1"/>
  <c r="T8" i="10"/>
  <c r="Z8" i="10" s="1"/>
  <c r="AJ8" i="10" s="1"/>
  <c r="AA7" i="8"/>
  <c r="AK7" i="8" s="1"/>
  <c r="AP7" i="8" s="1"/>
  <c r="AA7" i="10"/>
  <c r="AK7" i="10" s="1"/>
  <c r="AP7" i="10" s="1"/>
  <c r="AB7" i="9"/>
  <c r="AL7" i="9" s="1"/>
  <c r="AQ7" i="9" s="1"/>
  <c r="AD8" i="9"/>
  <c r="Z7" i="9"/>
  <c r="AJ7" i="9" s="1"/>
  <c r="AO7" i="9" s="1"/>
  <c r="AE8" i="8"/>
  <c r="AC7" i="8"/>
  <c r="AM7" i="8" s="1"/>
  <c r="AR7" i="8" s="1"/>
  <c r="AA7" i="6"/>
  <c r="AK7" i="6" s="1"/>
  <c r="AP7" i="6" s="1"/>
  <c r="AO7" i="10"/>
  <c r="M12" i="10"/>
  <c r="AG9" i="10"/>
  <c r="W9" i="10"/>
  <c r="K9" i="10"/>
  <c r="I9" i="10"/>
  <c r="AE9" i="10"/>
  <c r="U9" i="10"/>
  <c r="H8" i="10"/>
  <c r="AF9" i="10"/>
  <c r="V9" i="10"/>
  <c r="J9" i="10"/>
  <c r="P10" i="10"/>
  <c r="Y10" i="10" s="1"/>
  <c r="F10" i="10"/>
  <c r="C11" i="10"/>
  <c r="E10" i="10"/>
  <c r="D10" i="10"/>
  <c r="AI6" i="10"/>
  <c r="AN6" i="10" s="1"/>
  <c r="AO6" i="10"/>
  <c r="AI6" i="9"/>
  <c r="AN6" i="9" s="1"/>
  <c r="AO6" i="9"/>
  <c r="T8" i="9"/>
  <c r="AA8" i="9" s="1"/>
  <c r="AK8" i="9" s="1"/>
  <c r="AP8" i="9" s="1"/>
  <c r="M12" i="9"/>
  <c r="AF9" i="9"/>
  <c r="V9" i="9"/>
  <c r="J9" i="9"/>
  <c r="P10" i="9"/>
  <c r="Y10" i="9" s="1"/>
  <c r="C11" i="9"/>
  <c r="AG9" i="9"/>
  <c r="W9" i="9"/>
  <c r="K9" i="9"/>
  <c r="H8" i="9"/>
  <c r="I9" i="9"/>
  <c r="AE9" i="9"/>
  <c r="U9" i="9"/>
  <c r="Q10" i="8"/>
  <c r="Z10" i="8" s="1"/>
  <c r="F10" i="8"/>
  <c r="C11" i="8"/>
  <c r="E10" i="8"/>
  <c r="D10" i="8"/>
  <c r="U8" i="8"/>
  <c r="AB8" i="8" s="1"/>
  <c r="AL8" i="8" s="1"/>
  <c r="AQ8" i="8" s="1"/>
  <c r="AG9" i="8"/>
  <c r="W9" i="8"/>
  <c r="J9" i="8"/>
  <c r="H8" i="8"/>
  <c r="K9" i="8"/>
  <c r="AH9" i="8"/>
  <c r="X9" i="8"/>
  <c r="M12" i="8"/>
  <c r="I9" i="8"/>
  <c r="V9" i="8"/>
  <c r="AF9" i="8"/>
  <c r="AJ6" i="8"/>
  <c r="AO6" i="8" s="1"/>
  <c r="AO7" i="6"/>
  <c r="P10" i="6"/>
  <c r="Y10" i="6" s="1"/>
  <c r="F10" i="6"/>
  <c r="E10" i="6"/>
  <c r="D10" i="6"/>
  <c r="AB7" i="6"/>
  <c r="AL7" i="6" s="1"/>
  <c r="AQ7" i="6" s="1"/>
  <c r="H8" i="6"/>
  <c r="M12" i="6"/>
  <c r="K9" i="6"/>
  <c r="AG9" i="6"/>
  <c r="W9" i="6"/>
  <c r="I9" i="6"/>
  <c r="U9" i="6"/>
  <c r="AE9" i="6"/>
  <c r="T8" i="6"/>
  <c r="AB8" i="6" s="1"/>
  <c r="AL8" i="6" s="1"/>
  <c r="AQ8" i="6" s="1"/>
  <c r="J9" i="6"/>
  <c r="AF9" i="6"/>
  <c r="V9" i="6"/>
  <c r="U9" i="3"/>
  <c r="T9" i="3" s="1"/>
  <c r="AB9" i="3" s="1"/>
  <c r="Z8" i="3"/>
  <c r="Z7" i="3"/>
  <c r="AB7" i="3"/>
  <c r="AI6" i="3"/>
  <c r="AN6" i="3" s="1"/>
  <c r="W10" i="3"/>
  <c r="AB8" i="3"/>
  <c r="V10" i="3"/>
  <c r="AD9" i="3"/>
  <c r="Y11" i="3"/>
  <c r="H9" i="3"/>
  <c r="J10" i="3"/>
  <c r="K10" i="3"/>
  <c r="C12" i="3"/>
  <c r="P12" i="3" s="1"/>
  <c r="D11" i="3"/>
  <c r="E11" i="3"/>
  <c r="F11" i="3"/>
  <c r="I10" i="3" l="1"/>
  <c r="U10" i="3"/>
  <c r="AA8" i="10"/>
  <c r="AK8" i="10" s="1"/>
  <c r="AP8" i="10" s="1"/>
  <c r="AB8" i="10"/>
  <c r="AL8" i="10" s="1"/>
  <c r="AQ8" i="10" s="1"/>
  <c r="T9" i="10"/>
  <c r="Z9" i="10" s="1"/>
  <c r="AJ9" i="10" s="1"/>
  <c r="D11" i="9"/>
  <c r="F11" i="9"/>
  <c r="E11" i="9"/>
  <c r="U9" i="8"/>
  <c r="AC9" i="8" s="1"/>
  <c r="AM9" i="8" s="1"/>
  <c r="AR9" i="8" s="1"/>
  <c r="AI7" i="10"/>
  <c r="AN7" i="10" s="1"/>
  <c r="AB8" i="9"/>
  <c r="AL8" i="9" s="1"/>
  <c r="AQ8" i="9" s="1"/>
  <c r="AJ7" i="8"/>
  <c r="AO7" i="8" s="1"/>
  <c r="T9" i="9"/>
  <c r="AA9" i="9" s="1"/>
  <c r="AK9" i="9" s="1"/>
  <c r="AP9" i="9" s="1"/>
  <c r="Z8" i="9"/>
  <c r="AJ8" i="9" s="1"/>
  <c r="AO8" i="9" s="1"/>
  <c r="AD9" i="9"/>
  <c r="AI7" i="9"/>
  <c r="AN7" i="9" s="1"/>
  <c r="Z8" i="6"/>
  <c r="AJ8" i="6" s="1"/>
  <c r="AO8" i="6" s="1"/>
  <c r="AD9" i="6"/>
  <c r="AA8" i="6"/>
  <c r="AK8" i="6" s="1"/>
  <c r="AP8" i="6" s="1"/>
  <c r="AI8" i="10"/>
  <c r="AN8" i="10" s="1"/>
  <c r="AO8" i="10"/>
  <c r="AD9" i="10"/>
  <c r="AG10" i="10"/>
  <c r="W10" i="10"/>
  <c r="K10" i="10"/>
  <c r="M13" i="10"/>
  <c r="H9" i="10"/>
  <c r="AE10" i="10"/>
  <c r="U10" i="10"/>
  <c r="I10" i="10"/>
  <c r="AF10" i="10"/>
  <c r="V10" i="10"/>
  <c r="J10" i="10"/>
  <c r="D11" i="10"/>
  <c r="E11" i="10"/>
  <c r="C12" i="10"/>
  <c r="F11" i="10"/>
  <c r="P11" i="10"/>
  <c r="Y11" i="10" s="1"/>
  <c r="C12" i="9"/>
  <c r="P11" i="9"/>
  <c r="Y11" i="9" s="1"/>
  <c r="H9" i="9"/>
  <c r="K10" i="9"/>
  <c r="AG10" i="9"/>
  <c r="W10" i="9"/>
  <c r="U10" i="9"/>
  <c r="AE10" i="9"/>
  <c r="I10" i="9"/>
  <c r="M13" i="9"/>
  <c r="AF10" i="9"/>
  <c r="V10" i="9"/>
  <c r="J10" i="9"/>
  <c r="I10" i="8"/>
  <c r="AF10" i="8"/>
  <c r="V10" i="8"/>
  <c r="H9" i="8"/>
  <c r="AC8" i="8"/>
  <c r="AM8" i="8" s="1"/>
  <c r="AR8" i="8" s="1"/>
  <c r="AA8" i="8"/>
  <c r="AK8" i="8" s="1"/>
  <c r="AA9" i="8"/>
  <c r="AK9" i="8" s="1"/>
  <c r="M13" i="8"/>
  <c r="AG10" i="8"/>
  <c r="W10" i="8"/>
  <c r="J10" i="8"/>
  <c r="D11" i="8"/>
  <c r="F11" i="8"/>
  <c r="Q11" i="8"/>
  <c r="Z11" i="8" s="1"/>
  <c r="C12" i="8"/>
  <c r="E11" i="8"/>
  <c r="AH10" i="8"/>
  <c r="X10" i="8"/>
  <c r="K10" i="8"/>
  <c r="AE9" i="8"/>
  <c r="T9" i="6"/>
  <c r="AA9" i="6" s="1"/>
  <c r="AK9" i="6" s="1"/>
  <c r="AP9" i="6" s="1"/>
  <c r="AF10" i="6"/>
  <c r="V10" i="6"/>
  <c r="J10" i="6"/>
  <c r="D11" i="6"/>
  <c r="F11" i="6"/>
  <c r="E11" i="6"/>
  <c r="P11" i="6"/>
  <c r="Y11" i="6" s="1"/>
  <c r="AI7" i="6"/>
  <c r="AN7" i="6" s="1"/>
  <c r="AE10" i="6"/>
  <c r="U10" i="6"/>
  <c r="I10" i="6"/>
  <c r="H9" i="6"/>
  <c r="M13" i="6"/>
  <c r="AG10" i="6"/>
  <c r="W10" i="6"/>
  <c r="K10" i="6"/>
  <c r="Z9" i="3"/>
  <c r="AI7" i="3"/>
  <c r="AN7" i="3" s="1"/>
  <c r="AI8" i="3"/>
  <c r="AN8" i="3" s="1"/>
  <c r="V11" i="3"/>
  <c r="AA9" i="3"/>
  <c r="U11" i="3"/>
  <c r="T10" i="3"/>
  <c r="AA10" i="3" s="1"/>
  <c r="W11" i="3"/>
  <c r="AD10" i="3"/>
  <c r="Y12" i="3"/>
  <c r="H10" i="3"/>
  <c r="J11" i="3"/>
  <c r="I11" i="3"/>
  <c r="K11" i="3"/>
  <c r="C13" i="3"/>
  <c r="F12" i="3"/>
  <c r="E12" i="3"/>
  <c r="D12" i="3"/>
  <c r="AD10" i="10" l="1"/>
  <c r="F12" i="9"/>
  <c r="E12" i="9"/>
  <c r="D12" i="9"/>
  <c r="AA9" i="10"/>
  <c r="AK9" i="10" s="1"/>
  <c r="AP9" i="10" s="1"/>
  <c r="AB9" i="10"/>
  <c r="AL9" i="10" s="1"/>
  <c r="AQ9" i="10" s="1"/>
  <c r="AB9" i="8"/>
  <c r="AL9" i="8" s="1"/>
  <c r="AQ9" i="8" s="1"/>
  <c r="AI8" i="9"/>
  <c r="AN8" i="9" s="1"/>
  <c r="T10" i="9"/>
  <c r="AB10" i="9" s="1"/>
  <c r="AL10" i="9" s="1"/>
  <c r="AQ10" i="9" s="1"/>
  <c r="AB9" i="9"/>
  <c r="AL9" i="9" s="1"/>
  <c r="AQ9" i="9" s="1"/>
  <c r="Z9" i="9"/>
  <c r="AJ9" i="9" s="1"/>
  <c r="AO9" i="9" s="1"/>
  <c r="AE10" i="8"/>
  <c r="AI8" i="6"/>
  <c r="AN8" i="6" s="1"/>
  <c r="AD10" i="6"/>
  <c r="AO9" i="10"/>
  <c r="AG11" i="10"/>
  <c r="W11" i="10"/>
  <c r="K11" i="10"/>
  <c r="AE11" i="10"/>
  <c r="U11" i="10"/>
  <c r="I11" i="10"/>
  <c r="P12" i="10"/>
  <c r="Y12" i="10" s="1"/>
  <c r="F12" i="10"/>
  <c r="C13" i="10"/>
  <c r="E12" i="10"/>
  <c r="D12" i="10"/>
  <c r="H10" i="10"/>
  <c r="AF11" i="10"/>
  <c r="V11" i="10"/>
  <c r="J11" i="10"/>
  <c r="T10" i="10"/>
  <c r="Z10" i="10" s="1"/>
  <c r="AJ10" i="10" s="1"/>
  <c r="H10" i="9"/>
  <c r="P12" i="9"/>
  <c r="Y12" i="9" s="1"/>
  <c r="C13" i="9"/>
  <c r="AD10" i="9"/>
  <c r="AE11" i="9"/>
  <c r="U11" i="9"/>
  <c r="I11" i="9"/>
  <c r="AG11" i="9"/>
  <c r="W11" i="9"/>
  <c r="K11" i="9"/>
  <c r="AF11" i="9"/>
  <c r="V11" i="9"/>
  <c r="J11" i="9"/>
  <c r="AP9" i="8"/>
  <c r="F12" i="8"/>
  <c r="D12" i="8"/>
  <c r="C13" i="8"/>
  <c r="E12" i="8"/>
  <c r="Q12" i="8"/>
  <c r="Z12" i="8" s="1"/>
  <c r="U10" i="8"/>
  <c r="AA10" i="8" s="1"/>
  <c r="AK10" i="8" s="1"/>
  <c r="AF11" i="8"/>
  <c r="V11" i="8"/>
  <c r="I11" i="8"/>
  <c r="AH11" i="8"/>
  <c r="X11" i="8"/>
  <c r="K11" i="8"/>
  <c r="AJ8" i="8"/>
  <c r="AO8" i="8" s="1"/>
  <c r="AP8" i="8"/>
  <c r="H10" i="8"/>
  <c r="AG11" i="8"/>
  <c r="W11" i="8"/>
  <c r="J11" i="8"/>
  <c r="AF11" i="6"/>
  <c r="V11" i="6"/>
  <c r="J11" i="6"/>
  <c r="F12" i="6"/>
  <c r="D12" i="6"/>
  <c r="E12" i="6"/>
  <c r="P12" i="6"/>
  <c r="Y12" i="6" s="1"/>
  <c r="H10" i="6"/>
  <c r="T10" i="6"/>
  <c r="AA10" i="6" s="1"/>
  <c r="AK10" i="6" s="1"/>
  <c r="AP10" i="6" s="1"/>
  <c r="AG11" i="6"/>
  <c r="W11" i="6"/>
  <c r="K11" i="6"/>
  <c r="AE11" i="6"/>
  <c r="U11" i="6"/>
  <c r="I11" i="6"/>
  <c r="AB9" i="6"/>
  <c r="AL9" i="6" s="1"/>
  <c r="AQ9" i="6" s="1"/>
  <c r="Z9" i="6"/>
  <c r="AJ9" i="6" s="1"/>
  <c r="I4" i="11"/>
  <c r="P13" i="3"/>
  <c r="Y13" i="3" s="1"/>
  <c r="T11" i="3"/>
  <c r="AA11" i="3" s="1"/>
  <c r="Z10" i="3"/>
  <c r="AB10" i="3"/>
  <c r="AD11" i="3"/>
  <c r="V12" i="3"/>
  <c r="W12" i="3"/>
  <c r="U12" i="3"/>
  <c r="AI9" i="3"/>
  <c r="AN9" i="3" s="1"/>
  <c r="K12" i="3"/>
  <c r="I12" i="3"/>
  <c r="J12" i="3"/>
  <c r="H11" i="3"/>
  <c r="F13" i="3"/>
  <c r="L4" i="11" s="1"/>
  <c r="E13" i="3"/>
  <c r="K4" i="11" s="1"/>
  <c r="D13" i="3"/>
  <c r="J4" i="11" s="1"/>
  <c r="AI9" i="10" l="1"/>
  <c r="AN9" i="10" s="1"/>
  <c r="F13" i="9"/>
  <c r="E13" i="9"/>
  <c r="D13" i="9"/>
  <c r="AJ9" i="8"/>
  <c r="AO9" i="8" s="1"/>
  <c r="AD11" i="10"/>
  <c r="Z10" i="9"/>
  <c r="AJ10" i="9" s="1"/>
  <c r="AO10" i="9" s="1"/>
  <c r="AC10" i="8"/>
  <c r="AM10" i="8" s="1"/>
  <c r="AR10" i="8" s="1"/>
  <c r="AA10" i="9"/>
  <c r="AK10" i="9" s="1"/>
  <c r="AP10" i="9" s="1"/>
  <c r="AD11" i="9"/>
  <c r="AI9" i="9"/>
  <c r="AN9" i="9" s="1"/>
  <c r="T11" i="9"/>
  <c r="AB11" i="9" s="1"/>
  <c r="U11" i="8"/>
  <c r="AB11" i="8" s="1"/>
  <c r="AL11" i="8" s="1"/>
  <c r="AQ11" i="8" s="1"/>
  <c r="AB10" i="8"/>
  <c r="AL10" i="8" s="1"/>
  <c r="AQ10" i="8" s="1"/>
  <c r="AE11" i="8"/>
  <c r="AO10" i="10"/>
  <c r="H11" i="10"/>
  <c r="T11" i="10"/>
  <c r="AB11" i="10" s="1"/>
  <c r="AL11" i="10" s="1"/>
  <c r="AQ11" i="10" s="1"/>
  <c r="AE12" i="10"/>
  <c r="U12" i="10"/>
  <c r="I12" i="10"/>
  <c r="V12" i="10"/>
  <c r="J12" i="10"/>
  <c r="AF12" i="10"/>
  <c r="K12" i="10"/>
  <c r="AG12" i="10"/>
  <c r="W12" i="10"/>
  <c r="AB10" i="10"/>
  <c r="AL10" i="10" s="1"/>
  <c r="AQ10" i="10" s="1"/>
  <c r="F13" i="10"/>
  <c r="F18" i="10" s="1"/>
  <c r="L8" i="11" s="1"/>
  <c r="E13" i="10"/>
  <c r="E18" i="10" s="1"/>
  <c r="K8" i="11" s="1"/>
  <c r="D13" i="10"/>
  <c r="D18" i="10" s="1"/>
  <c r="J8" i="11" s="1"/>
  <c r="P13" i="10"/>
  <c r="Y13" i="10" s="1"/>
  <c r="I8" i="11"/>
  <c r="AA10" i="10"/>
  <c r="AK10" i="10" s="1"/>
  <c r="AP10" i="10" s="1"/>
  <c r="H11" i="9"/>
  <c r="J12" i="9"/>
  <c r="AF12" i="9"/>
  <c r="V12" i="9"/>
  <c r="P13" i="9"/>
  <c r="Y13" i="9" s="1"/>
  <c r="I7" i="11"/>
  <c r="AE12" i="9"/>
  <c r="U12" i="9"/>
  <c r="I12" i="9"/>
  <c r="AL11" i="9"/>
  <c r="AQ11" i="9" s="1"/>
  <c r="K12" i="9"/>
  <c r="AG12" i="9"/>
  <c r="W12" i="9"/>
  <c r="Z11" i="9"/>
  <c r="AJ11" i="9" s="1"/>
  <c r="AP10" i="8"/>
  <c r="Q13" i="8"/>
  <c r="F13" i="8"/>
  <c r="E13" i="8"/>
  <c r="D13" i="8"/>
  <c r="I6" i="11"/>
  <c r="AF12" i="8"/>
  <c r="V12" i="8"/>
  <c r="I12" i="8"/>
  <c r="J12" i="8"/>
  <c r="AG12" i="8"/>
  <c r="W12" i="8"/>
  <c r="K12" i="8"/>
  <c r="X12" i="8"/>
  <c r="AH12" i="8"/>
  <c r="H11" i="8"/>
  <c r="AI9" i="6"/>
  <c r="AN9" i="6" s="1"/>
  <c r="AO9" i="6"/>
  <c r="K12" i="6"/>
  <c r="W12" i="6"/>
  <c r="AG12" i="6"/>
  <c r="T11" i="6"/>
  <c r="Z11" i="6" s="1"/>
  <c r="AJ11" i="6" s="1"/>
  <c r="Z10" i="6"/>
  <c r="AJ10" i="6" s="1"/>
  <c r="AB10" i="6"/>
  <c r="AL10" i="6" s="1"/>
  <c r="AQ10" i="6" s="1"/>
  <c r="J12" i="6"/>
  <c r="AF12" i="6"/>
  <c r="V12" i="6"/>
  <c r="H11" i="6"/>
  <c r="AD11" i="6"/>
  <c r="F13" i="6"/>
  <c r="E13" i="6"/>
  <c r="D13" i="6"/>
  <c r="P13" i="6"/>
  <c r="Y13" i="6" s="1"/>
  <c r="I5" i="11"/>
  <c r="AE12" i="6"/>
  <c r="U12" i="6"/>
  <c r="I12" i="6"/>
  <c r="Z11" i="3"/>
  <c r="AB11" i="3"/>
  <c r="AI10" i="3"/>
  <c r="AN10" i="3" s="1"/>
  <c r="AD12" i="3"/>
  <c r="V13" i="3"/>
  <c r="U13" i="3"/>
  <c r="W13" i="3"/>
  <c r="T12" i="3"/>
  <c r="J13" i="3"/>
  <c r="I13" i="3"/>
  <c r="K13" i="3"/>
  <c r="H12" i="3"/>
  <c r="Z13" i="8" l="1"/>
  <c r="AA11" i="8"/>
  <c r="AK11" i="8" s="1"/>
  <c r="AI10" i="9"/>
  <c r="AN10" i="9" s="1"/>
  <c r="Z11" i="10"/>
  <c r="AJ11" i="10" s="1"/>
  <c r="AO11" i="10" s="1"/>
  <c r="AA11" i="9"/>
  <c r="AK11" i="9" s="1"/>
  <c r="AP11" i="9" s="1"/>
  <c r="AI11" i="3"/>
  <c r="AN11" i="3" s="1"/>
  <c r="AC11" i="8"/>
  <c r="AM11" i="8" s="1"/>
  <c r="AR11" i="8" s="1"/>
  <c r="AA11" i="10"/>
  <c r="AK11" i="10" s="1"/>
  <c r="AP11" i="10" s="1"/>
  <c r="T12" i="10"/>
  <c r="AB12" i="10" s="1"/>
  <c r="AL12" i="10" s="1"/>
  <c r="AQ12" i="10" s="1"/>
  <c r="AJ10" i="8"/>
  <c r="AO10" i="8" s="1"/>
  <c r="AD12" i="9"/>
  <c r="AB11" i="6"/>
  <c r="AL11" i="6" s="1"/>
  <c r="AQ11" i="6" s="1"/>
  <c r="T12" i="6"/>
  <c r="AB12" i="6" s="1"/>
  <c r="AL12" i="6" s="1"/>
  <c r="AQ12" i="6" s="1"/>
  <c r="AA11" i="6"/>
  <c r="AK11" i="6" s="1"/>
  <c r="AP11" i="6" s="1"/>
  <c r="AG13" i="10"/>
  <c r="W13" i="10"/>
  <c r="K13" i="10"/>
  <c r="AD12" i="10"/>
  <c r="I13" i="10"/>
  <c r="AE13" i="10"/>
  <c r="AD13" i="10" s="1"/>
  <c r="U13" i="10"/>
  <c r="J13" i="10"/>
  <c r="AF13" i="10"/>
  <c r="V13" i="10"/>
  <c r="H12" i="10"/>
  <c r="AI10" i="10"/>
  <c r="AN10" i="10" s="1"/>
  <c r="AO11" i="9"/>
  <c r="AF13" i="9"/>
  <c r="V13" i="9"/>
  <c r="J13" i="9"/>
  <c r="K7" i="11"/>
  <c r="H12" i="9"/>
  <c r="W13" i="9"/>
  <c r="AG13" i="9"/>
  <c r="K13" i="9"/>
  <c r="L7" i="11"/>
  <c r="T12" i="9"/>
  <c r="I13" i="9"/>
  <c r="AE13" i="9"/>
  <c r="U13" i="9"/>
  <c r="J7" i="11"/>
  <c r="I13" i="8"/>
  <c r="V13" i="8"/>
  <c r="AF13" i="8"/>
  <c r="J6" i="11"/>
  <c r="AG13" i="8"/>
  <c r="W13" i="8"/>
  <c r="J13" i="8"/>
  <c r="K6" i="11"/>
  <c r="H12" i="8"/>
  <c r="AH13" i="8"/>
  <c r="X13" i="8"/>
  <c r="K13" i="8"/>
  <c r="L6" i="11"/>
  <c r="U12" i="8"/>
  <c r="AA12" i="8" s="1"/>
  <c r="AK12" i="8" s="1"/>
  <c r="AE12" i="8"/>
  <c r="H12" i="6"/>
  <c r="K13" i="6"/>
  <c r="AG13" i="6"/>
  <c r="W13" i="6"/>
  <c r="L5" i="11"/>
  <c r="J13" i="6"/>
  <c r="AF13" i="6"/>
  <c r="V13" i="6"/>
  <c r="K5" i="11"/>
  <c r="AD12" i="6"/>
  <c r="AI10" i="6"/>
  <c r="AN10" i="6" s="1"/>
  <c r="AO10" i="6"/>
  <c r="I13" i="6"/>
  <c r="U13" i="6"/>
  <c r="AE13" i="6"/>
  <c r="J5" i="11"/>
  <c r="AO11" i="6"/>
  <c r="AD13" i="3"/>
  <c r="Z12" i="3"/>
  <c r="AA12" i="3"/>
  <c r="T13" i="3"/>
  <c r="AB13" i="3" s="1"/>
  <c r="AB12" i="3"/>
  <c r="H13" i="3"/>
  <c r="AJ11" i="8" l="1"/>
  <c r="AO11" i="8" s="1"/>
  <c r="AI11" i="9"/>
  <c r="AN11" i="9" s="1"/>
  <c r="AI11" i="6"/>
  <c r="AN11" i="6" s="1"/>
  <c r="Z12" i="6"/>
  <c r="AJ12" i="6" s="1"/>
  <c r="AO12" i="6" s="1"/>
  <c r="AP11" i="8"/>
  <c r="T13" i="10"/>
  <c r="AA13" i="10" s="1"/>
  <c r="AK13" i="10" s="1"/>
  <c r="AP13" i="10" s="1"/>
  <c r="Z12" i="10"/>
  <c r="AJ12" i="10" s="1"/>
  <c r="AI12" i="10" s="1"/>
  <c r="AN12" i="10" s="1"/>
  <c r="AI11" i="10"/>
  <c r="AN11" i="10" s="1"/>
  <c r="AA12" i="10"/>
  <c r="AK12" i="10" s="1"/>
  <c r="AP12" i="10" s="1"/>
  <c r="AD13" i="9"/>
  <c r="AE13" i="8"/>
  <c r="AB12" i="8"/>
  <c r="AL12" i="8" s="1"/>
  <c r="AQ12" i="8" s="1"/>
  <c r="AC12" i="8"/>
  <c r="AM12" i="8" s="1"/>
  <c r="AR12" i="8" s="1"/>
  <c r="T13" i="6"/>
  <c r="AB13" i="6" s="1"/>
  <c r="AL13" i="6" s="1"/>
  <c r="AQ13" i="6" s="1"/>
  <c r="AA12" i="6"/>
  <c r="AK12" i="6" s="1"/>
  <c r="AP12" i="6" s="1"/>
  <c r="H13" i="10"/>
  <c r="H13" i="9"/>
  <c r="Z12" i="9"/>
  <c r="AJ12" i="9" s="1"/>
  <c r="AB12" i="9"/>
  <c r="AL12" i="9" s="1"/>
  <c r="AQ12" i="9" s="1"/>
  <c r="T13" i="9"/>
  <c r="AA12" i="9"/>
  <c r="AK12" i="9" s="1"/>
  <c r="AP12" i="9" s="1"/>
  <c r="AP12" i="8"/>
  <c r="U13" i="8"/>
  <c r="H13" i="8"/>
  <c r="AD13" i="6"/>
  <c r="H13" i="6"/>
  <c r="Z13" i="3"/>
  <c r="AI12" i="3"/>
  <c r="AN12" i="3" s="1"/>
  <c r="AA13" i="3"/>
  <c r="AB13" i="10" l="1"/>
  <c r="AL13" i="10" s="1"/>
  <c r="AQ13" i="10" s="1"/>
  <c r="AA13" i="6"/>
  <c r="AK13" i="6" s="1"/>
  <c r="AP13" i="6" s="1"/>
  <c r="AI12" i="6"/>
  <c r="AN12" i="6" s="1"/>
  <c r="Z13" i="6"/>
  <c r="AJ13" i="6" s="1"/>
  <c r="AI13" i="6" s="1"/>
  <c r="AN13" i="6" s="1"/>
  <c r="Z13" i="10"/>
  <c r="AJ13" i="10" s="1"/>
  <c r="F5" i="11"/>
  <c r="P5" i="11" s="1"/>
  <c r="F17" i="10"/>
  <c r="G8" i="11" s="1"/>
  <c r="Q8" i="11" s="1"/>
  <c r="AO12" i="10"/>
  <c r="G5" i="11"/>
  <c r="Q5" i="11" s="1"/>
  <c r="E17" i="10"/>
  <c r="F8" i="11" s="1"/>
  <c r="P8" i="11" s="1"/>
  <c r="G4" i="11"/>
  <c r="Q4" i="11" s="1"/>
  <c r="AJ12" i="8"/>
  <c r="AO12" i="8" s="1"/>
  <c r="AI13" i="10"/>
  <c r="AN13" i="10" s="1"/>
  <c r="C17" i="10" s="1"/>
  <c r="AO13" i="10"/>
  <c r="AI12" i="9"/>
  <c r="AN12" i="9" s="1"/>
  <c r="AO12" i="9"/>
  <c r="AA13" i="9"/>
  <c r="AK13" i="9" s="1"/>
  <c r="AP13" i="9" s="1"/>
  <c r="Z13" i="9"/>
  <c r="AJ13" i="9" s="1"/>
  <c r="AB13" i="9"/>
  <c r="AL13" i="9" s="1"/>
  <c r="AQ13" i="9" s="1"/>
  <c r="AA13" i="8"/>
  <c r="AK13" i="8" s="1"/>
  <c r="AC13" i="8"/>
  <c r="AM13" i="8" s="1"/>
  <c r="AR13" i="8" s="1"/>
  <c r="AB13" i="8"/>
  <c r="AL13" i="8" s="1"/>
  <c r="AQ13" i="8" s="1"/>
  <c r="AO13" i="6"/>
  <c r="AI13" i="3"/>
  <c r="AN13" i="3" s="1"/>
  <c r="C17" i="3" l="1"/>
  <c r="C19" i="3" s="1"/>
  <c r="E19" i="10"/>
  <c r="E4" i="11"/>
  <c r="O4" i="11" s="1"/>
  <c r="D17" i="10"/>
  <c r="E8" i="11" s="1"/>
  <c r="O8" i="11" s="1"/>
  <c r="C19" i="10"/>
  <c r="D8" i="11"/>
  <c r="N8" i="11" s="1"/>
  <c r="F4" i="11"/>
  <c r="P4" i="11" s="1"/>
  <c r="G7" i="11"/>
  <c r="Q7" i="11" s="1"/>
  <c r="F19" i="10"/>
  <c r="E5" i="11"/>
  <c r="O5" i="11" s="1"/>
  <c r="F7" i="11"/>
  <c r="P7" i="11" s="1"/>
  <c r="G6" i="11"/>
  <c r="Q6" i="11" s="1"/>
  <c r="F6" i="11"/>
  <c r="P6" i="11" s="1"/>
  <c r="AI13" i="9"/>
  <c r="AN13" i="9" s="1"/>
  <c r="AO13" i="9"/>
  <c r="AJ13" i="8"/>
  <c r="AO13" i="8" s="1"/>
  <c r="AP13" i="8"/>
  <c r="D5" i="11" l="1"/>
  <c r="N5" i="11" s="1"/>
  <c r="E7" i="11"/>
  <c r="O7" i="11" s="1"/>
  <c r="D19" i="10"/>
  <c r="D7" i="11"/>
  <c r="N7" i="11" s="1"/>
  <c r="D4" i="11"/>
  <c r="N4" i="11" s="1"/>
  <c r="E6" i="11"/>
  <c r="O6" i="11" s="1"/>
  <c r="D6" i="11"/>
  <c r="N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tc={932F5544-451F-EE49-B235-0592523531E3}</author>
  </authors>
  <commentList>
    <comment ref="Q14" authorId="0" shapeId="0" xr:uid="{932F5544-451F-EE49-B235-0592523531E3}">
      <text>
        <t>[Threaded comment]
Your version of Excel allows you to read this threaded comment; however, any edits to it will get removed if the file is opened in a newer version of Excel. Learn more: https://go.microsoft.com/fwlink/?linkid=870924
Comment:
    These inputs should be part of the QP, right?</t>
      </text>
    </comment>
  </commentList>
</comments>
</file>

<file path=xl/sharedStrings.xml><?xml version="1.0" encoding="utf-8"?>
<sst xmlns="http://schemas.openxmlformats.org/spreadsheetml/2006/main" count="367" uniqueCount="100">
  <si>
    <t>Sales target in year 1</t>
  </si>
  <si>
    <t xml:space="preserve">y-o-y growth in sales target </t>
  </si>
  <si>
    <t>INR lacs</t>
  </si>
  <si>
    <t xml:space="preserve">Employee cost in an an year </t>
  </si>
  <si>
    <t xml:space="preserve">Salary inflation </t>
  </si>
  <si>
    <t>Fixed - employees</t>
  </si>
  <si>
    <t xml:space="preserve">Commsion rate payable </t>
  </si>
  <si>
    <t>p.a.</t>
  </si>
  <si>
    <t xml:space="preserve">Variable staff  salary cost </t>
  </si>
  <si>
    <t>Year 1-3</t>
  </si>
  <si>
    <t>Year 4-6</t>
  </si>
  <si>
    <t>Year 7-10</t>
  </si>
  <si>
    <t xml:space="preserve">Initail set-up cost </t>
  </si>
  <si>
    <t>Product A</t>
  </si>
  <si>
    <t>Product B</t>
  </si>
  <si>
    <t>Product C</t>
  </si>
  <si>
    <t xml:space="preserve">% of total sales amount </t>
  </si>
  <si>
    <t>A</t>
  </si>
  <si>
    <t>B</t>
  </si>
  <si>
    <t>C</t>
  </si>
  <si>
    <t xml:space="preserve">Year </t>
  </si>
  <si>
    <t>% of the sales</t>
  </si>
  <si>
    <t>Total</t>
  </si>
  <si>
    <t xml:space="preserve">Fixed salary cost </t>
  </si>
  <si>
    <t xml:space="preserve">Variable cost amount </t>
  </si>
  <si>
    <t xml:space="preserve">Initial set up cost </t>
  </si>
  <si>
    <t xml:space="preserve">Set up cost allocation </t>
  </si>
  <si>
    <t xml:space="preserve">Discount rate </t>
  </si>
  <si>
    <t xml:space="preserve">Average premium </t>
  </si>
  <si>
    <t xml:space="preserve">Number of policies sold </t>
  </si>
  <si>
    <t>Expense calculation (amounts in INR lacs)</t>
  </si>
  <si>
    <t>Commission (in INR lacs)</t>
  </si>
  <si>
    <t>Sales (in INR lacs)</t>
  </si>
  <si>
    <t>Insurance cost (in INR lacs)</t>
  </si>
  <si>
    <t>Total cost (in INR lacs)</t>
  </si>
  <si>
    <t>Profit (in INR lacs)</t>
  </si>
  <si>
    <t>NPV profit (INR lacs)</t>
  </si>
  <si>
    <t>NPV premium (INR lacs)</t>
  </si>
  <si>
    <t xml:space="preserve">The insurer wants to run it off over a period of 5 years in straight line method </t>
  </si>
  <si>
    <t>Other costs</t>
  </si>
  <si>
    <t>Marketing - Variable cost</t>
  </si>
  <si>
    <t xml:space="preserve">of the total annual premium </t>
  </si>
  <si>
    <t xml:space="preserve">Variable cost % - salary </t>
  </si>
  <si>
    <t xml:space="preserve">Variable cost % - marketing </t>
  </si>
  <si>
    <t xml:space="preserve">Profit Margin % </t>
  </si>
  <si>
    <t xml:space="preserve">Scenario 1 </t>
  </si>
  <si>
    <t xml:space="preserve">Premium growth rate </t>
  </si>
  <si>
    <t>Scenario 4</t>
  </si>
  <si>
    <t>Applicable discount rate (forward rate)</t>
  </si>
  <si>
    <t>Scenario 3</t>
  </si>
  <si>
    <t xml:space="preserve">Fixed marketing cost </t>
  </si>
  <si>
    <t>Cost (INR lacs)</t>
  </si>
  <si>
    <t xml:space="preserve">Variable marketing cost </t>
  </si>
  <si>
    <t xml:space="preserve">Forward rate </t>
  </si>
  <si>
    <t xml:space="preserve">Discont factor </t>
  </si>
  <si>
    <t>Base</t>
  </si>
  <si>
    <t>Scenario 1</t>
  </si>
  <si>
    <t>Scenario 2</t>
  </si>
  <si>
    <t>Scenario number</t>
  </si>
  <si>
    <t xml:space="preserve">Description </t>
  </si>
  <si>
    <t>Increase in sales</t>
  </si>
  <si>
    <t xml:space="preserve">Making marketing activity fixed cost instead of variable </t>
  </si>
  <si>
    <t xml:space="preserve">Changing product mix </t>
  </si>
  <si>
    <t>Using dicount curve</t>
  </si>
  <si>
    <t>NPV profit</t>
  </si>
  <si>
    <t>NPV premium</t>
  </si>
  <si>
    <t>Profit margin %</t>
  </si>
  <si>
    <t>Purpose</t>
  </si>
  <si>
    <t>Other inputs and assumptions</t>
  </si>
  <si>
    <t>Methodology</t>
  </si>
  <si>
    <t>Results</t>
  </si>
  <si>
    <t>Observation</t>
  </si>
  <si>
    <t>Conclusion</t>
  </si>
  <si>
    <t xml:space="preserve">Next steps </t>
  </si>
  <si>
    <t xml:space="preserve">Check </t>
  </si>
  <si>
    <t>Check ---&gt;</t>
  </si>
  <si>
    <t>The following additional information/assumption was used
(1) There are no other costs or expenses besides the ones provided
(2) Taxes have been ignored
(3) All cashflows for a year - premium, expenses, commissions and insurance cost represent the value at the start of the year. Hence, they are discounted accordingly.</t>
  </si>
  <si>
    <t>Scenarios tested</t>
  </si>
  <si>
    <t>For each of the step - either first the total value is calculated and then split into the products or first the product wise value is calculated and then totalled up.</t>
  </si>
  <si>
    <t>The following results were obtained in the base case</t>
  </si>
  <si>
    <t xml:space="preserve">The government organisation is planning to launch certain insurance products to the public. For the same it has designed three separate products : A, B and C. Before launching the products, the organisation wants to analyse the profitability from the business based on certain inputs and assumptions. 
The exercise includes the following objectives :
•	Calculating the expense cost and commission (total as well as product wise split) over the 10 year protection period based on the inputs provided by the Finance team
•	Combining the above with the insurance cost for these products to calculate total expected outflows from the business
•	Calculating profit cashflows over the projection period using the premium income and the expected cashflows.
•	Calculating PV profits, PV premium and % profit margin for the business is being done to determine the net profitability from these there products (separately as well as combined)
•	Show the impact of changing a few parameters and approach and understanding how would profitability move to help the organisation take effective decisions
</t>
  </si>
  <si>
    <t xml:space="preserve">Inputs and assumptions </t>
  </si>
  <si>
    <r>
      <t xml:space="preserve">The following information has been obtained from the Finance team - and used in the base scenario
•	Sales target : 
- Sales target in the first year is assumed to be INR 40,000 lacs in the first year of sales and thereafter assumed to grow at a compound rate of 12% p.a.. The sales target represents the premium to be collected (net of any taxes)
- % share in the premium collected for the three products (A, B and C) year wise
</t>
    </r>
    <r>
      <rPr>
        <sz val="11"/>
        <color rgb="FFFF0000"/>
        <rFont val="Calibri"/>
        <family val="2"/>
        <scheme val="minor"/>
      </rPr>
      <t xml:space="preserve">A check was done to ensure the total product share of A+B+C equals to 100%
</t>
    </r>
    <r>
      <rPr>
        <sz val="11"/>
        <color theme="1"/>
        <rFont val="Calibri"/>
        <family val="2"/>
        <scheme val="minor"/>
      </rPr>
      <t xml:space="preserve">
•	Expenses 
- Fixed cost (in year 1 and  inflation rate for future years )
- Initial set-up cost - INR 1500 lacs, assumed to be spread over first 5 years.
- Variable salary cost (% of the premium amount to be collected)
- Commissions rate payable – product wise 
 - Other marketing cost (5% of the premium to be collected is assumed to be spent on marketing activities every year)
•	Insurance cost - % of premium which will be used to meet the claims cost under the policy (product wise)</t>
    </r>
    <r>
      <rPr>
        <sz val="11"/>
        <color rgb="FFFF0000"/>
        <rFont val="Calibri"/>
        <family val="2"/>
        <scheme val="minor"/>
      </rPr>
      <t xml:space="preserve">
</t>
    </r>
    <r>
      <rPr>
        <sz val="11"/>
        <color theme="1"/>
        <rFont val="Calibri"/>
        <family val="2"/>
        <scheme val="minor"/>
      </rPr>
      <t xml:space="preserve">
•	Average expected premium amount per policy for each product 
•	Discount rate (single rate) used to calculate the Present value of profits and of premium.</t>
    </r>
  </si>
  <si>
    <t xml:space="preserve">Check : A check was done to ensure the total initial set up cost is currently run off over the first 5 years.
Check : A reasonableness check was done to ensure all values (except fixed cost) should increase y-o-y as the total sales volume increases. </t>
  </si>
  <si>
    <t>The following table and graphs show how the results change under the scenarios tested</t>
  </si>
  <si>
    <t>Scenario wise observation</t>
  </si>
  <si>
    <t>Expense (in INR lacs)</t>
  </si>
  <si>
    <t xml:space="preserve">The following scenarios have also been tested - along with relevant inputs 
•	Increasing the size of the business by increasing the yearly premium growth rate from 12% in base to 15%
•	Consider outsourcing the marketing activity, moving it from variable to fixed cost. The external vendor will charge INR2500 lacs up to year 5 and thereafter INR 3600, as the volume increases
•	Increasing the sales % of the product with a higher profit margin %
•	Using a curve (time dependent discount rate) to discount the Premium and profit cashflows, instead of a single rate.
These scenarios have been independently tested over the base. No scenarios have been combined. </t>
  </si>
  <si>
    <t>Other insurance cost (% of the total sales amount)</t>
  </si>
  <si>
    <t xml:space="preserve">Product mix - % of total sales amount </t>
  </si>
  <si>
    <r>
      <rPr>
        <b/>
        <sz val="11"/>
        <color theme="1"/>
        <rFont val="Calibri"/>
        <family val="2"/>
        <scheme val="minor"/>
      </rPr>
      <t xml:space="preserve">Scenario 4 </t>
    </r>
    <r>
      <rPr>
        <sz val="11"/>
        <color theme="1"/>
        <rFont val="Calibri"/>
        <family val="2"/>
        <scheme val="minor"/>
      </rPr>
      <t xml:space="preserve">- There is not much change by using a discount curve instead of a flat rate as the flat rate is nearly the average of the curve. Further, the actual profits will not change with this. </t>
    </r>
  </si>
  <si>
    <r>
      <t xml:space="preserve">The calculations are done in the following order
1. Premium target or the sales amount - This is calculated using the first year premium, growing at the growth rate provided. </t>
    </r>
    <r>
      <rPr>
        <sz val="11"/>
        <color theme="4"/>
        <rFont val="Calibri"/>
        <family val="2"/>
        <scheme val="minor"/>
      </rPr>
      <t>Under Scenario 1 - the value of growth rate used is increased</t>
    </r>
    <r>
      <rPr>
        <sz val="11"/>
        <color theme="1"/>
        <rFont val="Calibri"/>
        <family val="2"/>
        <scheme val="minor"/>
      </rPr>
      <t xml:space="preserve">. Then the total premium split into three products based on the mix provided. </t>
    </r>
    <r>
      <rPr>
        <sz val="11"/>
        <color theme="4"/>
        <rFont val="Calibri"/>
        <family val="2"/>
        <scheme val="minor"/>
      </rPr>
      <t>Under Scenario 3, the mix ratio is changed.</t>
    </r>
    <r>
      <rPr>
        <sz val="11"/>
        <color theme="1"/>
        <rFont val="Calibri"/>
        <family val="2"/>
        <scheme val="minor"/>
      </rPr>
      <t xml:space="preserve">
2. Commission rate - the product wise premium amounts are multiplied by their corresponding commissions rate 
3. Expenses - 
- Fixed cost - Starting with the year 1 cost and then inflating at the given inflation rate. 
-Variable salary cost - Multiplying the % of variable cost to the total premium for each year. </t>
    </r>
    <r>
      <rPr>
        <sz val="11"/>
        <color theme="4"/>
        <rFont val="Calibri"/>
        <family val="2"/>
        <scheme val="minor"/>
      </rPr>
      <t>Under scenario 2, this is changed. Rather than a % of premium, a fixed amount is used.</t>
    </r>
    <r>
      <rPr>
        <sz val="11"/>
        <color theme="1"/>
        <rFont val="Calibri"/>
        <family val="2"/>
        <scheme val="minor"/>
      </rPr>
      <t xml:space="preserve">
-Marketing cost - Multiplying the % of marketing cost to the total premium for each year
- Apportioned value for initial set-up cost - Dividing the initial set up cost by the number of years to spread
4. Average number of policies to be sold : used to apportion the cost in all except scenario 2 - For this the total premium to be collected each year for a particular product is divided by the average premium per policy for that product, provided in the input 
5. Insurance cost - Product wise premium is multiplied with its given Insurance cost ratio each year.
6. Total cost = Insurance cost + expenses + commissions 
7. Profit = Sales amount - Total cost
8. Discounted value of profits and premium - present value is calculated by discounting the year wise cashflows by the given discount rate assuming the cashflows represent the value at the end of each year using Excel's NPV formula. </t>
    </r>
    <r>
      <rPr>
        <sz val="11"/>
        <color theme="4"/>
        <rFont val="Calibri"/>
        <family val="2"/>
        <scheme val="minor"/>
      </rPr>
      <t>Under Scenario 4 - instead of a flat rate, a curve is used for discounting. From the curve, the discount factor is calculated as : Discount factor for year t cashflows = Discount factor at t-1 / (1 + Forward rate for year t)</t>
    </r>
    <r>
      <rPr>
        <sz val="11"/>
        <color theme="1"/>
        <rFont val="Calibri"/>
        <family val="2"/>
        <scheme val="minor"/>
      </rPr>
      <t xml:space="preserve">
9. Profit Margin = Present value of the profits/ Present value of the premium; </t>
    </r>
  </si>
  <si>
    <r>
      <rPr>
        <b/>
        <sz val="11"/>
        <color theme="1"/>
        <rFont val="Calibri"/>
        <family val="2"/>
        <scheme val="minor"/>
      </rPr>
      <t xml:space="preserve">Base </t>
    </r>
    <r>
      <rPr>
        <sz val="11"/>
        <color theme="1"/>
        <rFont val="Calibri"/>
        <family val="2"/>
        <scheme val="minor"/>
      </rPr>
      <t>- ~ 70% of the premium is used top cover the insurance cost, ~5% in commissions and ~ 20-10% goes to meet the expenses. 
Because of fixed expenses not changing with increase in sales volume and some improvement in the insurance cost over the years, the profit margin in later years is more than the initial years. Product C shows loss. while maximum profit % is obtained on product A. This is mainly happening because the average premium size for C is lowest and hence, it is sharing a larger share of the fixed cost. Besides, the commission rate for C is also highest - but it also has the lowest insurance cost .</t>
    </r>
  </si>
  <si>
    <r>
      <rPr>
        <b/>
        <sz val="11"/>
        <color theme="1"/>
        <rFont val="Calibri"/>
        <family val="2"/>
        <scheme val="minor"/>
      </rPr>
      <t xml:space="preserve">Scenario 1 </t>
    </r>
    <r>
      <rPr>
        <sz val="11"/>
        <color theme="1"/>
        <rFont val="Calibri"/>
        <family val="2"/>
        <scheme val="minor"/>
      </rPr>
      <t>- By increasing the growth rate, the is some improvement in % profits margin mainly because fixed expenses do not increase and the % of fixed expenses to the premium reduces. The change is on aggregate profit level which is split over the 3 products similarly. The amount of profits is maximum in this scenario because the total sales volume has increased</t>
    </r>
  </si>
  <si>
    <r>
      <rPr>
        <b/>
        <sz val="11"/>
        <color theme="1"/>
        <rFont val="Calibri"/>
        <family val="2"/>
        <scheme val="minor"/>
      </rPr>
      <t>Scenario 2</t>
    </r>
    <r>
      <rPr>
        <sz val="11"/>
        <color theme="1"/>
        <rFont val="Calibri"/>
        <family val="2"/>
        <scheme val="minor"/>
      </rPr>
      <t xml:space="preserve"> - This scenario shows the maximum % profit margin. The market cost the external vendor would charge is considerably low than keeping it inhouse. The company should definitely explore this option, while making sure the quality of marketing is good and there are no other risks. </t>
    </r>
  </si>
  <si>
    <r>
      <rPr>
        <b/>
        <sz val="11"/>
        <color theme="1"/>
        <rFont val="Calibri"/>
        <family val="2"/>
        <scheme val="minor"/>
      </rPr>
      <t>Scenario 3</t>
    </r>
    <r>
      <rPr>
        <sz val="11"/>
        <color theme="1"/>
        <rFont val="Calibri"/>
        <family val="2"/>
        <scheme val="minor"/>
      </rPr>
      <t xml:space="preserve"> - By changing product mix, there is a marginal increase in the profits because the commissions are highest for product C and now we have reduced its share. However, the insurance cost for Product C was also lowest. Hence, not much impact at aggregate level. </t>
    </r>
  </si>
  <si>
    <t>Product C is yielding loss in every scenario. Other factors must be considered before deciding whether to sell or not sell the product, e.g. - Market need, Effect on the fixed cost, effect on the goodwill of the organisaion.
In terms of profits - The organisation should explore a mix of Scenario 1 and Scenario 2 - to increase profits both in amount as well as % terms.</t>
  </si>
  <si>
    <t xml:space="preserve">and </t>
  </si>
  <si>
    <t>1. Discuss with the Finance on the possibility of expense reduction
2. Calculate the profit post taxation
3. Get the insurance cost numbers peer reviewed
4. Get the model peer reviewed
5. Collect industry benchmarking data around the profitability numbers for similar products
6. Collect industry benchmarking numbers on the commissions rates
7. Understand form the finance team the possible investments backing this business and if the interest rate can be increased
8. Analyse if there are any additional capital requirements to start the business 
9. Evaluate if the organisation can increase the premium rate to increase the margins
10. Obtain reinsurance to support and estimate the impact
11. Renegotiate the commissions rate 
12. Discuss change of product structure to reduce to the cost of insurance
13. Estimate the projection for a longer period - say 15 years 
14. Understand if the organisation will be subject to any regulatory controls and accordingly ensure that they are allowed for in the reserves
15. Allow for any premium rate revision in the product in future years
16. Analyse the effect of selling or not selling Product C given it is loss making
17. Understand the market reputation of the vendor to outsource marketing activities under scenario 2, before going ahead with the option 
18. Evaluate whether the organisation has the capacity to sell at an increased premium growth rate under Scenario 1 and if there are any other contraints around it
19. Verify the expenses inputs received</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</si>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</sst>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0.0%"/>
  </numFmts>
  <fonts count="10" x14ac:knownFonts="1">
    <font>
      <sz val="11"/>
      <color theme="1"/>
      <name val="Calibri"/>
      <family val="2"/>
      <scheme val="minor"/>
    </font>
    <font>
      <sz val="11"/>
      <color theme="1"/>
      <name val="Calibri"/>
      <family val="2"/>
      <scheme val="minor"/>
    </font>
    <font>
      <i/>
      <sz val="11"/>
      <color theme="1"/>
      <name val="Calibri"/>
      <family val="2"/>
      <scheme val="minor"/>
    </font>
    <font>
      <sz val="11"/>
      <color rgb="FFFF0000"/>
      <name val="Calibri"/>
      <family val="2"/>
      <scheme val="minor"/>
    </font>
    <font>
      <b/>
      <sz val="11"/>
      <color theme="1"/>
      <name val="Calibri"/>
      <family val="2"/>
      <scheme val="minor"/>
    </font>
    <font>
      <sz val="10"/>
      <color theme="1"/>
      <name val="Times New Roman"/>
      <family val="1"/>
    </font>
    <font>
      <sz val="11"/>
      <color rgb="FF000000"/>
      <name val="Calibri"/>
      <family val="2"/>
    </font>
    <font>
      <b/>
      <u/>
      <sz val="12"/>
      <color theme="1"/>
      <name val="Calibri"/>
      <family val="2"/>
      <scheme val="minor"/>
    </font>
    <font>
      <b/>
      <u/>
      <sz val="11"/>
      <color theme="1"/>
      <name val="Calibri"/>
      <family val="2"/>
      <scheme val="minor"/>
    </font>
    <font>
      <sz val="11"/>
      <color theme="4"/>
      <name val="Calibri"/>
      <family val="2"/>
      <scheme val="minor"/>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9" fontId="0" fillId="0" borderId="0" xfId="0" applyNumberFormat="1"/>
    <xf numFmtId="13" fontId="0" fillId="0" borderId="0" xfId="0" applyNumberFormat="1"/>
    <xf numFmtId="0" fontId="0" fillId="0" borderId="1" xfId="0" applyBorder="1"/>
    <xf numFmtId="9" fontId="0" fillId="0" borderId="1" xfId="0" applyNumberFormat="1" applyBorder="1"/>
    <xf numFmtId="10" fontId="0" fillId="0" borderId="1" xfId="0" applyNumberFormat="1" applyBorder="1"/>
    <xf numFmtId="9" fontId="0" fillId="0" borderId="1" xfId="2" applyFont="1" applyBorder="1"/>
    <xf numFmtId="10" fontId="0" fillId="0" borderId="1" xfId="2" applyNumberFormat="1" applyFont="1" applyBorder="1"/>
    <xf numFmtId="164" fontId="0" fillId="0" borderId="1" xfId="1" applyNumberFormat="1" applyFont="1" applyBorder="1"/>
    <xf numFmtId="0" fontId="0" fillId="0" borderId="0" xfId="0" applyAlignment="1">
      <alignment horizontal="center" wrapText="1"/>
    </xf>
    <xf numFmtId="164" fontId="0" fillId="0" borderId="0" xfId="1" applyNumberFormat="1" applyFont="1" applyBorder="1"/>
    <xf numFmtId="0" fontId="2" fillId="0" borderId="0" xfId="0" applyFont="1"/>
    <xf numFmtId="0" fontId="0" fillId="0" borderId="2" xfId="0" applyBorder="1"/>
    <xf numFmtId="164" fontId="0" fillId="0" borderId="0" xfId="0" applyNumberFormat="1"/>
    <xf numFmtId="0" fontId="4" fillId="0" borderId="0" xfId="0" applyFont="1"/>
    <xf numFmtId="0" fontId="5" fillId="0" borderId="1" xfId="0" applyFont="1" applyBorder="1"/>
    <xf numFmtId="0" fontId="6" fillId="0" borderId="1" xfId="0" applyFont="1" applyBorder="1" applyAlignment="1">
      <alignment horizontal="right" vertical="center" indent="2"/>
    </xf>
    <xf numFmtId="9" fontId="6" fillId="0" borderId="1" xfId="0" applyNumberFormat="1" applyFont="1" applyBorder="1" applyAlignment="1">
      <alignment horizontal="right" vertical="center" indent="2"/>
    </xf>
    <xf numFmtId="164" fontId="0" fillId="2" borderId="1" xfId="1" applyNumberFormat="1" applyFont="1" applyFill="1" applyBorder="1"/>
    <xf numFmtId="9" fontId="0" fillId="2" borderId="1" xfId="2" applyFont="1" applyFill="1" applyBorder="1"/>
    <xf numFmtId="0" fontId="0" fillId="2" borderId="1" xfId="0" applyFill="1" applyBorder="1"/>
    <xf numFmtId="0" fontId="0" fillId="0" borderId="1" xfId="0" applyBorder="1" applyAlignment="1">
      <alignment wrapText="1"/>
    </xf>
    <xf numFmtId="0" fontId="7" fillId="0" borderId="0" xfId="0" applyFont="1"/>
    <xf numFmtId="0" fontId="0" fillId="0" borderId="0" xfId="0" applyAlignment="1">
      <alignment wrapText="1"/>
    </xf>
    <xf numFmtId="0" fontId="8" fillId="0" borderId="0" xfId="0" applyFont="1"/>
    <xf numFmtId="0" fontId="8" fillId="0" borderId="0" xfId="0" applyFont="1" applyAlignment="1">
      <alignment wrapText="1"/>
    </xf>
    <xf numFmtId="0" fontId="3" fillId="0" borderId="3" xfId="0" applyFont="1" applyBorder="1"/>
    <xf numFmtId="10" fontId="3" fillId="0" borderId="0" xfId="0" applyNumberFormat="1" applyFont="1"/>
    <xf numFmtId="0" fontId="3" fillId="0" borderId="0" xfId="0" applyFont="1"/>
    <xf numFmtId="10" fontId="0" fillId="2" borderId="1" xfId="2" applyNumberFormat="1" applyFont="1" applyFill="1" applyBorder="1"/>
    <xf numFmtId="165" fontId="0" fillId="0" borderId="0" xfId="0" applyNumberFormat="1"/>
    <xf numFmtId="0" fontId="3" fillId="0" borderId="0" xfId="0" applyFont="1" applyAlignment="1">
      <alignment vertical="top" wrapText="1"/>
    </xf>
    <xf numFmtId="9" fontId="0" fillId="0" borderId="0" xfId="2" applyFont="1"/>
    <xf numFmtId="0" fontId="6" fillId="0" borderId="1" xfId="0" applyFont="1" applyBorder="1" applyAlignment="1">
      <alignment horizontal="left" vertical="center" indent="2"/>
    </xf>
    <xf numFmtId="0" fontId="0" fillId="0" borderId="1" xfId="0" applyBorder="1" applyAlignment="1">
      <alignment vertical="center"/>
    </xf>
    <xf numFmtId="0" fontId="0" fillId="0" borderId="1" xfId="0" applyBorder="1" applyAlignment="1">
      <alignment horizontal="center" wrapText="1"/>
    </xf>
    <xf numFmtId="0" fontId="6" fillId="0" borderId="1" xfId="0" applyFont="1" applyBorder="1" applyAlignment="1">
      <alignment horizontal="left" vertical="center" indent="2"/>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Yearly profit projection under 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'Projection - base'!$AO$3</c:f>
              <c:strCache>
                <c:ptCount val="1"/>
                <c:pt idx="0">
                  <c:v>A</c:v>
                </c:pt>
              </c:strCache>
            </c:strRef>
          </c:tx>
          <c:spPr>
            <a:solidFill>
              <a:schemeClr val="accent1">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 - base'!$B$4:$B$13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'Projection - base'!$AO$4:$AO$13</c:f>
              <c:numCache>
                <c:formatCode>_ * #,##0_ ;_ * \-#,##0_ ;_ * "-"??_ ;_ @_ </c:formatCode>
                <c:ptCount val="10"/>
                <c:pt idx="0">
                  <c:v>1070</c:v>
                </c:pt>
                <c:pt idx="1">
                  <c:v>1318.5999999999985</c:v>
                </c:pt>
                <c:pt idx="2">
                  <c:v>1606.8459999999977</c:v>
                </c:pt>
                <c:pt idx="3">
                  <c:v>2566.912251103673</c:v>
                </c:pt>
                <c:pt idx="4">
                  <c:v>3033.1695912885552</c:v>
                </c:pt>
                <c:pt idx="5">
                  <c:v>3724.7035641015827</c:v>
                </c:pt>
                <c:pt idx="6">
                  <c:v>5158.9335197331748</c:v>
                </c:pt>
                <c:pt idx="7">
                  <c:v>6047.1132755172221</c:v>
                </c:pt>
                <c:pt idx="8">
                  <c:v>6988.612767689272</c:v>
                </c:pt>
                <c:pt idx="9">
                  <c:v>8065.1501263296013</c:v>
                </c:pt>
              </c:numCache>
            </c:numRef>
          </c:val>
          <c:extLst>
            <c:ext xmlns:c16="http://schemas.microsoft.com/office/drawing/2014/chart" uri="{C3380CC4-5D6E-409C-BE32-E72D297353CC}">
              <c16:uniqueId val="{00000000-291B-429B-89C0-9E745A701D87}"/>
            </c:ext>
          </c:extLst>
        </c:ser>
        <c:ser>
          <c:idx val="1"/>
          <c:order val="1"/>
          <c:tx>
            <c:strRef>
              <c:f>'Projection - base'!$AP$3</c:f>
              <c:strCache>
                <c:ptCount val="1"/>
                <c:pt idx="0">
                  <c:v>B</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 - base'!$B$4:$B$13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'Projection - base'!$AP$4:$AP$13</c:f>
              <c:numCache>
                <c:formatCode>_ * #,##0_ ;_ * \-#,##0_ ;_ * "-"??_ ;_ @_ </c:formatCode>
                <c:ptCount val="10"/>
                <c:pt idx="0">
                  <c:v>-225</c:v>
                </c:pt>
                <c:pt idx="1">
                  <c:v>-197.5</c:v>
                </c:pt>
                <c:pt idx="2">
                  <c:v>-162.46500000000015</c:v>
                </c:pt>
                <c:pt idx="3">
                  <c:v>140.97630584615217</c:v>
                </c:pt>
                <c:pt idx="4">
                  <c:v>221.09219628922619</c:v>
                </c:pt>
                <c:pt idx="5">
                  <c:v>385.33068105753591</c:v>
                </c:pt>
                <c:pt idx="6">
                  <c:v>861.98317474110081</c:v>
                </c:pt>
                <c:pt idx="7">
                  <c:v>950.80494791973615</c:v>
                </c:pt>
                <c:pt idx="8">
                  <c:v>1145.1636005273867</c:v>
                </c:pt>
                <c:pt idx="9">
                  <c:v>1370.8446951046535</c:v>
                </c:pt>
              </c:numCache>
            </c:numRef>
          </c:val>
          <c:extLst>
            <c:ext xmlns:c16="http://schemas.microsoft.com/office/drawing/2014/chart" uri="{C3380CC4-5D6E-409C-BE32-E72D297353CC}">
              <c16:uniqueId val="{00000001-291B-429B-89C0-9E745A701D87}"/>
            </c:ext>
          </c:extLst>
        </c:ser>
        <c:ser>
          <c:idx val="2"/>
          <c:order val="2"/>
          <c:tx>
            <c:strRef>
              <c:f>'Projection - base'!$AQ$3</c:f>
              <c:strCache>
                <c:ptCount val="1"/>
                <c:pt idx="0">
                  <c:v>C</c:v>
                </c:pt>
              </c:strCache>
            </c:strRef>
          </c:tx>
          <c:spPr>
            <a:solidFill>
              <a:schemeClr val="bg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 - base'!$B$4:$B$13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'Projection - base'!$AQ$4:$AQ$13</c:f>
              <c:numCache>
                <c:formatCode>_ * #,##0_ ;_ * \-#,##0_ ;_ * "-"??_ ;_ @_ </c:formatCode>
                <c:ptCount val="10"/>
                <c:pt idx="0">
                  <c:v>-845</c:v>
                </c:pt>
                <c:pt idx="1">
                  <c:v>-903.10000000000127</c:v>
                </c:pt>
                <c:pt idx="2">
                  <c:v>-965.28100000000268</c:v>
                </c:pt>
                <c:pt idx="3">
                  <c:v>-759.96808494983452</c:v>
                </c:pt>
                <c:pt idx="4">
                  <c:v>-798.20517293779631</c:v>
                </c:pt>
                <c:pt idx="5">
                  <c:v>-761.93123094233124</c:v>
                </c:pt>
                <c:pt idx="6">
                  <c:v>-405.26119251087948</c:v>
                </c:pt>
                <c:pt idx="7">
                  <c:v>-393.5092256536027</c:v>
                </c:pt>
                <c:pt idx="8">
                  <c:v>-390.74494348388544</c:v>
                </c:pt>
                <c:pt idx="9">
                  <c:v>-383.0698689233086</c:v>
                </c:pt>
              </c:numCache>
            </c:numRef>
          </c:val>
          <c:extLst>
            <c:ext xmlns:c16="http://schemas.microsoft.com/office/drawing/2014/chart" uri="{C3380CC4-5D6E-409C-BE32-E72D297353CC}">
              <c16:uniqueId val="{00000002-291B-429B-89C0-9E745A701D87}"/>
            </c:ext>
          </c:extLst>
        </c:ser>
        <c:dLbls>
          <c:showLegendKey val="0"/>
          <c:showVal val="1"/>
          <c:showCatName val="0"/>
          <c:showSerName val="0"/>
          <c:showPercent val="0"/>
          <c:showBubbleSize val="0"/>
        </c:dLbls>
        <c:gapWidth val="75"/>
        <c:shape val="box"/>
        <c:axId val="1872424512"/>
        <c:axId val="1872415776"/>
        <c:axId val="0"/>
      </c:bar3DChart>
      <c:catAx>
        <c:axId val="1872424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Projection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crossAx val="1872415776"/>
        <c:crosses val="autoZero"/>
        <c:auto val="1"/>
        <c:lblAlgn val="ctr"/>
        <c:lblOffset val="100"/>
        <c:noMultiLvlLbl val="0"/>
      </c:catAx>
      <c:valAx>
        <c:axId val="1872415776"/>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Profit (INR lacs)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 #,##0_ ;_ * \-#,##0_ ;_ * &quot;-&quot;??_ ;_ @_ " sourceLinked="1"/>
        <c:majorTickMark val="none"/>
        <c:minorTickMark val="none"/>
        <c:tickLblPos val="nextTo"/>
        <c:crossAx val="187242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Profit</a:t>
            </a:r>
            <a:r>
              <a:rPr lang="en-IN" baseline="0"/>
              <a:t> Margin % - Aggregate</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 results'!$B$4:$B$8</c:f>
              <c:strCache>
                <c:ptCount val="5"/>
                <c:pt idx="0">
                  <c:v>Base</c:v>
                </c:pt>
                <c:pt idx="1">
                  <c:v>Scenario 1</c:v>
                </c:pt>
                <c:pt idx="2">
                  <c:v>Scenario 2</c:v>
                </c:pt>
                <c:pt idx="3">
                  <c:v>Scenario 3</c:v>
                </c:pt>
                <c:pt idx="4">
                  <c:v>Scenario 4</c:v>
                </c:pt>
              </c:strCache>
            </c:strRef>
          </c:cat>
          <c:val>
            <c:numRef>
              <c:f>'Summary - results'!$N$4:$N$8</c:f>
              <c:numCache>
                <c:formatCode>0.00%</c:formatCode>
                <c:ptCount val="5"/>
                <c:pt idx="0">
                  <c:v>4.6406607247339131E-2</c:v>
                </c:pt>
                <c:pt idx="1">
                  <c:v>5.0712936574570058E-2</c:v>
                </c:pt>
                <c:pt idx="2">
                  <c:v>7.1438439361725323E-2</c:v>
                </c:pt>
                <c:pt idx="3">
                  <c:v>4.7906607247339056E-2</c:v>
                </c:pt>
                <c:pt idx="4">
                  <c:v>4.6584453952019773E-2</c:v>
                </c:pt>
              </c:numCache>
            </c:numRef>
          </c:val>
          <c:extLst>
            <c:ext xmlns:c16="http://schemas.microsoft.com/office/drawing/2014/chart" uri="{C3380CC4-5D6E-409C-BE32-E72D297353CC}">
              <c16:uniqueId val="{00000000-DFB6-458A-A634-7A5260CE68F1}"/>
            </c:ext>
          </c:extLst>
        </c:ser>
        <c:dLbls>
          <c:showLegendKey val="0"/>
          <c:showVal val="1"/>
          <c:showCatName val="0"/>
          <c:showSerName val="0"/>
          <c:showPercent val="0"/>
          <c:showBubbleSize val="0"/>
        </c:dLbls>
        <c:gapWidth val="150"/>
        <c:overlap val="-25"/>
        <c:axId val="1769887968"/>
        <c:axId val="1769893792"/>
      </c:barChart>
      <c:catAx>
        <c:axId val="1769887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9893792"/>
        <c:crosses val="autoZero"/>
        <c:auto val="1"/>
        <c:lblAlgn val="ctr"/>
        <c:lblOffset val="100"/>
        <c:noMultiLvlLbl val="0"/>
      </c:catAx>
      <c:valAx>
        <c:axId val="1769893792"/>
        <c:scaling>
          <c:orientation val="minMax"/>
        </c:scaling>
        <c:delete val="1"/>
        <c:axPos val="b"/>
        <c:numFmt formatCode="0.00%" sourceLinked="1"/>
        <c:majorTickMark val="none"/>
        <c:minorTickMark val="none"/>
        <c:tickLblPos val="nextTo"/>
        <c:crossAx val="1769887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Profit Margin % - split by products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1"/>
          <c:tx>
            <c:strRef>
              <c:f>'Summary - results'!$O$3</c:f>
              <c:strCache>
                <c:ptCount val="1"/>
                <c:pt idx="0">
                  <c:v>A</c:v>
                </c:pt>
              </c:strCache>
            </c:strRef>
          </c:tx>
          <c:spPr>
            <a:solidFill>
              <a:schemeClr val="tx2">
                <a:lumMod val="60000"/>
                <a:lumOff val="40000"/>
              </a:schemeClr>
            </a:solidFill>
            <a:ln>
              <a:noFill/>
            </a:ln>
            <a:effectLst/>
            <a:sp3d/>
          </c:spPr>
          <c:invertIfNegative val="0"/>
          <c:cat>
            <c:strRef>
              <c:f>'Summary - results'!$B$4:$B$8</c:f>
              <c:strCache>
                <c:ptCount val="5"/>
                <c:pt idx="0">
                  <c:v>Base</c:v>
                </c:pt>
                <c:pt idx="1">
                  <c:v>Scenario 1</c:v>
                </c:pt>
                <c:pt idx="2">
                  <c:v>Scenario 2</c:v>
                </c:pt>
                <c:pt idx="3">
                  <c:v>Scenario 3</c:v>
                </c:pt>
                <c:pt idx="4">
                  <c:v>Scenario 4</c:v>
                </c:pt>
              </c:strCache>
            </c:strRef>
          </c:cat>
          <c:val>
            <c:numRef>
              <c:f>'Summary - results'!$O$4:$O$8</c:f>
              <c:numCache>
                <c:formatCode>0.00%</c:formatCode>
                <c:ptCount val="5"/>
                <c:pt idx="0">
                  <c:v>8.4032380675202675E-2</c:v>
                </c:pt>
                <c:pt idx="1">
                  <c:v>8.7620006189464292E-2</c:v>
                </c:pt>
                <c:pt idx="2">
                  <c:v>0.10533600495459546</c:v>
                </c:pt>
                <c:pt idx="3">
                  <c:v>7.1883560456174264E-2</c:v>
                </c:pt>
                <c:pt idx="4">
                  <c:v>8.4177258901557916E-2</c:v>
                </c:pt>
              </c:numCache>
            </c:numRef>
          </c:val>
          <c:extLst>
            <c:ext xmlns:c16="http://schemas.microsoft.com/office/drawing/2014/chart" uri="{C3380CC4-5D6E-409C-BE32-E72D297353CC}">
              <c16:uniqueId val="{00000001-1745-49B6-8BF3-06C7B6563EF0}"/>
            </c:ext>
          </c:extLst>
        </c:ser>
        <c:ser>
          <c:idx val="2"/>
          <c:order val="2"/>
          <c:tx>
            <c:strRef>
              <c:f>'Summary - results'!$P$3</c:f>
              <c:strCache>
                <c:ptCount val="1"/>
                <c:pt idx="0">
                  <c:v>B</c:v>
                </c:pt>
              </c:strCache>
            </c:strRef>
          </c:tx>
          <c:spPr>
            <a:solidFill>
              <a:schemeClr val="accent3">
                <a:lumMod val="40000"/>
                <a:lumOff val="60000"/>
              </a:schemeClr>
            </a:solidFill>
            <a:ln>
              <a:noFill/>
            </a:ln>
            <a:effectLst/>
            <a:sp3d/>
          </c:spPr>
          <c:invertIfNegative val="0"/>
          <c:cat>
            <c:strRef>
              <c:f>'Summary - results'!$B$4:$B$8</c:f>
              <c:strCache>
                <c:ptCount val="5"/>
                <c:pt idx="0">
                  <c:v>Base</c:v>
                </c:pt>
                <c:pt idx="1">
                  <c:v>Scenario 1</c:v>
                </c:pt>
                <c:pt idx="2">
                  <c:v>Scenario 2</c:v>
                </c:pt>
                <c:pt idx="3">
                  <c:v>Scenario 3</c:v>
                </c:pt>
                <c:pt idx="4">
                  <c:v>Scenario 4</c:v>
                </c:pt>
              </c:strCache>
            </c:strRef>
          </c:cat>
          <c:val>
            <c:numRef>
              <c:f>'Summary - results'!$P$4:$P$8</c:f>
              <c:numCache>
                <c:formatCode>0.00%</c:formatCode>
                <c:ptCount val="5"/>
                <c:pt idx="0">
                  <c:v>2.0732595551970604E-2</c:v>
                </c:pt>
                <c:pt idx="1">
                  <c:v>2.493408073542961E-2</c:v>
                </c:pt>
                <c:pt idx="2">
                  <c:v>4.5896822108645832E-2</c:v>
                </c:pt>
                <c:pt idx="3">
                  <c:v>5.5627580860168379E-3</c:v>
                </c:pt>
                <c:pt idx="4">
                  <c:v>2.0908039467492416E-2</c:v>
                </c:pt>
              </c:numCache>
            </c:numRef>
          </c:val>
          <c:extLst>
            <c:ext xmlns:c16="http://schemas.microsoft.com/office/drawing/2014/chart" uri="{C3380CC4-5D6E-409C-BE32-E72D297353CC}">
              <c16:uniqueId val="{00000002-1745-49B6-8BF3-06C7B6563EF0}"/>
            </c:ext>
          </c:extLst>
        </c:ser>
        <c:ser>
          <c:idx val="3"/>
          <c:order val="3"/>
          <c:tx>
            <c:strRef>
              <c:f>'Summary - results'!$Q$3</c:f>
              <c:strCache>
                <c:ptCount val="1"/>
                <c:pt idx="0">
                  <c:v>C</c:v>
                </c:pt>
              </c:strCache>
            </c:strRef>
          </c:tx>
          <c:spPr>
            <a:solidFill>
              <a:schemeClr val="accent6">
                <a:lumMod val="40000"/>
                <a:lumOff val="60000"/>
              </a:schemeClr>
            </a:solidFill>
            <a:ln>
              <a:noFill/>
            </a:ln>
            <a:effectLst/>
            <a:sp3d/>
          </c:spPr>
          <c:invertIfNegative val="0"/>
          <c:cat>
            <c:strRef>
              <c:f>'Summary - results'!$B$4:$B$8</c:f>
              <c:strCache>
                <c:ptCount val="5"/>
                <c:pt idx="0">
                  <c:v>Base</c:v>
                </c:pt>
                <c:pt idx="1">
                  <c:v>Scenario 1</c:v>
                </c:pt>
                <c:pt idx="2">
                  <c:v>Scenario 2</c:v>
                </c:pt>
                <c:pt idx="3">
                  <c:v>Scenario 3</c:v>
                </c:pt>
                <c:pt idx="4">
                  <c:v>Scenario 4</c:v>
                </c:pt>
              </c:strCache>
            </c:strRef>
          </c:cat>
          <c:val>
            <c:numRef>
              <c:f>'Summary - results'!$Q$4:$Q$8</c:f>
              <c:numCache>
                <c:formatCode>0.00%</c:formatCode>
                <c:ptCount val="5"/>
                <c:pt idx="0">
                  <c:v>-7.8119572786739228E-2</c:v>
                </c:pt>
                <c:pt idx="1">
                  <c:v>-7.1655933804543367E-2</c:v>
                </c:pt>
                <c:pt idx="2">
                  <c:v>-3.6697084988688143E-2</c:v>
                </c:pt>
                <c:pt idx="3">
                  <c:v>-0.1173563771981609</c:v>
                </c:pt>
                <c:pt idx="4">
                  <c:v>-7.785844904854837E-2</c:v>
                </c:pt>
              </c:numCache>
            </c:numRef>
          </c:val>
          <c:extLst>
            <c:ext xmlns:c16="http://schemas.microsoft.com/office/drawing/2014/chart" uri="{C3380CC4-5D6E-409C-BE32-E72D297353CC}">
              <c16:uniqueId val="{00000003-1745-49B6-8BF3-06C7B6563EF0}"/>
            </c:ext>
          </c:extLst>
        </c:ser>
        <c:dLbls>
          <c:showLegendKey val="0"/>
          <c:showVal val="0"/>
          <c:showCatName val="0"/>
          <c:showSerName val="0"/>
          <c:showPercent val="0"/>
          <c:showBubbleSize val="0"/>
        </c:dLbls>
        <c:gapWidth val="150"/>
        <c:shape val="box"/>
        <c:axId val="1990607856"/>
        <c:axId val="1990604112"/>
        <c:axId val="0"/>
        <c:extLst>
          <c:ext xmlns:c15="http://schemas.microsoft.com/office/drawing/2012/chart" uri="{02D57815-91ED-43cb-92C2-25804820EDAC}">
            <c15:filteredBarSeries>
              <c15:ser>
                <c:idx val="0"/>
                <c:order val="0"/>
                <c:tx>
                  <c:strRef>
                    <c:extLst>
                      <c:ext uri="{02D57815-91ED-43cb-92C2-25804820EDAC}">
                        <c15:formulaRef>
                          <c15:sqref>'Summary - results'!$N$3</c15:sqref>
                        </c15:formulaRef>
                      </c:ext>
                    </c:extLst>
                    <c:strCache>
                      <c:ptCount val="1"/>
                      <c:pt idx="0">
                        <c:v>Total</c:v>
                      </c:pt>
                    </c:strCache>
                  </c:strRef>
                </c:tx>
                <c:spPr>
                  <a:solidFill>
                    <a:schemeClr val="accent1"/>
                  </a:solidFill>
                  <a:ln>
                    <a:noFill/>
                  </a:ln>
                  <a:effectLst/>
                  <a:sp3d/>
                </c:spPr>
                <c:invertIfNegative val="0"/>
                <c:cat>
                  <c:strRef>
                    <c:extLst>
                      <c:ext uri="{02D57815-91ED-43cb-92C2-25804820EDAC}">
                        <c15:formulaRef>
                          <c15:sqref>'Summary - results'!$B$4:$B$8</c15:sqref>
                        </c15:formulaRef>
                      </c:ext>
                    </c:extLst>
                    <c:strCache>
                      <c:ptCount val="5"/>
                      <c:pt idx="0">
                        <c:v>Base</c:v>
                      </c:pt>
                      <c:pt idx="1">
                        <c:v>Scenario 1</c:v>
                      </c:pt>
                      <c:pt idx="2">
                        <c:v>Scenario 2</c:v>
                      </c:pt>
                      <c:pt idx="3">
                        <c:v>Scenario 3</c:v>
                      </c:pt>
                      <c:pt idx="4">
                        <c:v>Scenario 4</c:v>
                      </c:pt>
                    </c:strCache>
                  </c:strRef>
                </c:cat>
                <c:val>
                  <c:numRef>
                    <c:extLst>
                      <c:ext uri="{02D57815-91ED-43cb-92C2-25804820EDAC}">
                        <c15:formulaRef>
                          <c15:sqref>'Summary - results'!$N$4:$N$8</c15:sqref>
                        </c15:formulaRef>
                      </c:ext>
                    </c:extLst>
                    <c:numCache>
                      <c:formatCode>0.00%</c:formatCode>
                      <c:ptCount val="5"/>
                      <c:pt idx="0">
                        <c:v>4.6406607247339131E-2</c:v>
                      </c:pt>
                      <c:pt idx="1">
                        <c:v>5.0712936574570058E-2</c:v>
                      </c:pt>
                      <c:pt idx="2">
                        <c:v>7.1438439361725323E-2</c:v>
                      </c:pt>
                      <c:pt idx="3">
                        <c:v>4.7906607247339056E-2</c:v>
                      </c:pt>
                      <c:pt idx="4">
                        <c:v>4.6584453952019773E-2</c:v>
                      </c:pt>
                    </c:numCache>
                  </c:numRef>
                </c:val>
                <c:extLst>
                  <c:ext xmlns:c16="http://schemas.microsoft.com/office/drawing/2014/chart" uri="{C3380CC4-5D6E-409C-BE32-E72D297353CC}">
                    <c16:uniqueId val="{00000000-1745-49B6-8BF3-06C7B6563EF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'Summary - results'!$B$4</c15:sqref>
                        </c15:formulaRef>
                      </c:ext>
                    </c:extLst>
                    <c:strCache>
                      <c:ptCount val="1"/>
                      <c:pt idx="0">
                        <c:v>Base</c:v>
                      </c:pt>
                    </c:strCache>
                  </c:strRef>
                </c:tx>
                <c:spPr>
                  <a:solidFill>
                    <a:schemeClr val="accent5"/>
                  </a:solidFill>
                  <a:ln>
                    <a:noFill/>
                  </a:ln>
                  <a:effectLst/>
                  <a:sp3d/>
                </c:spPr>
                <c:invertIfNegative val="0"/>
                <c:cat>
                  <c:strRef>
                    <c:extLst xmlns:c15="http://schemas.microsoft.com/office/drawing/2012/chart">
                      <c:ext xmlns:c15="http://schemas.microsoft.com/office/drawing/2012/chart" uri="{02D57815-91ED-43cb-92C2-25804820EDAC}">
                        <c15:formulaRef>
                          <c15:sqref>'Summary - results'!$B$4:$B$8</c15:sqref>
                        </c15:formulaRef>
                      </c:ext>
                    </c:extLst>
                    <c:strCache>
                      <c:ptCount val="5"/>
                      <c:pt idx="0">
                        <c:v>Base</c:v>
                      </c:pt>
                      <c:pt idx="1">
                        <c:v>Scenario 1</c:v>
                      </c:pt>
                      <c:pt idx="2">
                        <c:v>Scenario 2</c:v>
                      </c:pt>
                      <c:pt idx="3">
                        <c:v>Scenario 3</c:v>
                      </c:pt>
                      <c:pt idx="4">
                        <c:v>Scenario 4</c:v>
                      </c:pt>
                    </c:strCache>
                  </c:strRef>
                </c:cat>
                <c:val>
                  <c:numRef>
                    <c:extLst xmlns:c15="http://schemas.microsoft.com/office/drawing/2012/chart">
                      <c:ext xmlns:c15="http://schemas.microsoft.com/office/drawing/2012/chart" uri="{02D57815-91ED-43cb-92C2-25804820EDAC}">
                        <c15:formulaRef>
                          <c15:sqref>'Summary - results'!$B$5:$B$8</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4-1745-49B6-8BF3-06C7B6563EF0}"/>
                  </c:ext>
                </c:extLst>
              </c15:ser>
            </c15:filteredBarSeries>
          </c:ext>
        </c:extLst>
      </c:bar3DChart>
      <c:catAx>
        <c:axId val="1990607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0604112"/>
        <c:crosses val="autoZero"/>
        <c:auto val="1"/>
        <c:lblAlgn val="ctr"/>
        <c:lblOffset val="100"/>
        <c:noMultiLvlLbl val="0"/>
      </c:catAx>
      <c:valAx>
        <c:axId val="1990604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060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NPV prfit</a:t>
            </a:r>
            <a:r>
              <a:rPr lang="en-IN" baseline="0"/>
              <a:t> (amount in INR lacs)</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 results'!$B$4:$B$8</c:f>
              <c:strCache>
                <c:ptCount val="5"/>
                <c:pt idx="0">
                  <c:v>Base</c:v>
                </c:pt>
                <c:pt idx="1">
                  <c:v>Scenario 1</c:v>
                </c:pt>
                <c:pt idx="2">
                  <c:v>Scenario 2</c:v>
                </c:pt>
                <c:pt idx="3">
                  <c:v>Scenario 3</c:v>
                </c:pt>
                <c:pt idx="4">
                  <c:v>Scenario 4</c:v>
                </c:pt>
              </c:strCache>
            </c:strRef>
          </c:cat>
          <c:val>
            <c:numRef>
              <c:f>'Summary - results'!$D$4:$D$8</c:f>
              <c:numCache>
                <c:formatCode>_ * #,##0_ ;_ * \-#,##0_ ;_ * "-"??_ ;_ @_ </c:formatCode>
                <c:ptCount val="5"/>
                <c:pt idx="0">
                  <c:v>19301.674169670223</c:v>
                </c:pt>
                <c:pt idx="1">
                  <c:v>23966.50470861814</c:v>
                </c:pt>
                <c:pt idx="2">
                  <c:v>29713.042205403388</c:v>
                </c:pt>
                <c:pt idx="3">
                  <c:v>19925.561865234609</c:v>
                </c:pt>
                <c:pt idx="4">
                  <c:v>20020.480486794433</c:v>
                </c:pt>
              </c:numCache>
            </c:numRef>
          </c:val>
          <c:extLst>
            <c:ext xmlns:c16="http://schemas.microsoft.com/office/drawing/2014/chart" uri="{C3380CC4-5D6E-409C-BE32-E72D297353CC}">
              <c16:uniqueId val="{00000000-9306-4D5A-9B67-9B873AD2366A}"/>
            </c:ext>
          </c:extLst>
        </c:ser>
        <c:dLbls>
          <c:showLegendKey val="0"/>
          <c:showVal val="1"/>
          <c:showCatName val="0"/>
          <c:showSerName val="0"/>
          <c:showPercent val="0"/>
          <c:showBubbleSize val="0"/>
        </c:dLbls>
        <c:gapWidth val="150"/>
        <c:overlap val="-25"/>
        <c:axId val="1989915568"/>
        <c:axId val="1989910160"/>
      </c:barChart>
      <c:catAx>
        <c:axId val="198991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9910160"/>
        <c:crosses val="autoZero"/>
        <c:auto val="1"/>
        <c:lblAlgn val="ctr"/>
        <c:lblOffset val="100"/>
        <c:noMultiLvlLbl val="0"/>
      </c:catAx>
      <c:valAx>
        <c:axId val="1989910160"/>
        <c:scaling>
          <c:orientation val="minMax"/>
        </c:scaling>
        <c:delete val="1"/>
        <c:axPos val="l"/>
        <c:numFmt formatCode="_ * #,##0_ ;_ * \-#,##0_ ;_ * &quot;-&quot;??_ ;_ @_ " sourceLinked="1"/>
        <c:majorTickMark val="none"/>
        <c:minorTickMark val="none"/>
        <c:tickLblPos val="nextTo"/>
        <c:crossAx val="1989915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Profit</a:t>
            </a:r>
            <a:r>
              <a:rPr lang="en-IN" baseline="0"/>
              <a:t> Margin % - Aggregate</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 results'!$B$4:$B$8</c:f>
              <c:strCache>
                <c:ptCount val="5"/>
                <c:pt idx="0">
                  <c:v>Base</c:v>
                </c:pt>
                <c:pt idx="1">
                  <c:v>Scenario 1</c:v>
                </c:pt>
                <c:pt idx="2">
                  <c:v>Scenario 2</c:v>
                </c:pt>
                <c:pt idx="3">
                  <c:v>Scenario 3</c:v>
                </c:pt>
                <c:pt idx="4">
                  <c:v>Scenario 4</c:v>
                </c:pt>
              </c:strCache>
            </c:strRef>
          </c:cat>
          <c:val>
            <c:numRef>
              <c:f>'Summary - results'!$N$4:$N$8</c:f>
              <c:numCache>
                <c:formatCode>0.00%</c:formatCode>
                <c:ptCount val="5"/>
                <c:pt idx="0">
                  <c:v>4.6406607247339131E-2</c:v>
                </c:pt>
                <c:pt idx="1">
                  <c:v>5.0712936574570058E-2</c:v>
                </c:pt>
                <c:pt idx="2">
                  <c:v>7.1438439361725323E-2</c:v>
                </c:pt>
                <c:pt idx="3">
                  <c:v>4.7906607247339056E-2</c:v>
                </c:pt>
                <c:pt idx="4">
                  <c:v>4.6584453952019773E-2</c:v>
                </c:pt>
              </c:numCache>
            </c:numRef>
          </c:val>
          <c:extLst>
            <c:ext xmlns:c16="http://schemas.microsoft.com/office/drawing/2014/chart" uri="{C3380CC4-5D6E-409C-BE32-E72D297353CC}">
              <c16:uniqueId val="{00000000-13C6-4FC8-B511-185BC318BB5B}"/>
            </c:ext>
          </c:extLst>
        </c:ser>
        <c:dLbls>
          <c:showLegendKey val="0"/>
          <c:showVal val="1"/>
          <c:showCatName val="0"/>
          <c:showSerName val="0"/>
          <c:showPercent val="0"/>
          <c:showBubbleSize val="0"/>
        </c:dLbls>
        <c:gapWidth val="150"/>
        <c:overlap val="-25"/>
        <c:axId val="1769887968"/>
        <c:axId val="1769893792"/>
      </c:barChart>
      <c:catAx>
        <c:axId val="1769887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9893792"/>
        <c:crosses val="autoZero"/>
        <c:auto val="1"/>
        <c:lblAlgn val="ctr"/>
        <c:lblOffset val="100"/>
        <c:noMultiLvlLbl val="0"/>
      </c:catAx>
      <c:valAx>
        <c:axId val="1769893792"/>
        <c:scaling>
          <c:orientation val="minMax"/>
        </c:scaling>
        <c:delete val="1"/>
        <c:axPos val="b"/>
        <c:numFmt formatCode="0.00%" sourceLinked="1"/>
        <c:majorTickMark val="none"/>
        <c:minorTickMark val="none"/>
        <c:tickLblPos val="nextTo"/>
        <c:crossAx val="1769887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Profit Margin % - split by products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1"/>
          <c:tx>
            <c:strRef>
              <c:f>'Summary - results'!$O$3</c:f>
              <c:strCache>
                <c:ptCount val="1"/>
                <c:pt idx="0">
                  <c:v>A</c:v>
                </c:pt>
              </c:strCache>
            </c:strRef>
          </c:tx>
          <c:spPr>
            <a:solidFill>
              <a:schemeClr val="tx2">
                <a:lumMod val="60000"/>
                <a:lumOff val="40000"/>
              </a:schemeClr>
            </a:solidFill>
            <a:ln>
              <a:noFill/>
            </a:ln>
            <a:effectLst/>
            <a:sp3d/>
          </c:spPr>
          <c:invertIfNegative val="0"/>
          <c:cat>
            <c:strRef>
              <c:f>'Summary - results'!$B$4:$B$8</c:f>
              <c:strCache>
                <c:ptCount val="5"/>
                <c:pt idx="0">
                  <c:v>Base</c:v>
                </c:pt>
                <c:pt idx="1">
                  <c:v>Scenario 1</c:v>
                </c:pt>
                <c:pt idx="2">
                  <c:v>Scenario 2</c:v>
                </c:pt>
                <c:pt idx="3">
                  <c:v>Scenario 3</c:v>
                </c:pt>
                <c:pt idx="4">
                  <c:v>Scenario 4</c:v>
                </c:pt>
              </c:strCache>
            </c:strRef>
          </c:cat>
          <c:val>
            <c:numRef>
              <c:f>'Summary - results'!$O$4:$O$8</c:f>
              <c:numCache>
                <c:formatCode>0.00%</c:formatCode>
                <c:ptCount val="5"/>
                <c:pt idx="0">
                  <c:v>8.4032380675202675E-2</c:v>
                </c:pt>
                <c:pt idx="1">
                  <c:v>8.7620006189464292E-2</c:v>
                </c:pt>
                <c:pt idx="2">
                  <c:v>0.10533600495459546</c:v>
                </c:pt>
                <c:pt idx="3">
                  <c:v>7.1883560456174264E-2</c:v>
                </c:pt>
                <c:pt idx="4">
                  <c:v>8.4177258901557916E-2</c:v>
                </c:pt>
              </c:numCache>
            </c:numRef>
          </c:val>
          <c:extLst>
            <c:ext xmlns:c16="http://schemas.microsoft.com/office/drawing/2014/chart" uri="{C3380CC4-5D6E-409C-BE32-E72D297353CC}">
              <c16:uniqueId val="{00000000-6600-47EB-8BE6-31164D72089A}"/>
            </c:ext>
          </c:extLst>
        </c:ser>
        <c:ser>
          <c:idx val="2"/>
          <c:order val="2"/>
          <c:tx>
            <c:strRef>
              <c:f>'Summary - results'!$P$3</c:f>
              <c:strCache>
                <c:ptCount val="1"/>
                <c:pt idx="0">
                  <c:v>B</c:v>
                </c:pt>
              </c:strCache>
            </c:strRef>
          </c:tx>
          <c:spPr>
            <a:solidFill>
              <a:schemeClr val="accent3">
                <a:lumMod val="40000"/>
                <a:lumOff val="60000"/>
              </a:schemeClr>
            </a:solidFill>
            <a:ln>
              <a:noFill/>
            </a:ln>
            <a:effectLst/>
            <a:sp3d/>
          </c:spPr>
          <c:invertIfNegative val="0"/>
          <c:cat>
            <c:strRef>
              <c:f>'Summary - results'!$B$4:$B$8</c:f>
              <c:strCache>
                <c:ptCount val="5"/>
                <c:pt idx="0">
                  <c:v>Base</c:v>
                </c:pt>
                <c:pt idx="1">
                  <c:v>Scenario 1</c:v>
                </c:pt>
                <c:pt idx="2">
                  <c:v>Scenario 2</c:v>
                </c:pt>
                <c:pt idx="3">
                  <c:v>Scenario 3</c:v>
                </c:pt>
                <c:pt idx="4">
                  <c:v>Scenario 4</c:v>
                </c:pt>
              </c:strCache>
            </c:strRef>
          </c:cat>
          <c:val>
            <c:numRef>
              <c:f>'Summary - results'!$P$4:$P$8</c:f>
              <c:numCache>
                <c:formatCode>0.00%</c:formatCode>
                <c:ptCount val="5"/>
                <c:pt idx="0">
                  <c:v>2.0732595551970604E-2</c:v>
                </c:pt>
                <c:pt idx="1">
                  <c:v>2.493408073542961E-2</c:v>
                </c:pt>
                <c:pt idx="2">
                  <c:v>4.5896822108645832E-2</c:v>
                </c:pt>
                <c:pt idx="3">
                  <c:v>5.5627580860168379E-3</c:v>
                </c:pt>
                <c:pt idx="4">
                  <c:v>2.0908039467492416E-2</c:v>
                </c:pt>
              </c:numCache>
            </c:numRef>
          </c:val>
          <c:extLst>
            <c:ext xmlns:c16="http://schemas.microsoft.com/office/drawing/2014/chart" uri="{C3380CC4-5D6E-409C-BE32-E72D297353CC}">
              <c16:uniqueId val="{00000001-6600-47EB-8BE6-31164D72089A}"/>
            </c:ext>
          </c:extLst>
        </c:ser>
        <c:ser>
          <c:idx val="3"/>
          <c:order val="3"/>
          <c:tx>
            <c:strRef>
              <c:f>'Summary - results'!$Q$3</c:f>
              <c:strCache>
                <c:ptCount val="1"/>
                <c:pt idx="0">
                  <c:v>C</c:v>
                </c:pt>
              </c:strCache>
            </c:strRef>
          </c:tx>
          <c:spPr>
            <a:solidFill>
              <a:schemeClr val="accent6">
                <a:lumMod val="40000"/>
                <a:lumOff val="60000"/>
              </a:schemeClr>
            </a:solidFill>
            <a:ln>
              <a:noFill/>
            </a:ln>
            <a:effectLst/>
            <a:sp3d/>
          </c:spPr>
          <c:invertIfNegative val="0"/>
          <c:cat>
            <c:strRef>
              <c:f>'Summary - results'!$B$4:$B$8</c:f>
              <c:strCache>
                <c:ptCount val="5"/>
                <c:pt idx="0">
                  <c:v>Base</c:v>
                </c:pt>
                <c:pt idx="1">
                  <c:v>Scenario 1</c:v>
                </c:pt>
                <c:pt idx="2">
                  <c:v>Scenario 2</c:v>
                </c:pt>
                <c:pt idx="3">
                  <c:v>Scenario 3</c:v>
                </c:pt>
                <c:pt idx="4">
                  <c:v>Scenario 4</c:v>
                </c:pt>
              </c:strCache>
            </c:strRef>
          </c:cat>
          <c:val>
            <c:numRef>
              <c:f>'Summary - results'!$Q$4:$Q$8</c:f>
              <c:numCache>
                <c:formatCode>0.00%</c:formatCode>
                <c:ptCount val="5"/>
                <c:pt idx="0">
                  <c:v>-7.8119572786739228E-2</c:v>
                </c:pt>
                <c:pt idx="1">
                  <c:v>-7.1655933804543367E-2</c:v>
                </c:pt>
                <c:pt idx="2">
                  <c:v>-3.6697084988688143E-2</c:v>
                </c:pt>
                <c:pt idx="3">
                  <c:v>-0.1173563771981609</c:v>
                </c:pt>
                <c:pt idx="4">
                  <c:v>-7.785844904854837E-2</c:v>
                </c:pt>
              </c:numCache>
            </c:numRef>
          </c:val>
          <c:extLst>
            <c:ext xmlns:c16="http://schemas.microsoft.com/office/drawing/2014/chart" uri="{C3380CC4-5D6E-409C-BE32-E72D297353CC}">
              <c16:uniqueId val="{00000002-6600-47EB-8BE6-31164D72089A}"/>
            </c:ext>
          </c:extLst>
        </c:ser>
        <c:dLbls>
          <c:showLegendKey val="0"/>
          <c:showVal val="0"/>
          <c:showCatName val="0"/>
          <c:showSerName val="0"/>
          <c:showPercent val="0"/>
          <c:showBubbleSize val="0"/>
        </c:dLbls>
        <c:gapWidth val="150"/>
        <c:shape val="box"/>
        <c:axId val="1990607856"/>
        <c:axId val="1990604112"/>
        <c:axId val="0"/>
        <c:extLst>
          <c:ext xmlns:c15="http://schemas.microsoft.com/office/drawing/2012/chart" uri="{02D57815-91ED-43cb-92C2-25804820EDAC}">
            <c15:filteredBarSeries>
              <c15:ser>
                <c:idx val="0"/>
                <c:order val="0"/>
                <c:tx>
                  <c:strRef>
                    <c:extLst>
                      <c:ext uri="{02D57815-91ED-43cb-92C2-25804820EDAC}">
                        <c15:formulaRef>
                          <c15:sqref>'Summary - results'!$N$3</c15:sqref>
                        </c15:formulaRef>
                      </c:ext>
                    </c:extLst>
                    <c:strCache>
                      <c:ptCount val="1"/>
                      <c:pt idx="0">
                        <c:v>Total</c:v>
                      </c:pt>
                    </c:strCache>
                  </c:strRef>
                </c:tx>
                <c:spPr>
                  <a:solidFill>
                    <a:schemeClr val="accent1"/>
                  </a:solidFill>
                  <a:ln>
                    <a:noFill/>
                  </a:ln>
                  <a:effectLst/>
                  <a:sp3d/>
                </c:spPr>
                <c:invertIfNegative val="0"/>
                <c:cat>
                  <c:strRef>
                    <c:extLst>
                      <c:ext uri="{02D57815-91ED-43cb-92C2-25804820EDAC}">
                        <c15:formulaRef>
                          <c15:sqref>'Summary - results'!$B$4:$B$8</c15:sqref>
                        </c15:formulaRef>
                      </c:ext>
                    </c:extLst>
                    <c:strCache>
                      <c:ptCount val="5"/>
                      <c:pt idx="0">
                        <c:v>Base</c:v>
                      </c:pt>
                      <c:pt idx="1">
                        <c:v>Scenario 1</c:v>
                      </c:pt>
                      <c:pt idx="2">
                        <c:v>Scenario 2</c:v>
                      </c:pt>
                      <c:pt idx="3">
                        <c:v>Scenario 3</c:v>
                      </c:pt>
                      <c:pt idx="4">
                        <c:v>Scenario 4</c:v>
                      </c:pt>
                    </c:strCache>
                  </c:strRef>
                </c:cat>
                <c:val>
                  <c:numRef>
                    <c:extLst>
                      <c:ext uri="{02D57815-91ED-43cb-92C2-25804820EDAC}">
                        <c15:formulaRef>
                          <c15:sqref>'Summary - results'!$N$4:$N$8</c15:sqref>
                        </c15:formulaRef>
                      </c:ext>
                    </c:extLst>
                    <c:numCache>
                      <c:formatCode>0.00%</c:formatCode>
                      <c:ptCount val="5"/>
                      <c:pt idx="0">
                        <c:v>4.6406607247339131E-2</c:v>
                      </c:pt>
                      <c:pt idx="1">
                        <c:v>5.0712936574570058E-2</c:v>
                      </c:pt>
                      <c:pt idx="2">
                        <c:v>7.1438439361725323E-2</c:v>
                      </c:pt>
                      <c:pt idx="3">
                        <c:v>4.7906607247339056E-2</c:v>
                      </c:pt>
                      <c:pt idx="4">
                        <c:v>4.6584453952019773E-2</c:v>
                      </c:pt>
                    </c:numCache>
                  </c:numRef>
                </c:val>
                <c:extLst>
                  <c:ext xmlns:c16="http://schemas.microsoft.com/office/drawing/2014/chart" uri="{C3380CC4-5D6E-409C-BE32-E72D297353CC}">
                    <c16:uniqueId val="{00000003-6600-47EB-8BE6-31164D72089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'Summary - results'!$B$4</c15:sqref>
                        </c15:formulaRef>
                      </c:ext>
                    </c:extLst>
                    <c:strCache>
                      <c:ptCount val="1"/>
                      <c:pt idx="0">
                        <c:v>Base</c:v>
                      </c:pt>
                    </c:strCache>
                  </c:strRef>
                </c:tx>
                <c:spPr>
                  <a:solidFill>
                    <a:schemeClr val="accent5"/>
                  </a:solidFill>
                  <a:ln>
                    <a:noFill/>
                  </a:ln>
                  <a:effectLst/>
                  <a:sp3d/>
                </c:spPr>
                <c:invertIfNegative val="0"/>
                <c:cat>
                  <c:strRef>
                    <c:extLst xmlns:c15="http://schemas.microsoft.com/office/drawing/2012/chart">
                      <c:ext xmlns:c15="http://schemas.microsoft.com/office/drawing/2012/chart" uri="{02D57815-91ED-43cb-92C2-25804820EDAC}">
                        <c15:formulaRef>
                          <c15:sqref>'Summary - results'!$B$4:$B$8</c15:sqref>
                        </c15:formulaRef>
                      </c:ext>
                    </c:extLst>
                    <c:strCache>
                      <c:ptCount val="5"/>
                      <c:pt idx="0">
                        <c:v>Base</c:v>
                      </c:pt>
                      <c:pt idx="1">
                        <c:v>Scenario 1</c:v>
                      </c:pt>
                      <c:pt idx="2">
                        <c:v>Scenario 2</c:v>
                      </c:pt>
                      <c:pt idx="3">
                        <c:v>Scenario 3</c:v>
                      </c:pt>
                      <c:pt idx="4">
                        <c:v>Scenario 4</c:v>
                      </c:pt>
                    </c:strCache>
                  </c:strRef>
                </c:cat>
                <c:val>
                  <c:numRef>
                    <c:extLst xmlns:c15="http://schemas.microsoft.com/office/drawing/2012/chart">
                      <c:ext xmlns:c15="http://schemas.microsoft.com/office/drawing/2012/chart" uri="{02D57815-91ED-43cb-92C2-25804820EDAC}">
                        <c15:formulaRef>
                          <c15:sqref>'Summary - results'!$B$5:$B$8</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4-6600-47EB-8BE6-31164D72089A}"/>
                  </c:ext>
                </c:extLst>
              </c15:ser>
            </c15:filteredBarSeries>
          </c:ext>
        </c:extLst>
      </c:bar3DChart>
      <c:catAx>
        <c:axId val="1990607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0604112"/>
        <c:crosses val="autoZero"/>
        <c:auto val="1"/>
        <c:lblAlgn val="ctr"/>
        <c:lblOffset val="100"/>
        <c:noMultiLvlLbl val="0"/>
      </c:catAx>
      <c:valAx>
        <c:axId val="1990604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060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NPV profit</a:t>
            </a:r>
            <a:r>
              <a:rPr lang="en-IN" baseline="0"/>
              <a:t> (amount in INR lacs)</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 results'!$B$4:$B$8</c:f>
              <c:strCache>
                <c:ptCount val="5"/>
                <c:pt idx="0">
                  <c:v>Base</c:v>
                </c:pt>
                <c:pt idx="1">
                  <c:v>Scenario 1</c:v>
                </c:pt>
                <c:pt idx="2">
                  <c:v>Scenario 2</c:v>
                </c:pt>
                <c:pt idx="3">
                  <c:v>Scenario 3</c:v>
                </c:pt>
                <c:pt idx="4">
                  <c:v>Scenario 4</c:v>
                </c:pt>
              </c:strCache>
            </c:strRef>
          </c:cat>
          <c:val>
            <c:numRef>
              <c:f>'Summary - results'!$D$4:$D$8</c:f>
              <c:numCache>
                <c:formatCode>_ * #,##0_ ;_ * \-#,##0_ ;_ * "-"??_ ;_ @_ </c:formatCode>
                <c:ptCount val="5"/>
                <c:pt idx="0">
                  <c:v>19301.674169670223</c:v>
                </c:pt>
                <c:pt idx="1">
                  <c:v>23966.50470861814</c:v>
                </c:pt>
                <c:pt idx="2">
                  <c:v>29713.042205403388</c:v>
                </c:pt>
                <c:pt idx="3">
                  <c:v>19925.561865234609</c:v>
                </c:pt>
                <c:pt idx="4">
                  <c:v>20020.480486794433</c:v>
                </c:pt>
              </c:numCache>
            </c:numRef>
          </c:val>
          <c:extLst>
            <c:ext xmlns:c16="http://schemas.microsoft.com/office/drawing/2014/chart" uri="{C3380CC4-5D6E-409C-BE32-E72D297353CC}">
              <c16:uniqueId val="{00000000-866F-4DAF-B56E-FD321E6031C6}"/>
            </c:ext>
          </c:extLst>
        </c:ser>
        <c:dLbls>
          <c:showLegendKey val="0"/>
          <c:showVal val="1"/>
          <c:showCatName val="0"/>
          <c:showSerName val="0"/>
          <c:showPercent val="0"/>
          <c:showBubbleSize val="0"/>
        </c:dLbls>
        <c:gapWidth val="150"/>
        <c:overlap val="-25"/>
        <c:axId val="1989915568"/>
        <c:axId val="1989910160"/>
      </c:barChart>
      <c:catAx>
        <c:axId val="198991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9910160"/>
        <c:crosses val="autoZero"/>
        <c:auto val="1"/>
        <c:lblAlgn val="ctr"/>
        <c:lblOffset val="100"/>
        <c:noMultiLvlLbl val="0"/>
      </c:catAx>
      <c:valAx>
        <c:axId val="1989910160"/>
        <c:scaling>
          <c:orientation val="minMax"/>
        </c:scaling>
        <c:delete val="1"/>
        <c:axPos val="l"/>
        <c:numFmt formatCode="_ * #,##0_ ;_ * \-#,##0_ ;_ * &quot;-&quot;??_ ;_ @_ " sourceLinked="1"/>
        <c:majorTickMark val="none"/>
        <c:minorTickMark val="none"/>
        <c:tickLblPos val="nextTo"/>
        <c:crossAx val="1989915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Yearly profit projection under 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'Projection - base'!$AO$3</c:f>
              <c:strCache>
                <c:ptCount val="1"/>
                <c:pt idx="0">
                  <c:v>A</c:v>
                </c:pt>
              </c:strCache>
            </c:strRef>
          </c:tx>
          <c:spPr>
            <a:solidFill>
              <a:schemeClr val="accent1">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 - base'!$B$4:$B$13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'Projection - base'!$AO$4:$AO$13</c:f>
              <c:numCache>
                <c:formatCode>_ * #,##0_ ;_ * \-#,##0_ ;_ * "-"??_ ;_ @_ </c:formatCode>
                <c:ptCount val="10"/>
                <c:pt idx="0">
                  <c:v>1070</c:v>
                </c:pt>
                <c:pt idx="1">
                  <c:v>1318.5999999999985</c:v>
                </c:pt>
                <c:pt idx="2">
                  <c:v>1606.8459999999977</c:v>
                </c:pt>
                <c:pt idx="3">
                  <c:v>2566.912251103673</c:v>
                </c:pt>
                <c:pt idx="4">
                  <c:v>3033.1695912885552</c:v>
                </c:pt>
                <c:pt idx="5">
                  <c:v>3724.7035641015827</c:v>
                </c:pt>
                <c:pt idx="6">
                  <c:v>5158.9335197331748</c:v>
                </c:pt>
                <c:pt idx="7">
                  <c:v>6047.1132755172221</c:v>
                </c:pt>
                <c:pt idx="8">
                  <c:v>6988.612767689272</c:v>
                </c:pt>
                <c:pt idx="9">
                  <c:v>8065.1501263296013</c:v>
                </c:pt>
              </c:numCache>
            </c:numRef>
          </c:val>
          <c:extLst>
            <c:ext xmlns:c16="http://schemas.microsoft.com/office/drawing/2014/chart" uri="{C3380CC4-5D6E-409C-BE32-E72D297353CC}">
              <c16:uniqueId val="{00000000-EC1E-44EB-84C9-5DA073817C80}"/>
            </c:ext>
          </c:extLst>
        </c:ser>
        <c:ser>
          <c:idx val="1"/>
          <c:order val="1"/>
          <c:tx>
            <c:strRef>
              <c:f>'Projection - base'!$AP$3</c:f>
              <c:strCache>
                <c:ptCount val="1"/>
                <c:pt idx="0">
                  <c:v>B</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 - base'!$B$4:$B$13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'Projection - base'!$AP$4:$AP$13</c:f>
              <c:numCache>
                <c:formatCode>_ * #,##0_ ;_ * \-#,##0_ ;_ * "-"??_ ;_ @_ </c:formatCode>
                <c:ptCount val="10"/>
                <c:pt idx="0">
                  <c:v>-225</c:v>
                </c:pt>
                <c:pt idx="1">
                  <c:v>-197.5</c:v>
                </c:pt>
                <c:pt idx="2">
                  <c:v>-162.46500000000015</c:v>
                </c:pt>
                <c:pt idx="3">
                  <c:v>140.97630584615217</c:v>
                </c:pt>
                <c:pt idx="4">
                  <c:v>221.09219628922619</c:v>
                </c:pt>
                <c:pt idx="5">
                  <c:v>385.33068105753591</c:v>
                </c:pt>
                <c:pt idx="6">
                  <c:v>861.98317474110081</c:v>
                </c:pt>
                <c:pt idx="7">
                  <c:v>950.80494791973615</c:v>
                </c:pt>
                <c:pt idx="8">
                  <c:v>1145.1636005273867</c:v>
                </c:pt>
                <c:pt idx="9">
                  <c:v>1370.8446951046535</c:v>
                </c:pt>
              </c:numCache>
            </c:numRef>
          </c:val>
          <c:extLst>
            <c:ext xmlns:c16="http://schemas.microsoft.com/office/drawing/2014/chart" uri="{C3380CC4-5D6E-409C-BE32-E72D297353CC}">
              <c16:uniqueId val="{00000001-EC1E-44EB-84C9-5DA073817C80}"/>
            </c:ext>
          </c:extLst>
        </c:ser>
        <c:ser>
          <c:idx val="2"/>
          <c:order val="2"/>
          <c:tx>
            <c:strRef>
              <c:f>'Projection - base'!$AQ$3</c:f>
              <c:strCache>
                <c:ptCount val="1"/>
                <c:pt idx="0">
                  <c:v>C</c:v>
                </c:pt>
              </c:strCache>
            </c:strRef>
          </c:tx>
          <c:spPr>
            <a:solidFill>
              <a:schemeClr val="bg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'Projection - base'!$B$4:$B$13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'Projection - base'!$AQ$4:$AQ$13</c:f>
              <c:numCache>
                <c:formatCode>_ * #,##0_ ;_ * \-#,##0_ ;_ * "-"??_ ;_ @_ </c:formatCode>
                <c:ptCount val="10"/>
                <c:pt idx="0">
                  <c:v>-845</c:v>
                </c:pt>
                <c:pt idx="1">
                  <c:v>-903.10000000000127</c:v>
                </c:pt>
                <c:pt idx="2">
                  <c:v>-965.28100000000268</c:v>
                </c:pt>
                <c:pt idx="3">
                  <c:v>-759.96808494983452</c:v>
                </c:pt>
                <c:pt idx="4">
                  <c:v>-798.20517293779631</c:v>
                </c:pt>
                <c:pt idx="5">
                  <c:v>-761.93123094233124</c:v>
                </c:pt>
                <c:pt idx="6">
                  <c:v>-405.26119251087948</c:v>
                </c:pt>
                <c:pt idx="7">
                  <c:v>-393.5092256536027</c:v>
                </c:pt>
                <c:pt idx="8">
                  <c:v>-390.74494348388544</c:v>
                </c:pt>
                <c:pt idx="9">
                  <c:v>-383.0698689233086</c:v>
                </c:pt>
              </c:numCache>
            </c:numRef>
          </c:val>
          <c:extLst>
            <c:ext xmlns:c16="http://schemas.microsoft.com/office/drawing/2014/chart" uri="{C3380CC4-5D6E-409C-BE32-E72D297353CC}">
              <c16:uniqueId val="{00000002-EC1E-44EB-84C9-5DA073817C80}"/>
            </c:ext>
          </c:extLst>
        </c:ser>
        <c:dLbls>
          <c:showLegendKey val="0"/>
          <c:showVal val="1"/>
          <c:showCatName val="0"/>
          <c:showSerName val="0"/>
          <c:showPercent val="0"/>
          <c:showBubbleSize val="0"/>
        </c:dLbls>
        <c:gapWidth val="75"/>
        <c:shape val="box"/>
        <c:axId val="1872424512"/>
        <c:axId val="1872415776"/>
        <c:axId val="0"/>
      </c:bar3DChart>
      <c:catAx>
        <c:axId val="1872424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Projection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crossAx val="1872415776"/>
        <c:crosses val="autoZero"/>
        <c:auto val="1"/>
        <c:lblAlgn val="ctr"/>
        <c:lblOffset val="100"/>
        <c:noMultiLvlLbl val="0"/>
      </c:catAx>
      <c:valAx>
        <c:axId val="1872415776"/>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Profit (INR lacs)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 #,##0_ ;_ * \-#,##0_ ;_ * &quot;-&quot;??_ ;_ @_ " sourceLinked="1"/>
        <c:majorTickMark val="none"/>
        <c:minorTickMark val="none"/>
        <c:tickLblPos val="nextTo"/>
        <c:crossAx val="187242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chart" Target="../charts/chart8.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234344</xdr:colOff>
      <xdr:row>18</xdr:row>
      <xdr:rowOff>135769</xdr:rowOff>
    </xdr:from>
    <xdr:to>
      <xdr:col>17</xdr:col>
      <xdr:colOff>266095</xdr:colOff>
      <xdr:row>39</xdr:row>
      <xdr:rowOff>4233</xdr:rowOff>
    </xdr:to>
    <xdr:graphicFrame macro="">
      <xdr:nvGraphicFramePr>
        <xdr:cNvPr id="2" name="Chart 1">
          <a:extLst>
            <a:ext uri="{FF2B5EF4-FFF2-40B4-BE49-F238E27FC236}">
              <a16:creationId xmlns:a16="http://schemas.microsoft.com/office/drawing/2014/main" id="{102243F4-2E76-8EA5-6B49-CD2C51CFB4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519906</xdr:colOff>
      <xdr:row>11</xdr:row>
      <xdr:rowOff>132556</xdr:rowOff>
    </xdr:from>
    <xdr:to>
      <xdr:col>5</xdr:col>
      <xdr:colOff>377031</xdr:colOff>
      <xdr:row>26</xdr:row>
      <xdr:rowOff>137318</xdr:rowOff>
    </xdr:to>
    <xdr:graphicFrame macro="">
      <xdr:nvGraphicFramePr>
        <xdr:cNvPr id="2" name="Chart 1">
          <a:extLst>
            <a:ext uri="{FF2B5EF4-FFF2-40B4-BE49-F238E27FC236}">
              <a16:creationId xmlns:a16="http://schemas.microsoft.com/office/drawing/2014/main" id="{44144AF7-277B-C78C-8D1D-CC9B1C1D5E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164041</xdr:colOff>
      <xdr:row>11</xdr:row>
      <xdr:rowOff>141816</xdr:rowOff>
    </xdr:from>
    <xdr:to>
      <xdr:col>13</xdr:col>
      <xdr:colOff>322791</xdr:colOff>
      <xdr:row>27</xdr:row>
      <xdr:rowOff>6350</xdr:rowOff>
    </xdr:to>
    <xdr:graphicFrame macro="">
      <xdr:nvGraphicFramePr>
        <xdr:cNvPr id="3" name="Chart 2">
          <a:extLst>
            <a:ext uri="{FF2B5EF4-FFF2-40B4-BE49-F238E27FC236}">
              <a16:creationId xmlns:a16="http://schemas.microsoft.com/office/drawing/2014/main" id="{DD649A26-79B8-5552-D139-F3A468286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195792</xdr:colOff>
      <xdr:row>11</xdr:row>
      <xdr:rowOff>99484</xdr:rowOff>
    </xdr:from>
    <xdr:to>
      <xdr:col>21</xdr:col>
      <xdr:colOff>470959</xdr:colOff>
      <xdr:row>26</xdr:row>
      <xdr:rowOff>143934</xdr:rowOff>
    </xdr:to>
    <xdr:graphicFrame macro="">
      <xdr:nvGraphicFramePr>
        <xdr:cNvPr id="4" name="Chart 3">
          <a:extLst>
            <a:ext uri="{FF2B5EF4-FFF2-40B4-BE49-F238E27FC236}">
              <a16:creationId xmlns:a16="http://schemas.microsoft.com/office/drawing/2014/main" id="{16D53FFB-BBF7-031D-2A79-FC79437E2D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25</xdr:row>
      <xdr:rowOff>33072</xdr:rowOff>
    </xdr:from>
    <xdr:to>
      <xdr:col>1</xdr:col>
      <xdr:colOff>6281208</xdr:colOff>
      <xdr:row>26</xdr:row>
      <xdr:rowOff>847459</xdr:rowOff>
    </xdr:to>
    <xdr:graphicFrame macro="">
      <xdr:nvGraphicFramePr>
        <xdr:cNvPr id="3" name="Chart 2">
          <a:extLst>
            <a:ext uri="{FF2B5EF4-FFF2-40B4-BE49-F238E27FC236}">
              <a16:creationId xmlns:a16="http://schemas.microsoft.com/office/drawing/2014/main" id="{205B17C6-63EB-4108-B6E7-803A621857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6745552</xdr:colOff>
      <xdr:row>25</xdr:row>
      <xdr:rowOff>42332</xdr:rowOff>
    </xdr:from>
    <xdr:to>
      <xdr:col>1</xdr:col>
      <xdr:colOff>10280385</xdr:colOff>
      <xdr:row>26</xdr:row>
      <xdr:rowOff>896408</xdr:rowOff>
    </xdr:to>
    <xdr:graphicFrame macro="">
      <xdr:nvGraphicFramePr>
        <xdr:cNvPr id="4" name="Chart 3">
          <a:extLst>
            <a:ext uri="{FF2B5EF4-FFF2-40B4-BE49-F238E27FC236}">
              <a16:creationId xmlns:a16="http://schemas.microsoft.com/office/drawing/2014/main" id="{68E33F1E-2EC7-420F-AD4A-5A3E8222B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10767219</xdr:colOff>
      <xdr:row>25</xdr:row>
      <xdr:rowOff>0</xdr:rowOff>
    </xdr:from>
    <xdr:to>
      <xdr:col>5</xdr:col>
      <xdr:colOff>384970</xdr:colOff>
      <xdr:row>26</xdr:row>
      <xdr:rowOff>854075</xdr:rowOff>
    </xdr:to>
    <xdr:graphicFrame macro="">
      <xdr:nvGraphicFramePr>
        <xdr:cNvPr id="5" name="Chart 4">
          <a:extLst>
            <a:ext uri="{FF2B5EF4-FFF2-40B4-BE49-F238E27FC236}">
              <a16:creationId xmlns:a16="http://schemas.microsoft.com/office/drawing/2014/main" id="{635E4A76-9AEE-436D-BA71-4605187A2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254000</xdr:colOff>
      <xdr:row>22</xdr:row>
      <xdr:rowOff>217714</xdr:rowOff>
    </xdr:from>
    <xdr:to>
      <xdr:col>1</xdr:col>
      <xdr:colOff>4650333</xdr:colOff>
      <xdr:row>22</xdr:row>
      <xdr:rowOff>1103428</xdr:rowOff>
    </xdr:to>
    <xdr:pic>
      <xdr:nvPicPr>
        <xdr:cNvPr id="7" name="Picture 6">
          <a:extLst>
            <a:ext uri="{FF2B5EF4-FFF2-40B4-BE49-F238E27FC236}">
              <a16:creationId xmlns:a16="http://schemas.microsoft.com/office/drawing/2014/main" id="{0FCC7405-6A7C-D68D-BB50-2ACF5943F0DE}"/>
            </a:ext>
          </a:extLst>
        </xdr:cNvPr>
        <xdr:cNvPicPr>
          <a:picLocks noChangeAspect="1"/>
        </xdr:cNvPicPr>
      </xdr:nvPicPr>
      <xdr:blipFill>
        <a:blip xmlns:r="http://schemas.openxmlformats.org/officeDocument/2006/relationships" r:embed="rId4"/>
        <a:stretch>
          <a:fillRect/>
        </a:stretch>
      </xdr:blipFill>
      <xdr:spPr>
        <a:xfrm>
          <a:off x="254000" y="17163143"/>
          <a:ext cx="4704762" cy="885714"/>
        </a:xfrm>
        <a:prstGeom prst="rect">
          <a:avLst/>
        </a:prstGeom>
      </xdr:spPr>
    </xdr:pic>
    <xdr:clientData/>
  </xdr:twoCellAnchor>
  <xdr:twoCellAnchor>
    <xdr:from>
      <xdr:col>1</xdr:col>
      <xdr:colOff>5597071</xdr:colOff>
      <xdr:row>20</xdr:row>
      <xdr:rowOff>127000</xdr:rowOff>
    </xdr:from>
    <xdr:to>
      <xdr:col>1</xdr:col>
      <xdr:colOff>12967608</xdr:colOff>
      <xdr:row>22</xdr:row>
      <xdr:rowOff>3442606</xdr:rowOff>
    </xdr:to>
    <xdr:graphicFrame macro="">
      <xdr:nvGraphicFramePr>
        <xdr:cNvPr id="8" name="Chart 7">
          <a:extLst>
            <a:ext uri="{FF2B5EF4-FFF2-40B4-BE49-F238E27FC236}">
              <a16:creationId xmlns:a16="http://schemas.microsoft.com/office/drawing/2014/main" id="{03357324-A3E1-4D9E-84E0-D8299E1C2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24</xdr:row>
      <xdr:rowOff>145142</xdr:rowOff>
    </xdr:from>
    <xdr:to>
      <xdr:col>1</xdr:col>
      <xdr:colOff>11276190</xdr:colOff>
      <xdr:row>24</xdr:row>
      <xdr:rowOff>1440380</xdr:rowOff>
    </xdr:to>
    <xdr:pic>
      <xdr:nvPicPr>
        <xdr:cNvPr id="11" name="Picture 10">
          <a:extLst>
            <a:ext uri="{FF2B5EF4-FFF2-40B4-BE49-F238E27FC236}">
              <a16:creationId xmlns:a16="http://schemas.microsoft.com/office/drawing/2014/main" id="{F2D26921-EAB5-48B5-FDB6-7FFE68581E0A}"/>
            </a:ext>
          </a:extLst>
        </xdr:cNvPr>
        <xdr:cNvPicPr>
          <a:picLocks noChangeAspect="1"/>
        </xdr:cNvPicPr>
      </xdr:nvPicPr>
      <xdr:blipFill>
        <a:blip xmlns:r="http://schemas.openxmlformats.org/officeDocument/2006/relationships" r:embed="rId6"/>
        <a:stretch>
          <a:fillRect/>
        </a:stretch>
      </xdr:blipFill>
      <xdr:spPr>
        <a:xfrm>
          <a:off x="308429" y="21308785"/>
          <a:ext cx="11276190" cy="12952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 G" id="{AAE99273-AE42-DB4E-8E64-D09A7305C8EB}" userId="57f9df811ef0df26"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4" dT="2023-09-13T15:00:02.72" personId="{AAE99273-AE42-DB4E-8E64-D09A7305C8EB}" id="{932F5544-451F-EE49-B235-0592523531E3}">
    <text>These inputs should be part of the QP, right?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9CBC-3BAB-4FCC-A1DC-CCDA1B6BB75A}">
  <sheetPr codeName="Sheet1"/>
  <dimension ref="B2:O29"/>
  <sheetViews>
    <sheetView showGridLines="0" tabSelected="1" zoomScale="70" zoomScaleNormal="70" workbookViewId="0">
      <selection activeCell="O5" sqref="O5"/>
    </sheetView>
  </sheetViews>
  <sheetFormatPr defaultColWidth="8.81640625" defaultRowHeight="14.5" x14ac:dyDescent="0.35"/>
  <cols>
    <col min="2" max="2" width="24" bestFit="1" customWidth="1"/>
    <col min="3" max="3" width="18.81640625" bestFit="1" customWidth="1"/>
    <col min="7" max="7" width="8.6328125" customWidth="1"/>
    <col min="8" max="10" width="12.1796875" customWidth="1"/>
    <col min="11" max="13" width="15.26953125" customWidth="1"/>
  </cols>
  <sheetData>
    <row r="2" spans="2:15" x14ac:dyDescent="0.35">
      <c r="B2" s="3" t="s">
        <v>0</v>
      </c>
      <c r="C2" s="8">
        <v>40000</v>
      </c>
      <c r="D2" t="s">
        <v>2</v>
      </c>
      <c r="G2" s="3"/>
      <c r="H2" s="34" t="s">
        <v>89</v>
      </c>
      <c r="I2" s="34"/>
      <c r="J2" s="34"/>
      <c r="K2" s="34" t="s">
        <v>88</v>
      </c>
      <c r="L2" s="34"/>
      <c r="M2" s="34"/>
    </row>
    <row r="3" spans="2:15" x14ac:dyDescent="0.35">
      <c r="B3" s="3" t="s">
        <v>1</v>
      </c>
      <c r="C3" s="4">
        <v>0.12</v>
      </c>
      <c r="G3" s="3" t="s">
        <v>20</v>
      </c>
      <c r="H3" s="3" t="s">
        <v>17</v>
      </c>
      <c r="I3" s="3" t="s">
        <v>18</v>
      </c>
      <c r="J3" s="3" t="s">
        <v>19</v>
      </c>
      <c r="K3" s="3" t="s">
        <v>17</v>
      </c>
      <c r="L3" s="3" t="s">
        <v>18</v>
      </c>
      <c r="M3" s="3" t="s">
        <v>19</v>
      </c>
      <c r="O3" s="26" t="s">
        <v>74</v>
      </c>
    </row>
    <row r="4" spans="2:15" x14ac:dyDescent="0.35">
      <c r="G4" s="3">
        <v>1</v>
      </c>
      <c r="H4" s="4">
        <v>0.6</v>
      </c>
      <c r="I4" s="4">
        <v>0.25</v>
      </c>
      <c r="J4" s="4">
        <v>0.15</v>
      </c>
      <c r="K4" s="7">
        <v>0.74</v>
      </c>
      <c r="L4" s="7">
        <v>0.72</v>
      </c>
      <c r="M4" s="7">
        <v>0.67</v>
      </c>
      <c r="O4" s="27">
        <f t="shared" ref="O4:O13" si="0">SUM(H4:J4)</f>
        <v>1</v>
      </c>
    </row>
    <row r="5" spans="2:15" x14ac:dyDescent="0.35">
      <c r="B5" s="11" t="s">
        <v>3</v>
      </c>
      <c r="G5" s="3">
        <v>2</v>
      </c>
      <c r="H5" s="4">
        <v>0.6</v>
      </c>
      <c r="I5" s="4">
        <v>0.25</v>
      </c>
      <c r="J5" s="4">
        <v>0.15</v>
      </c>
      <c r="K5" s="7">
        <f t="shared" ref="K5:M13" si="1">K4-0.25%</f>
        <v>0.73750000000000004</v>
      </c>
      <c r="L5" s="7">
        <f t="shared" si="1"/>
        <v>0.71750000000000003</v>
      </c>
      <c r="M5" s="7">
        <f t="shared" si="1"/>
        <v>0.66750000000000009</v>
      </c>
      <c r="O5" s="27">
        <f t="shared" si="0"/>
        <v>1</v>
      </c>
    </row>
    <row r="6" spans="2:15" x14ac:dyDescent="0.35">
      <c r="B6" s="3" t="s">
        <v>5</v>
      </c>
      <c r="C6" s="3">
        <v>1000</v>
      </c>
      <c r="D6" t="s">
        <v>2</v>
      </c>
      <c r="G6" s="3">
        <v>3</v>
      </c>
      <c r="H6" s="4">
        <v>0.6</v>
      </c>
      <c r="I6" s="4">
        <v>0.25</v>
      </c>
      <c r="J6" s="4">
        <v>0.15</v>
      </c>
      <c r="K6" s="7">
        <f t="shared" si="1"/>
        <v>0.7350000000000001</v>
      </c>
      <c r="L6" s="7">
        <f t="shared" si="1"/>
        <v>0.71500000000000008</v>
      </c>
      <c r="M6" s="7">
        <f t="shared" si="1"/>
        <v>0.66500000000000015</v>
      </c>
      <c r="O6" s="27">
        <f t="shared" si="0"/>
        <v>1</v>
      </c>
    </row>
    <row r="7" spans="2:15" x14ac:dyDescent="0.35">
      <c r="B7" s="3" t="s">
        <v>4</v>
      </c>
      <c r="C7" s="4">
        <v>0.05</v>
      </c>
      <c r="D7" t="s">
        <v>7</v>
      </c>
      <c r="G7" s="3">
        <v>4</v>
      </c>
      <c r="H7" s="4">
        <v>0.62</v>
      </c>
      <c r="I7" s="4">
        <v>0.23</v>
      </c>
      <c r="J7" s="4">
        <v>0.15</v>
      </c>
      <c r="K7" s="7">
        <f t="shared" si="1"/>
        <v>0.73250000000000015</v>
      </c>
      <c r="L7" s="7">
        <f t="shared" si="1"/>
        <v>0.71250000000000013</v>
      </c>
      <c r="M7" s="7">
        <f t="shared" si="1"/>
        <v>0.6625000000000002</v>
      </c>
      <c r="O7" s="27">
        <f t="shared" si="0"/>
        <v>1</v>
      </c>
    </row>
    <row r="8" spans="2:15" x14ac:dyDescent="0.35">
      <c r="B8" s="3" t="s">
        <v>8</v>
      </c>
      <c r="C8" s="4" t="s">
        <v>21</v>
      </c>
      <c r="G8" s="3">
        <v>5</v>
      </c>
      <c r="H8" s="4">
        <v>0.62</v>
      </c>
      <c r="I8" s="4">
        <v>0.23</v>
      </c>
      <c r="J8" s="4">
        <v>0.15</v>
      </c>
      <c r="K8" s="7">
        <f t="shared" si="1"/>
        <v>0.7300000000000002</v>
      </c>
      <c r="L8" s="7">
        <f t="shared" si="1"/>
        <v>0.71000000000000019</v>
      </c>
      <c r="M8" s="7">
        <f t="shared" si="1"/>
        <v>0.66000000000000025</v>
      </c>
      <c r="O8" s="27">
        <f t="shared" si="0"/>
        <v>1</v>
      </c>
    </row>
    <row r="9" spans="2:15" x14ac:dyDescent="0.35">
      <c r="B9" s="3" t="s">
        <v>9</v>
      </c>
      <c r="C9" s="4">
        <v>0.14000000000000001</v>
      </c>
      <c r="G9" s="3">
        <v>6</v>
      </c>
      <c r="H9" s="4">
        <v>0.62</v>
      </c>
      <c r="I9" s="4">
        <v>0.23</v>
      </c>
      <c r="J9" s="4">
        <v>0.15</v>
      </c>
      <c r="K9" s="5">
        <f t="shared" si="1"/>
        <v>0.72750000000000026</v>
      </c>
      <c r="L9" s="5">
        <f t="shared" si="1"/>
        <v>0.70750000000000024</v>
      </c>
      <c r="M9" s="5">
        <f t="shared" si="1"/>
        <v>0.65750000000000031</v>
      </c>
      <c r="O9" s="27">
        <f t="shared" si="0"/>
        <v>1</v>
      </c>
    </row>
    <row r="10" spans="2:15" x14ac:dyDescent="0.35">
      <c r="B10" s="3" t="s">
        <v>10</v>
      </c>
      <c r="C10" s="4">
        <v>0.12</v>
      </c>
      <c r="G10" s="3">
        <v>7</v>
      </c>
      <c r="H10" s="4">
        <v>0.62</v>
      </c>
      <c r="I10" s="4">
        <v>0.23</v>
      </c>
      <c r="J10" s="4">
        <v>0.15</v>
      </c>
      <c r="K10" s="5">
        <f t="shared" si="1"/>
        <v>0.72500000000000031</v>
      </c>
      <c r="L10" s="5">
        <f t="shared" si="1"/>
        <v>0.70500000000000029</v>
      </c>
      <c r="M10" s="5">
        <f t="shared" si="1"/>
        <v>0.65500000000000036</v>
      </c>
      <c r="O10" s="27">
        <f t="shared" si="0"/>
        <v>1</v>
      </c>
    </row>
    <row r="11" spans="2:15" x14ac:dyDescent="0.35">
      <c r="B11" s="3" t="s">
        <v>11</v>
      </c>
      <c r="C11" s="4">
        <v>0.1</v>
      </c>
      <c r="G11" s="3">
        <v>8</v>
      </c>
      <c r="H11" s="4">
        <v>0.65</v>
      </c>
      <c r="I11" s="4">
        <v>0.23</v>
      </c>
      <c r="J11" s="4">
        <v>0.12</v>
      </c>
      <c r="K11" s="5">
        <f t="shared" si="1"/>
        <v>0.72250000000000036</v>
      </c>
      <c r="L11" s="5">
        <f t="shared" si="1"/>
        <v>0.70250000000000035</v>
      </c>
      <c r="M11" s="5">
        <f t="shared" si="1"/>
        <v>0.65250000000000041</v>
      </c>
      <c r="O11" s="27">
        <f t="shared" si="0"/>
        <v>1</v>
      </c>
    </row>
    <row r="12" spans="2:15" x14ac:dyDescent="0.35">
      <c r="C12" s="2"/>
      <c r="G12" s="3">
        <v>9</v>
      </c>
      <c r="H12" s="4">
        <v>0.65</v>
      </c>
      <c r="I12" s="4">
        <v>0.23</v>
      </c>
      <c r="J12" s="4">
        <v>0.12</v>
      </c>
      <c r="K12" s="5">
        <f t="shared" si="1"/>
        <v>0.72000000000000042</v>
      </c>
      <c r="L12" s="5">
        <f t="shared" si="1"/>
        <v>0.7000000000000004</v>
      </c>
      <c r="M12" s="5">
        <f t="shared" si="1"/>
        <v>0.65000000000000047</v>
      </c>
      <c r="O12" s="27">
        <f t="shared" si="0"/>
        <v>1</v>
      </c>
    </row>
    <row r="13" spans="2:15" x14ac:dyDescent="0.35">
      <c r="B13" s="3" t="s">
        <v>12</v>
      </c>
      <c r="C13" s="3">
        <v>1500</v>
      </c>
      <c r="D13" t="s">
        <v>2</v>
      </c>
      <c r="G13" s="3">
        <v>10</v>
      </c>
      <c r="H13" s="4">
        <v>0.65</v>
      </c>
      <c r="I13" s="4">
        <v>0.23</v>
      </c>
      <c r="J13" s="4">
        <v>0.12</v>
      </c>
      <c r="K13" s="5">
        <f t="shared" si="1"/>
        <v>0.71750000000000047</v>
      </c>
      <c r="L13" s="5">
        <f t="shared" si="1"/>
        <v>0.69750000000000045</v>
      </c>
      <c r="M13" s="5">
        <f t="shared" si="1"/>
        <v>0.64750000000000052</v>
      </c>
      <c r="O13" s="27">
        <f t="shared" si="0"/>
        <v>1</v>
      </c>
    </row>
    <row r="14" spans="2:15" x14ac:dyDescent="0.35">
      <c r="B14" t="s">
        <v>38</v>
      </c>
      <c r="C14" s="1"/>
    </row>
    <row r="16" spans="2:15" x14ac:dyDescent="0.35">
      <c r="B16" t="s">
        <v>6</v>
      </c>
      <c r="C16" s="1"/>
    </row>
    <row r="17" spans="2:4" x14ac:dyDescent="0.35">
      <c r="B17" s="3" t="s">
        <v>13</v>
      </c>
      <c r="C17" s="4">
        <v>0.03</v>
      </c>
    </row>
    <row r="18" spans="2:4" x14ac:dyDescent="0.35">
      <c r="B18" s="3" t="s">
        <v>14</v>
      </c>
      <c r="C18" s="4">
        <v>0.08</v>
      </c>
    </row>
    <row r="19" spans="2:4" x14ac:dyDescent="0.35">
      <c r="B19" s="3" t="s">
        <v>15</v>
      </c>
      <c r="C19" s="4">
        <v>0.1</v>
      </c>
    </row>
    <row r="20" spans="2:4" x14ac:dyDescent="0.35">
      <c r="C20" s="1"/>
    </row>
    <row r="21" spans="2:4" x14ac:dyDescent="0.35">
      <c r="B21" t="s">
        <v>39</v>
      </c>
      <c r="C21" s="1"/>
    </row>
    <row r="22" spans="2:4" x14ac:dyDescent="0.35">
      <c r="B22" s="3" t="s">
        <v>40</v>
      </c>
      <c r="C22" s="4">
        <v>0.05</v>
      </c>
      <c r="D22" t="s">
        <v>41</v>
      </c>
    </row>
    <row r="23" spans="2:4" x14ac:dyDescent="0.35">
      <c r="C23" s="1"/>
    </row>
    <row r="24" spans="2:4" x14ac:dyDescent="0.35">
      <c r="B24" t="s">
        <v>28</v>
      </c>
    </row>
    <row r="25" spans="2:4" x14ac:dyDescent="0.35">
      <c r="B25" s="3" t="s">
        <v>17</v>
      </c>
      <c r="C25" s="3">
        <v>30000</v>
      </c>
    </row>
    <row r="26" spans="2:4" x14ac:dyDescent="0.35">
      <c r="B26" s="3" t="s">
        <v>18</v>
      </c>
      <c r="C26" s="3">
        <v>25000</v>
      </c>
    </row>
    <row r="27" spans="2:4" x14ac:dyDescent="0.35">
      <c r="B27" s="3" t="s">
        <v>19</v>
      </c>
      <c r="C27" s="3">
        <v>15000</v>
      </c>
    </row>
    <row r="29" spans="2:4" x14ac:dyDescent="0.35">
      <c r="B29" s="3" t="s">
        <v>27</v>
      </c>
      <c r="C29" s="4">
        <v>0.09</v>
      </c>
    </row>
  </sheetData>
  <mergeCells count="2">
    <mergeCell ref="K2:M2"/>
    <mergeCell ref="H2:J2"/>
  </mergeCells>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1813-BEC1-4279-A00F-44C6B1AF2773}">
  <sheetPr codeName="Sheet10">
    <tabColor rgb="FFFFFF00"/>
  </sheetPr>
  <dimension ref="B2:B43"/>
  <sheetViews>
    <sheetView showGridLines="0" topLeftCell="A43" zoomScale="70" zoomScaleNormal="70" workbookViewId="0">
      <selection activeCell="C25" sqref="C25"/>
    </sheetView>
  </sheetViews>
  <sheetFormatPr defaultColWidth="8.81640625" defaultRowHeight="14.5" x14ac:dyDescent="0.35"/>
  <cols>
    <col min="1" max="1" width="4.36328125" customWidth="1"/>
    <col min="2" max="2" width="187.453125" customWidth="1"/>
  </cols>
  <sheetData>
    <row r="2" spans="2:2" x14ac:dyDescent="0.35">
      <c r="B2" s="24" t="s">
        <v>99</v>
      </c>
    </row>
    <row r="4" spans="2:2" ht="15.5" x14ac:dyDescent="0.35">
      <c r="B4" s="22" t="s">
        <v>67</v>
      </c>
    </row>
    <row r="5" spans="2:2" ht="145" x14ac:dyDescent="0.35">
      <c r="B5" s="23" t="s">
        <v>80</v>
      </c>
    </row>
    <row r="7" spans="2:2" ht="15.5" x14ac:dyDescent="0.35">
      <c r="B7" s="22" t="s">
        <v>81</v>
      </c>
    </row>
    <row r="8" spans="2:2" ht="315.5" customHeight="1" x14ac:dyDescent="0.35">
      <c r="B8" s="23" t="s">
        <v>82</v>
      </c>
    </row>
    <row r="9" spans="2:2" x14ac:dyDescent="0.35">
      <c r="B9" s="23"/>
    </row>
    <row r="10" spans="2:2" ht="33" customHeight="1" x14ac:dyDescent="0.35">
      <c r="B10" s="22" t="s">
        <v>68</v>
      </c>
    </row>
    <row r="11" spans="2:2" ht="70.5" customHeight="1" x14ac:dyDescent="0.35">
      <c r="B11" s="23" t="s">
        <v>76</v>
      </c>
    </row>
    <row r="12" spans="2:2" x14ac:dyDescent="0.35">
      <c r="B12" s="23"/>
    </row>
    <row r="13" spans="2:2" ht="15.5" x14ac:dyDescent="0.35">
      <c r="B13" s="22" t="s">
        <v>77</v>
      </c>
    </row>
    <row r="14" spans="2:2" ht="149.5" customHeight="1" x14ac:dyDescent="0.35">
      <c r="B14" s="23" t="s">
        <v>87</v>
      </c>
    </row>
    <row r="15" spans="2:2" x14ac:dyDescent="0.35">
      <c r="B15" s="23"/>
    </row>
    <row r="16" spans="2:2" x14ac:dyDescent="0.35">
      <c r="B16" s="24" t="s">
        <v>69</v>
      </c>
    </row>
    <row r="17" spans="2:2" ht="358" customHeight="1" x14ac:dyDescent="0.35">
      <c r="B17" s="23" t="s">
        <v>91</v>
      </c>
    </row>
    <row r="18" spans="2:2" x14ac:dyDescent="0.35">
      <c r="B18" s="23" t="s">
        <v>78</v>
      </c>
    </row>
    <row r="19" spans="2:2" ht="44.5" customHeight="1" x14ac:dyDescent="0.35">
      <c r="B19" s="31" t="s">
        <v>83</v>
      </c>
    </row>
    <row r="20" spans="2:2" x14ac:dyDescent="0.35">
      <c r="B20" s="23"/>
    </row>
    <row r="21" spans="2:2" x14ac:dyDescent="0.35">
      <c r="B21" s="24" t="s">
        <v>70</v>
      </c>
    </row>
    <row r="22" spans="2:2" x14ac:dyDescent="0.35">
      <c r="B22" s="23" t="s">
        <v>79</v>
      </c>
    </row>
    <row r="23" spans="2:2" ht="296" customHeight="1" x14ac:dyDescent="0.35">
      <c r="B23" s="23"/>
    </row>
    <row r="24" spans="2:2" ht="36.5" customHeight="1" x14ac:dyDescent="0.35">
      <c r="B24" s="23" t="s">
        <v>84</v>
      </c>
    </row>
    <row r="25" spans="2:2" ht="149" customHeight="1" x14ac:dyDescent="0.35">
      <c r="B25" s="23"/>
    </row>
    <row r="26" spans="2:2" ht="149" customHeight="1" x14ac:dyDescent="0.35">
      <c r="B26" s="23" t="s">
        <v>97</v>
      </c>
    </row>
    <row r="27" spans="2:2" ht="104.5" customHeight="1" x14ac:dyDescent="0.35">
      <c r="B27" s="23"/>
    </row>
    <row r="28" spans="2:2" ht="20.5" customHeight="1" x14ac:dyDescent="0.35">
      <c r="B28" s="23"/>
    </row>
    <row r="29" spans="2:2" s="24" customFormat="1" x14ac:dyDescent="0.35">
      <c r="B29" s="25" t="s">
        <v>71</v>
      </c>
    </row>
    <row r="30" spans="2:2" s="24" customFormat="1" x14ac:dyDescent="0.35">
      <c r="B30" s="25"/>
    </row>
    <row r="31" spans="2:2" s="24" customFormat="1" x14ac:dyDescent="0.35">
      <c r="B31" s="14" t="s">
        <v>85</v>
      </c>
    </row>
    <row r="32" spans="2:2" s="24" customFormat="1" ht="70.5" customHeight="1" x14ac:dyDescent="0.35">
      <c r="B32" s="23" t="s">
        <v>92</v>
      </c>
    </row>
    <row r="33" spans="2:2" s="24" customFormat="1" ht="56.5" customHeight="1" x14ac:dyDescent="0.35">
      <c r="B33" s="23" t="s">
        <v>93</v>
      </c>
    </row>
    <row r="34" spans="2:2" s="24" customFormat="1" ht="55.5" customHeight="1" x14ac:dyDescent="0.35">
      <c r="B34" s="23" t="s">
        <v>94</v>
      </c>
    </row>
    <row r="35" spans="2:2" s="24" customFormat="1" ht="45.5" customHeight="1" x14ac:dyDescent="0.35">
      <c r="B35" s="23" t="s">
        <v>95</v>
      </c>
    </row>
    <row r="36" spans="2:2" s="24" customFormat="1" ht="36.5" customHeight="1" x14ac:dyDescent="0.35">
      <c r="B36" s="23" t="s">
        <v>90</v>
      </c>
    </row>
    <row r="37" spans="2:2" s="24" customFormat="1" x14ac:dyDescent="0.35">
      <c r="B37" s="25"/>
    </row>
    <row r="38" spans="2:2" s="24" customFormat="1" x14ac:dyDescent="0.35">
      <c r="B38" s="23"/>
    </row>
    <row r="39" spans="2:2" s="24" customFormat="1" x14ac:dyDescent="0.35">
      <c r="B39" s="25" t="s">
        <v>72</v>
      </c>
    </row>
    <row r="40" spans="2:2" s="24" customFormat="1" ht="43.5" x14ac:dyDescent="0.35">
      <c r="B40" s="23" t="s">
        <v>96</v>
      </c>
    </row>
    <row r="41" spans="2:2" x14ac:dyDescent="0.35">
      <c r="B41" s="23"/>
    </row>
    <row r="42" spans="2:2" x14ac:dyDescent="0.35">
      <c r="B42" s="24" t="s">
        <v>73</v>
      </c>
    </row>
    <row r="43" spans="2:2" ht="283.5" customHeight="1" x14ac:dyDescent="0.35">
      <c r="B43" s="23" t="s">
        <v>98</v>
      </c>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DB023-7B3C-4412-B682-268882870A49}">
  <sheetPr codeName="Sheet2"/>
  <dimension ref="B2:AQ31"/>
  <sheetViews>
    <sheetView showGridLines="0" zoomScale="70" zoomScaleNormal="70" workbookViewId="0">
      <selection activeCell="R33" sqref="R33"/>
    </sheetView>
  </sheetViews>
  <sheetFormatPr defaultColWidth="8.81640625" defaultRowHeight="14.5" x14ac:dyDescent="0.35"/>
  <cols>
    <col min="2" max="2" width="20.6328125" bestFit="1" customWidth="1"/>
    <col min="3" max="3" width="11.1796875" bestFit="1" customWidth="1"/>
    <col min="4" max="6" width="9.6328125" bestFit="1" customWidth="1"/>
    <col min="7" max="7" width="2" customWidth="1"/>
    <col min="12" max="12" width="2" customWidth="1"/>
    <col min="13" max="13" width="15" bestFit="1" customWidth="1"/>
    <col min="14" max="14" width="13.453125" bestFit="1" customWidth="1"/>
    <col min="15" max="15" width="13.453125" customWidth="1"/>
    <col min="16" max="16" width="19.1796875" bestFit="1" customWidth="1"/>
    <col min="17" max="17" width="15.36328125" bestFit="1" customWidth="1"/>
    <col min="18" max="18" width="19" bestFit="1" customWidth="1"/>
    <col min="19" max="19" width="3.81640625" customWidth="1"/>
    <col min="20" max="22" width="9.54296875" bestFit="1" customWidth="1"/>
    <col min="23" max="23" width="8.6328125" bestFit="1" customWidth="1"/>
    <col min="24" max="24" width="1.6328125" customWidth="1"/>
    <col min="29" max="29" width="2.453125" customWidth="1"/>
    <col min="34" max="34" width="2.453125" customWidth="1"/>
    <col min="39" max="39" width="1.6328125" customWidth="1"/>
    <col min="44" max="44" width="2" customWidth="1"/>
  </cols>
  <sheetData>
    <row r="2" spans="2:43" x14ac:dyDescent="0.35">
      <c r="B2" s="3"/>
      <c r="C2" s="35" t="s">
        <v>32</v>
      </c>
      <c r="D2" s="35"/>
      <c r="E2" s="35"/>
      <c r="F2" s="35"/>
      <c r="G2" s="9"/>
      <c r="H2" s="35" t="s">
        <v>31</v>
      </c>
      <c r="I2" s="35"/>
      <c r="J2" s="35"/>
      <c r="K2" s="35"/>
      <c r="L2" s="9"/>
      <c r="M2" s="35" t="s">
        <v>30</v>
      </c>
      <c r="N2" s="35"/>
      <c r="O2" s="35"/>
      <c r="P2" s="35"/>
      <c r="Q2" s="35"/>
      <c r="R2" s="35"/>
      <c r="S2" s="9"/>
      <c r="T2" s="35" t="s">
        <v>29</v>
      </c>
      <c r="U2" s="35"/>
      <c r="V2" s="35"/>
      <c r="W2" s="35"/>
      <c r="Y2" s="35" t="s">
        <v>86</v>
      </c>
      <c r="Z2" s="35"/>
      <c r="AA2" s="35"/>
      <c r="AB2" s="35"/>
      <c r="AD2" s="35" t="s">
        <v>33</v>
      </c>
      <c r="AE2" s="35"/>
      <c r="AF2" s="35"/>
      <c r="AG2" s="35"/>
      <c r="AI2" s="35" t="s">
        <v>34</v>
      </c>
      <c r="AJ2" s="35"/>
      <c r="AK2" s="35"/>
      <c r="AL2" s="35"/>
      <c r="AN2" s="35" t="s">
        <v>35</v>
      </c>
      <c r="AO2" s="35"/>
      <c r="AP2" s="35"/>
      <c r="AQ2" s="35"/>
    </row>
    <row r="3" spans="2:43" x14ac:dyDescent="0.35">
      <c r="B3" s="3" t="s">
        <v>20</v>
      </c>
      <c r="C3" s="3" t="s">
        <v>22</v>
      </c>
      <c r="D3" s="3" t="s">
        <v>17</v>
      </c>
      <c r="E3" s="3" t="s">
        <v>18</v>
      </c>
      <c r="F3" s="3" t="s">
        <v>19</v>
      </c>
      <c r="H3" s="3" t="s">
        <v>22</v>
      </c>
      <c r="I3" s="3" t="s">
        <v>17</v>
      </c>
      <c r="J3" s="3" t="s">
        <v>18</v>
      </c>
      <c r="K3" s="3" t="s">
        <v>19</v>
      </c>
      <c r="M3" s="3" t="s">
        <v>23</v>
      </c>
      <c r="N3" s="3" t="s">
        <v>42</v>
      </c>
      <c r="O3" s="3" t="s">
        <v>43</v>
      </c>
      <c r="P3" s="3" t="s">
        <v>24</v>
      </c>
      <c r="Q3" s="3" t="s">
        <v>25</v>
      </c>
      <c r="R3" s="3" t="s">
        <v>26</v>
      </c>
      <c r="T3" s="3" t="s">
        <v>22</v>
      </c>
      <c r="U3" s="3" t="s">
        <v>17</v>
      </c>
      <c r="V3" s="3" t="s">
        <v>18</v>
      </c>
      <c r="W3" s="3" t="s">
        <v>19</v>
      </c>
      <c r="Y3" s="3" t="s">
        <v>22</v>
      </c>
      <c r="Z3" s="3" t="s">
        <v>17</v>
      </c>
      <c r="AA3" s="3" t="s">
        <v>18</v>
      </c>
      <c r="AB3" s="3" t="s">
        <v>19</v>
      </c>
      <c r="AD3" s="3" t="s">
        <v>22</v>
      </c>
      <c r="AE3" s="3" t="s">
        <v>17</v>
      </c>
      <c r="AF3" s="3" t="s">
        <v>18</v>
      </c>
      <c r="AG3" s="3" t="s">
        <v>19</v>
      </c>
      <c r="AI3" s="3" t="s">
        <v>22</v>
      </c>
      <c r="AJ3" s="3" t="s">
        <v>17</v>
      </c>
      <c r="AK3" s="3" t="s">
        <v>18</v>
      </c>
      <c r="AL3" s="3" t="s">
        <v>19</v>
      </c>
      <c r="AN3" s="3" t="s">
        <v>22</v>
      </c>
      <c r="AO3" s="3" t="s">
        <v>17</v>
      </c>
      <c r="AP3" s="3" t="s">
        <v>18</v>
      </c>
      <c r="AQ3" s="3" t="s">
        <v>19</v>
      </c>
    </row>
    <row r="4" spans="2:43" x14ac:dyDescent="0.35">
      <c r="B4" s="3">
        <v>1</v>
      </c>
      <c r="C4" s="8">
        <f>Inputs!$C$2</f>
        <v>40000</v>
      </c>
      <c r="D4" s="8">
        <f>$C4*Inputs!H4</f>
        <v>24000</v>
      </c>
      <c r="E4" s="8">
        <f>$C4*Inputs!I4</f>
        <v>10000</v>
      </c>
      <c r="F4" s="8">
        <f>$C4*Inputs!J4</f>
        <v>6000</v>
      </c>
      <c r="G4" s="10"/>
      <c r="H4" s="8">
        <f t="shared" ref="H4:H13" si="0">SUM(I4:K4)</f>
        <v>2120</v>
      </c>
      <c r="I4" s="8">
        <f>Inputs!$C$17*$D4</f>
        <v>720</v>
      </c>
      <c r="J4" s="8">
        <f>Inputs!$C$18*$E4</f>
        <v>800</v>
      </c>
      <c r="K4" s="8">
        <f>Inputs!$C$19*$F4</f>
        <v>600</v>
      </c>
      <c r="L4" s="10"/>
      <c r="M4" s="8">
        <f>Inputs!$C$6</f>
        <v>1000</v>
      </c>
      <c r="N4" s="6">
        <f>IF(B4&lt;=3,Inputs!$C$9,IF(B4&lt;=6,Inputs!$C$10,Inputs!$C$11))</f>
        <v>0.14000000000000001</v>
      </c>
      <c r="O4" s="6">
        <f>Inputs!$C$22</f>
        <v>0.05</v>
      </c>
      <c r="P4" s="8">
        <f>(N4+O4)*C4</f>
        <v>7600</v>
      </c>
      <c r="Q4" s="8">
        <f>IF(B4=1,Inputs!$C$13,0)</f>
        <v>1500</v>
      </c>
      <c r="R4" s="8">
        <f>IF(B4&lt;=5,$Q$4/5,0)</f>
        <v>300</v>
      </c>
      <c r="S4" s="10"/>
      <c r="T4" s="8">
        <f>SUM(U4:W4)</f>
        <v>160000</v>
      </c>
      <c r="U4" s="8">
        <f>D4*10^5/Inputs!$C$25</f>
        <v>80000</v>
      </c>
      <c r="V4" s="8">
        <f>E4*10^5/Inputs!$C$26</f>
        <v>40000</v>
      </c>
      <c r="W4" s="8">
        <f>F4*10^5/Inputs!$C$27</f>
        <v>40000</v>
      </c>
      <c r="Y4" s="8">
        <f t="shared" ref="Y4:Y13" si="1">M4+P4+R4</f>
        <v>8900</v>
      </c>
      <c r="Z4" s="8">
        <f>$Y4*U4/$T4</f>
        <v>4450</v>
      </c>
      <c r="AA4" s="8">
        <f t="shared" ref="AA4:AA13" si="2">$Y4*V4/$T4</f>
        <v>2225</v>
      </c>
      <c r="AB4" s="8">
        <f t="shared" ref="AB4:AB13" si="3">$Y4*W4/$T4</f>
        <v>2225</v>
      </c>
      <c r="AD4" s="8">
        <f t="shared" ref="AD4:AD13" si="4">SUM(AE4:AG4)</f>
        <v>28980</v>
      </c>
      <c r="AE4" s="8">
        <f>D4*Inputs!K4</f>
        <v>17760</v>
      </c>
      <c r="AF4" s="8">
        <f>E4*Inputs!L4</f>
        <v>7200</v>
      </c>
      <c r="AG4" s="8">
        <f>F4*Inputs!M4</f>
        <v>4020.0000000000005</v>
      </c>
      <c r="AI4" s="8">
        <f t="shared" ref="AI4:AI13" si="5">SUM(AJ4:AL4)</f>
        <v>40000</v>
      </c>
      <c r="AJ4" s="8">
        <f t="shared" ref="AJ4:AJ13" si="6">I4+Z4+AE4</f>
        <v>22930</v>
      </c>
      <c r="AK4" s="8">
        <f t="shared" ref="AK4:AK13" si="7">J4+AA4+AF4</f>
        <v>10225</v>
      </c>
      <c r="AL4" s="8">
        <f t="shared" ref="AL4:AL13" si="8">K4+AB4+AG4</f>
        <v>6845</v>
      </c>
      <c r="AN4" s="8">
        <f t="shared" ref="AN4:AN13" si="9">C4-AI4</f>
        <v>0</v>
      </c>
      <c r="AO4" s="8">
        <f t="shared" ref="AO4:AO13" si="10">D4-AJ4</f>
        <v>1070</v>
      </c>
      <c r="AP4" s="8">
        <f t="shared" ref="AP4:AP13" si="11">E4-AK4</f>
        <v>-225</v>
      </c>
      <c r="AQ4" s="8">
        <f t="shared" ref="AQ4:AQ13" si="12">F4-AL4</f>
        <v>-845</v>
      </c>
    </row>
    <row r="5" spans="2:43" x14ac:dyDescent="0.35">
      <c r="B5" s="3">
        <v>2</v>
      </c>
      <c r="C5" s="8">
        <f>C4*(1+Inputs!$C$3)</f>
        <v>44800.000000000007</v>
      </c>
      <c r="D5" s="8">
        <f>$C5*Inputs!H5</f>
        <v>26880.000000000004</v>
      </c>
      <c r="E5" s="8">
        <f>$C5*Inputs!I5</f>
        <v>11200.000000000002</v>
      </c>
      <c r="F5" s="8">
        <f>$C5*Inputs!J5</f>
        <v>6720.0000000000009</v>
      </c>
      <c r="G5" s="10"/>
      <c r="H5" s="8">
        <f t="shared" si="0"/>
        <v>2374.4</v>
      </c>
      <c r="I5" s="8">
        <f>Inputs!$C$17*$D5</f>
        <v>806.40000000000009</v>
      </c>
      <c r="J5" s="8">
        <f>Inputs!$C$18*$E5</f>
        <v>896.00000000000011</v>
      </c>
      <c r="K5" s="8">
        <f>Inputs!$C$19*$F5</f>
        <v>672.00000000000011</v>
      </c>
      <c r="L5" s="10"/>
      <c r="M5" s="8">
        <f>M4*(1+Inputs!$C$7)</f>
        <v>1050</v>
      </c>
      <c r="N5" s="6">
        <f>IF(B5&lt;=3,Inputs!$C$9,IF(B5&lt;=6,Inputs!$C$10,Inputs!$C$11))</f>
        <v>0.14000000000000001</v>
      </c>
      <c r="O5" s="6">
        <f>Inputs!$C$22</f>
        <v>0.05</v>
      </c>
      <c r="P5" s="8">
        <f t="shared" ref="P5:P13" si="13">(N5+O5)*C5</f>
        <v>8512.0000000000018</v>
      </c>
      <c r="Q5" s="8">
        <f>IF(B5=1,Inputs!$C$13,0)</f>
        <v>0</v>
      </c>
      <c r="R5" s="8">
        <f t="shared" ref="R5:R13" si="14">IF(B5&lt;=5,$Q$4/5,0)</f>
        <v>300</v>
      </c>
      <c r="S5" s="10"/>
      <c r="T5" s="8">
        <f t="shared" ref="T5:T13" si="15">SUM(U5:W5)</f>
        <v>179200.00000000003</v>
      </c>
      <c r="U5" s="8">
        <f>D5*10^5/Inputs!$C$25</f>
        <v>89600.000000000015</v>
      </c>
      <c r="V5" s="8">
        <f>E5*10^5/Inputs!$C$26</f>
        <v>44800.000000000007</v>
      </c>
      <c r="W5" s="8">
        <f>F5*10^5/Inputs!$C$27</f>
        <v>44800.000000000007</v>
      </c>
      <c r="Y5" s="8">
        <f t="shared" si="1"/>
        <v>9862.0000000000018</v>
      </c>
      <c r="Z5" s="8">
        <f t="shared" ref="Z5:Z13" si="16">$Y5*U5/$T5</f>
        <v>4931.0000000000009</v>
      </c>
      <c r="AA5" s="8">
        <f t="shared" si="2"/>
        <v>2465.5000000000005</v>
      </c>
      <c r="AB5" s="8">
        <f t="shared" si="3"/>
        <v>2465.5000000000005</v>
      </c>
      <c r="AD5" s="8">
        <f t="shared" si="4"/>
        <v>32345.600000000009</v>
      </c>
      <c r="AE5" s="8">
        <f>D5*Inputs!K5</f>
        <v>19824.000000000004</v>
      </c>
      <c r="AF5" s="8">
        <f>E5*Inputs!L5</f>
        <v>8036.0000000000018</v>
      </c>
      <c r="AG5" s="8">
        <f>F5*Inputs!M5</f>
        <v>4485.6000000000013</v>
      </c>
      <c r="AI5" s="8">
        <f t="shared" si="5"/>
        <v>44582.000000000015</v>
      </c>
      <c r="AJ5" s="8">
        <f t="shared" si="6"/>
        <v>25561.400000000005</v>
      </c>
      <c r="AK5" s="8">
        <f t="shared" si="7"/>
        <v>11397.500000000002</v>
      </c>
      <c r="AL5" s="8">
        <f t="shared" si="8"/>
        <v>7623.1000000000022</v>
      </c>
      <c r="AN5" s="8">
        <f t="shared" si="9"/>
        <v>217.99999999999272</v>
      </c>
      <c r="AO5" s="8">
        <f t="shared" si="10"/>
        <v>1318.5999999999985</v>
      </c>
      <c r="AP5" s="8">
        <f t="shared" si="11"/>
        <v>-197.5</v>
      </c>
      <c r="AQ5" s="8">
        <f t="shared" si="12"/>
        <v>-903.10000000000127</v>
      </c>
    </row>
    <row r="6" spans="2:43" x14ac:dyDescent="0.35">
      <c r="B6" s="3">
        <v>3</v>
      </c>
      <c r="C6" s="8">
        <f>C5*(1+Inputs!$C$3)</f>
        <v>50176.000000000015</v>
      </c>
      <c r="D6" s="8">
        <f>$C6*Inputs!H6</f>
        <v>30105.600000000006</v>
      </c>
      <c r="E6" s="8">
        <f>$C6*Inputs!I6</f>
        <v>12544.000000000004</v>
      </c>
      <c r="F6" s="8">
        <f>$C6*Inputs!J6</f>
        <v>7526.4000000000015</v>
      </c>
      <c r="G6" s="10"/>
      <c r="H6" s="8">
        <f t="shared" si="0"/>
        <v>2659.3280000000009</v>
      </c>
      <c r="I6" s="8">
        <f>Inputs!$C$17*$D6</f>
        <v>903.16800000000012</v>
      </c>
      <c r="J6" s="8">
        <f>Inputs!$C$18*$E6</f>
        <v>1003.5200000000003</v>
      </c>
      <c r="K6" s="8">
        <f>Inputs!$C$19*$F6</f>
        <v>752.64000000000021</v>
      </c>
      <c r="L6" s="10"/>
      <c r="M6" s="8">
        <f>M5*(1+Inputs!$C$7)</f>
        <v>1102.5</v>
      </c>
      <c r="N6" s="6">
        <f>IF(B6&lt;=3,Inputs!$C$9,IF(B6&lt;=6,Inputs!$C$10,Inputs!$C$11))</f>
        <v>0.14000000000000001</v>
      </c>
      <c r="O6" s="6">
        <f>Inputs!$C$22</f>
        <v>0.05</v>
      </c>
      <c r="P6" s="8">
        <f t="shared" si="13"/>
        <v>9533.4400000000023</v>
      </c>
      <c r="Q6" s="8">
        <f>IF(B6=1,Inputs!$C$13,0)</f>
        <v>0</v>
      </c>
      <c r="R6" s="8">
        <f t="shared" si="14"/>
        <v>300</v>
      </c>
      <c r="S6" s="10"/>
      <c r="T6" s="8">
        <f t="shared" si="15"/>
        <v>200704.00000000003</v>
      </c>
      <c r="U6" s="8">
        <f>D6*10^5/Inputs!$C$25</f>
        <v>100352.00000000001</v>
      </c>
      <c r="V6" s="8">
        <f>E6*10^5/Inputs!$C$26</f>
        <v>50176.000000000022</v>
      </c>
      <c r="W6" s="8">
        <f>F6*10^5/Inputs!$C$27</f>
        <v>50176.000000000007</v>
      </c>
      <c r="Y6" s="8">
        <f t="shared" si="1"/>
        <v>10935.940000000002</v>
      </c>
      <c r="Z6" s="8">
        <f t="shared" si="16"/>
        <v>5467.9700000000012</v>
      </c>
      <c r="AA6" s="8">
        <f t="shared" si="2"/>
        <v>2733.9850000000015</v>
      </c>
      <c r="AB6" s="8">
        <f t="shared" si="3"/>
        <v>2733.9850000000006</v>
      </c>
      <c r="AD6" s="8">
        <f t="shared" si="4"/>
        <v>36101.632000000012</v>
      </c>
      <c r="AE6" s="8">
        <f>D6*Inputs!K6</f>
        <v>22127.616000000005</v>
      </c>
      <c r="AF6" s="8">
        <f>E6*Inputs!L6</f>
        <v>8968.9600000000028</v>
      </c>
      <c r="AG6" s="8">
        <f>F6*Inputs!M6</f>
        <v>5005.0560000000023</v>
      </c>
      <c r="AI6" s="8">
        <f t="shared" si="5"/>
        <v>49696.900000000016</v>
      </c>
      <c r="AJ6" s="8">
        <f t="shared" si="6"/>
        <v>28498.754000000008</v>
      </c>
      <c r="AK6" s="8">
        <f t="shared" si="7"/>
        <v>12706.465000000004</v>
      </c>
      <c r="AL6" s="8">
        <f t="shared" si="8"/>
        <v>8491.6810000000041</v>
      </c>
      <c r="AN6" s="8">
        <f t="shared" si="9"/>
        <v>479.09999999999854</v>
      </c>
      <c r="AO6" s="8">
        <f t="shared" si="10"/>
        <v>1606.8459999999977</v>
      </c>
      <c r="AP6" s="8">
        <f t="shared" si="11"/>
        <v>-162.46500000000015</v>
      </c>
      <c r="AQ6" s="8">
        <f t="shared" si="12"/>
        <v>-965.28100000000268</v>
      </c>
    </row>
    <row r="7" spans="2:43" x14ac:dyDescent="0.35">
      <c r="B7" s="3">
        <v>4</v>
      </c>
      <c r="C7" s="8">
        <f>C6*(1+Inputs!$C$3)</f>
        <v>56197.120000000024</v>
      </c>
      <c r="D7" s="8">
        <f>$C7*Inputs!H7</f>
        <v>34842.214400000012</v>
      </c>
      <c r="E7" s="8">
        <f>$C7*Inputs!I7</f>
        <v>12925.337600000006</v>
      </c>
      <c r="F7" s="8">
        <f>$C7*Inputs!J7</f>
        <v>8429.5680000000029</v>
      </c>
      <c r="G7" s="10"/>
      <c r="H7" s="8">
        <f t="shared" si="0"/>
        <v>2922.2502400000012</v>
      </c>
      <c r="I7" s="8">
        <f>Inputs!$C$17*$D7</f>
        <v>1045.2664320000003</v>
      </c>
      <c r="J7" s="8">
        <f>Inputs!$C$18*$E7</f>
        <v>1034.0270080000005</v>
      </c>
      <c r="K7" s="8">
        <f>Inputs!$C$19*$F7</f>
        <v>842.95680000000038</v>
      </c>
      <c r="L7" s="10"/>
      <c r="M7" s="8">
        <f>M6*(1+Inputs!$C$7)</f>
        <v>1157.625</v>
      </c>
      <c r="N7" s="6">
        <f>IF(B7&lt;=3,Inputs!$C$9,IF(B7&lt;=6,Inputs!$C$10,Inputs!$C$11))</f>
        <v>0.12</v>
      </c>
      <c r="O7" s="6">
        <f>Inputs!$C$22</f>
        <v>0.05</v>
      </c>
      <c r="P7" s="8">
        <f t="shared" si="13"/>
        <v>9553.5104000000028</v>
      </c>
      <c r="Q7" s="8">
        <f>IF(B7=1,Inputs!$C$13,0)</f>
        <v>0</v>
      </c>
      <c r="R7" s="8">
        <f t="shared" si="14"/>
        <v>300</v>
      </c>
      <c r="S7" s="10"/>
      <c r="T7" s="8">
        <f t="shared" si="15"/>
        <v>224039.18506666675</v>
      </c>
      <c r="U7" s="8">
        <f>D7*10^5/Inputs!$C$25</f>
        <v>116140.7146666667</v>
      </c>
      <c r="V7" s="8">
        <f>E7*10^5/Inputs!$C$26</f>
        <v>51701.350400000032</v>
      </c>
      <c r="W7" s="8">
        <f>F7*10^5/Inputs!$C$27</f>
        <v>56197.120000000017</v>
      </c>
      <c r="Y7" s="8">
        <f t="shared" si="1"/>
        <v>11011.135400000003</v>
      </c>
      <c r="Z7" s="8">
        <f t="shared" si="16"/>
        <v>5708.1136688963225</v>
      </c>
      <c r="AA7" s="8">
        <f t="shared" si="2"/>
        <v>2541.0312461538474</v>
      </c>
      <c r="AB7" s="8">
        <f t="shared" si="3"/>
        <v>2761.9904849498334</v>
      </c>
      <c r="AD7" s="8">
        <f t="shared" si="4"/>
        <v>40315.813888000026</v>
      </c>
      <c r="AE7" s="8">
        <f>D7*Inputs!K7</f>
        <v>25521.922048000015</v>
      </c>
      <c r="AF7" s="8">
        <f>E7*Inputs!L7</f>
        <v>9209.3030400000061</v>
      </c>
      <c r="AG7" s="8">
        <f>F7*Inputs!M7</f>
        <v>5584.5888000000041</v>
      </c>
      <c r="AI7" s="8">
        <f t="shared" si="5"/>
        <v>54249.199528000034</v>
      </c>
      <c r="AJ7" s="8">
        <f t="shared" si="6"/>
        <v>32275.302148896339</v>
      </c>
      <c r="AK7" s="8">
        <f t="shared" si="7"/>
        <v>12784.361294153854</v>
      </c>
      <c r="AL7" s="8">
        <f t="shared" si="8"/>
        <v>9189.5360849498375</v>
      </c>
      <c r="AN7" s="8">
        <f t="shared" si="9"/>
        <v>1947.9204719999907</v>
      </c>
      <c r="AO7" s="8">
        <f t="shared" si="10"/>
        <v>2566.912251103673</v>
      </c>
      <c r="AP7" s="8">
        <f t="shared" si="11"/>
        <v>140.97630584615217</v>
      </c>
      <c r="AQ7" s="8">
        <f t="shared" si="12"/>
        <v>-759.96808494983452</v>
      </c>
    </row>
    <row r="8" spans="2:43" x14ac:dyDescent="0.35">
      <c r="B8" s="3">
        <v>5</v>
      </c>
      <c r="C8" s="8">
        <f>C7*(1+Inputs!$C$3)</f>
        <v>62940.774400000031</v>
      </c>
      <c r="D8" s="8">
        <f>$C8*Inputs!H8</f>
        <v>39023.28012800002</v>
      </c>
      <c r="E8" s="8">
        <f>$C8*Inputs!I8</f>
        <v>14476.378112000008</v>
      </c>
      <c r="F8" s="8">
        <f>$C8*Inputs!J8</f>
        <v>9441.116160000005</v>
      </c>
      <c r="G8" s="10"/>
      <c r="H8" s="8">
        <f t="shared" si="0"/>
        <v>3272.9202688000018</v>
      </c>
      <c r="I8" s="8">
        <f>Inputs!$C$17*$D8</f>
        <v>1170.6984038400005</v>
      </c>
      <c r="J8" s="8">
        <f>Inputs!$C$18*$E8</f>
        <v>1158.1102489600007</v>
      </c>
      <c r="K8" s="8">
        <f>Inputs!$C$19*$F8</f>
        <v>944.11161600000059</v>
      </c>
      <c r="L8" s="10"/>
      <c r="M8" s="8">
        <f>M7*(1+Inputs!$C$7)</f>
        <v>1215.5062500000001</v>
      </c>
      <c r="N8" s="6">
        <f>IF(B8&lt;=3,Inputs!$C$9,IF(B8&lt;=6,Inputs!$C$10,Inputs!$C$11))</f>
        <v>0.12</v>
      </c>
      <c r="O8" s="6">
        <f>Inputs!$C$22</f>
        <v>0.05</v>
      </c>
      <c r="P8" s="8">
        <f t="shared" si="13"/>
        <v>10699.931648000005</v>
      </c>
      <c r="Q8" s="8">
        <f>IF(B8=1,Inputs!$C$13,0)</f>
        <v>0</v>
      </c>
      <c r="R8" s="8">
        <f t="shared" si="14"/>
        <v>300</v>
      </c>
      <c r="S8" s="10"/>
      <c r="T8" s="8">
        <f t="shared" si="15"/>
        <v>250923.88727466678</v>
      </c>
      <c r="U8" s="8">
        <f>D8*10^5/Inputs!$C$25</f>
        <v>130077.60042666673</v>
      </c>
      <c r="V8" s="8">
        <f>E8*10^5/Inputs!$C$26</f>
        <v>57905.51244800003</v>
      </c>
      <c r="W8" s="8">
        <f>F8*10^5/Inputs!$C$27</f>
        <v>62940.774400000031</v>
      </c>
      <c r="Y8" s="8">
        <f t="shared" si="1"/>
        <v>12215.437898000006</v>
      </c>
      <c r="Z8" s="8">
        <f t="shared" si="16"/>
        <v>6332.4176394314418</v>
      </c>
      <c r="AA8" s="8">
        <f t="shared" si="2"/>
        <v>2818.9472072307708</v>
      </c>
      <c r="AB8" s="8">
        <f t="shared" si="3"/>
        <v>3064.0730513377944</v>
      </c>
      <c r="AD8" s="8">
        <f t="shared" si="4"/>
        <v>44996.359618560033</v>
      </c>
      <c r="AE8" s="8">
        <f>D8*Inputs!K8</f>
        <v>28486.994493440023</v>
      </c>
      <c r="AF8" s="8">
        <f>E8*Inputs!L8</f>
        <v>10278.228459520009</v>
      </c>
      <c r="AG8" s="8">
        <f>F8*Inputs!M8</f>
        <v>6231.1366656000055</v>
      </c>
      <c r="AI8" s="8">
        <f t="shared" si="5"/>
        <v>60484.717785360044</v>
      </c>
      <c r="AJ8" s="8">
        <f t="shared" si="6"/>
        <v>35990.110536711465</v>
      </c>
      <c r="AK8" s="8">
        <f t="shared" si="7"/>
        <v>14255.285915710781</v>
      </c>
      <c r="AL8" s="8">
        <f t="shared" si="8"/>
        <v>10239.321332937801</v>
      </c>
      <c r="AN8" s="8">
        <f t="shared" si="9"/>
        <v>2456.0566146399869</v>
      </c>
      <c r="AO8" s="8">
        <f t="shared" si="10"/>
        <v>3033.1695912885552</v>
      </c>
      <c r="AP8" s="8">
        <f t="shared" si="11"/>
        <v>221.09219628922619</v>
      </c>
      <c r="AQ8" s="8">
        <f t="shared" si="12"/>
        <v>-798.20517293779631</v>
      </c>
    </row>
    <row r="9" spans="2:43" x14ac:dyDescent="0.35">
      <c r="B9" s="3">
        <v>6</v>
      </c>
      <c r="C9" s="8">
        <f>C8*(1+Inputs!$C$3)</f>
        <v>70493.66732800004</v>
      </c>
      <c r="D9" s="8">
        <f>$C9*Inputs!H9</f>
        <v>43706.073743360022</v>
      </c>
      <c r="E9" s="8">
        <f>$C9*Inputs!I9</f>
        <v>16213.54348544001</v>
      </c>
      <c r="F9" s="8">
        <f>$C9*Inputs!J9</f>
        <v>10574.050099200005</v>
      </c>
      <c r="G9" s="10"/>
      <c r="H9" s="8">
        <f t="shared" si="0"/>
        <v>3665.6707010560021</v>
      </c>
      <c r="I9" s="8">
        <f>Inputs!$C$17*$D9</f>
        <v>1311.1822123008005</v>
      </c>
      <c r="J9" s="8">
        <f>Inputs!$C$18*$E9</f>
        <v>1297.0834788352008</v>
      </c>
      <c r="K9" s="8">
        <f>Inputs!$C$19*$F9</f>
        <v>1057.4050099200006</v>
      </c>
      <c r="L9" s="10"/>
      <c r="M9" s="8">
        <f>M8*(1+Inputs!$C$7)</f>
        <v>1276.2815625000003</v>
      </c>
      <c r="N9" s="6">
        <f>IF(B9&lt;=3,Inputs!$C$9,IF(B9&lt;=6,Inputs!$C$10,Inputs!$C$11))</f>
        <v>0.12</v>
      </c>
      <c r="O9" s="6">
        <f>Inputs!$C$22</f>
        <v>0.05</v>
      </c>
      <c r="P9" s="8">
        <f t="shared" si="13"/>
        <v>11983.923445760005</v>
      </c>
      <c r="Q9" s="8">
        <f>IF(B9=1,Inputs!$C$13,0)</f>
        <v>0</v>
      </c>
      <c r="R9" s="8">
        <f t="shared" si="14"/>
        <v>0</v>
      </c>
      <c r="S9" s="10"/>
      <c r="T9" s="8">
        <f t="shared" si="15"/>
        <v>281034.75374762679</v>
      </c>
      <c r="U9" s="8">
        <f>D9*10^5/Inputs!$C$25</f>
        <v>145686.91247786675</v>
      </c>
      <c r="V9" s="8">
        <f>E9*10^5/Inputs!$C$26</f>
        <v>64854.173941760047</v>
      </c>
      <c r="W9" s="8">
        <f>F9*10^5/Inputs!$C$27</f>
        <v>70493.66732800004</v>
      </c>
      <c r="Y9" s="8">
        <f t="shared" si="1"/>
        <v>13260.205008260005</v>
      </c>
      <c r="Z9" s="8">
        <f t="shared" si="16"/>
        <v>6874.0193186632141</v>
      </c>
      <c r="AA9" s="8">
        <f t="shared" si="2"/>
        <v>3060.0473095984635</v>
      </c>
      <c r="AB9" s="8">
        <f t="shared" si="3"/>
        <v>3326.1383799983296</v>
      </c>
      <c r="AD9" s="8">
        <f t="shared" si="4"/>
        <v>50219.68860446725</v>
      </c>
      <c r="AE9" s="8">
        <f>D9*Inputs!K9</f>
        <v>31796.168648294428</v>
      </c>
      <c r="AF9" s="8">
        <f>E9*Inputs!L9</f>
        <v>11471.08201594881</v>
      </c>
      <c r="AG9" s="8">
        <f>F9*Inputs!M9</f>
        <v>6952.4379402240065</v>
      </c>
      <c r="AI9" s="8">
        <f t="shared" si="5"/>
        <v>67145.564313783252</v>
      </c>
      <c r="AJ9" s="8">
        <f t="shared" si="6"/>
        <v>39981.37017925844</v>
      </c>
      <c r="AK9" s="8">
        <f t="shared" si="7"/>
        <v>15828.212804382474</v>
      </c>
      <c r="AL9" s="8">
        <f t="shared" si="8"/>
        <v>11335.981330142336</v>
      </c>
      <c r="AN9" s="8">
        <f t="shared" si="9"/>
        <v>3348.1030142167874</v>
      </c>
      <c r="AO9" s="8">
        <f t="shared" si="10"/>
        <v>3724.7035641015827</v>
      </c>
      <c r="AP9" s="8">
        <f t="shared" si="11"/>
        <v>385.33068105753591</v>
      </c>
      <c r="AQ9" s="8">
        <f t="shared" si="12"/>
        <v>-761.93123094233124</v>
      </c>
    </row>
    <row r="10" spans="2:43" x14ac:dyDescent="0.35">
      <c r="B10" s="3">
        <v>7</v>
      </c>
      <c r="C10" s="8">
        <f>C9*(1+Inputs!$C$3)</f>
        <v>78952.90740736005</v>
      </c>
      <c r="D10" s="8">
        <f>$C10*Inputs!H10</f>
        <v>48950.802592563232</v>
      </c>
      <c r="E10" s="8">
        <f>$C10*Inputs!I10</f>
        <v>18159.168703692812</v>
      </c>
      <c r="F10" s="8">
        <f>$C10*Inputs!J10</f>
        <v>11842.936111104007</v>
      </c>
      <c r="G10" s="10"/>
      <c r="H10" s="8">
        <f t="shared" si="0"/>
        <v>4105.5511851827232</v>
      </c>
      <c r="I10" s="8">
        <f>Inputs!$C$17*$D10</f>
        <v>1468.524077776897</v>
      </c>
      <c r="J10" s="8">
        <f>Inputs!$C$18*$E10</f>
        <v>1452.7334962954251</v>
      </c>
      <c r="K10" s="8">
        <f>Inputs!$C$19*$F10</f>
        <v>1184.2936111104007</v>
      </c>
      <c r="L10" s="10"/>
      <c r="M10" s="8">
        <f>M9*(1+Inputs!$C$7)</f>
        <v>1340.0956406250004</v>
      </c>
      <c r="N10" s="6">
        <f>IF(B10&lt;=3,Inputs!$C$9,IF(B10&lt;=6,Inputs!$C$10,Inputs!$C$11))</f>
        <v>0.1</v>
      </c>
      <c r="O10" s="6">
        <f>Inputs!$C$22</f>
        <v>0.05</v>
      </c>
      <c r="P10" s="8">
        <f t="shared" si="13"/>
        <v>11842.936111104009</v>
      </c>
      <c r="Q10" s="8">
        <f>IF(B10=1,Inputs!$C$13,0)</f>
        <v>0</v>
      </c>
      <c r="R10" s="8">
        <f t="shared" si="14"/>
        <v>0</v>
      </c>
      <c r="S10" s="10"/>
      <c r="T10" s="8">
        <f t="shared" si="15"/>
        <v>314758.92419734207</v>
      </c>
      <c r="U10" s="8">
        <f>D10*10^5/Inputs!$C$25</f>
        <v>163169.34197521076</v>
      </c>
      <c r="V10" s="8">
        <f>E10*10^5/Inputs!$C$26</f>
        <v>72636.67481477125</v>
      </c>
      <c r="W10" s="8">
        <f>F10*10^5/Inputs!$C$27</f>
        <v>78952.90740736005</v>
      </c>
      <c r="Y10" s="8">
        <f t="shared" si="1"/>
        <v>13183.03175172901</v>
      </c>
      <c r="Z10" s="8">
        <f t="shared" si="16"/>
        <v>6834.0131154448036</v>
      </c>
      <c r="AA10" s="8">
        <f t="shared" si="2"/>
        <v>3042.2380965528482</v>
      </c>
      <c r="AB10" s="8">
        <f t="shared" si="3"/>
        <v>3306.7805397313568</v>
      </c>
      <c r="AD10" s="8">
        <f t="shared" si="4"/>
        <v>56048.668968484926</v>
      </c>
      <c r="AE10" s="8">
        <f>D10*Inputs!K10</f>
        <v>35489.331879608355</v>
      </c>
      <c r="AF10" s="8">
        <f>E10*Inputs!L10</f>
        <v>12802.213936103439</v>
      </c>
      <c r="AG10" s="8">
        <f>F10*Inputs!M10</f>
        <v>7757.1231527731288</v>
      </c>
      <c r="AI10" s="8">
        <f t="shared" si="5"/>
        <v>73337.251905396653</v>
      </c>
      <c r="AJ10" s="8">
        <f t="shared" si="6"/>
        <v>43791.869072830057</v>
      </c>
      <c r="AK10" s="8">
        <f t="shared" si="7"/>
        <v>17297.185528951712</v>
      </c>
      <c r="AL10" s="8">
        <f t="shared" si="8"/>
        <v>12248.197303614887</v>
      </c>
      <c r="AN10" s="8">
        <f t="shared" si="9"/>
        <v>5615.6555019633961</v>
      </c>
      <c r="AO10" s="8">
        <f t="shared" si="10"/>
        <v>5158.9335197331748</v>
      </c>
      <c r="AP10" s="8">
        <f t="shared" si="11"/>
        <v>861.98317474110081</v>
      </c>
      <c r="AQ10" s="8">
        <f t="shared" si="12"/>
        <v>-405.26119251087948</v>
      </c>
    </row>
    <row r="11" spans="2:43" x14ac:dyDescent="0.35">
      <c r="B11" s="3">
        <v>8</v>
      </c>
      <c r="C11" s="8">
        <f>C10*(1+Inputs!$C$3)</f>
        <v>88427.256296243257</v>
      </c>
      <c r="D11" s="8">
        <f>$C11*Inputs!H11</f>
        <v>57477.716592558121</v>
      </c>
      <c r="E11" s="8">
        <f>$C11*Inputs!I11</f>
        <v>20338.268948135948</v>
      </c>
      <c r="F11" s="8">
        <f>$C11*Inputs!J11</f>
        <v>10611.270755549191</v>
      </c>
      <c r="G11" s="10"/>
      <c r="H11" s="8">
        <f t="shared" si="0"/>
        <v>4412.5200891825389</v>
      </c>
      <c r="I11" s="8">
        <f>Inputs!$C$17*$D11</f>
        <v>1724.3314977767436</v>
      </c>
      <c r="J11" s="8">
        <f>Inputs!$C$18*$E11</f>
        <v>1627.0615158508758</v>
      </c>
      <c r="K11" s="8">
        <f>Inputs!$C$19*$F11</f>
        <v>1061.1270755549192</v>
      </c>
      <c r="L11" s="10"/>
      <c r="M11" s="8">
        <f>M10*(1+Inputs!$C$7)</f>
        <v>1407.1004226562504</v>
      </c>
      <c r="N11" s="6">
        <f>IF(B11&lt;=3,Inputs!$C$9,IF(B11&lt;=6,Inputs!$C$10,Inputs!$C$11))</f>
        <v>0.1</v>
      </c>
      <c r="O11" s="6">
        <f>Inputs!$C$22</f>
        <v>0.05</v>
      </c>
      <c r="P11" s="8">
        <f t="shared" si="13"/>
        <v>13264.088444436491</v>
      </c>
      <c r="Q11" s="8">
        <f>IF(B11=1,Inputs!$C$13,0)</f>
        <v>0</v>
      </c>
      <c r="R11" s="8">
        <f t="shared" si="14"/>
        <v>0</v>
      </c>
      <c r="S11" s="10"/>
      <c r="T11" s="8">
        <f t="shared" si="15"/>
        <v>343687.26947139879</v>
      </c>
      <c r="U11" s="8">
        <f>D11*10^5/Inputs!$C$25</f>
        <v>191592.38864186039</v>
      </c>
      <c r="V11" s="8">
        <f>E11*10^5/Inputs!$C$26</f>
        <v>81353.075792543794</v>
      </c>
      <c r="W11" s="8">
        <f>F11*10^5/Inputs!$C$27</f>
        <v>70741.805036994614</v>
      </c>
      <c r="Y11" s="8">
        <f t="shared" si="1"/>
        <v>14671.188867092742</v>
      </c>
      <c r="Z11" s="8">
        <f t="shared" si="16"/>
        <v>8178.6215811408938</v>
      </c>
      <c r="AA11" s="8">
        <f t="shared" si="2"/>
        <v>3472.7685482998254</v>
      </c>
      <c r="AB11" s="8">
        <f t="shared" si="3"/>
        <v>3019.7987376520227</v>
      </c>
      <c r="AD11" s="8">
        <f t="shared" si="4"/>
        <v>62739.138342184626</v>
      </c>
      <c r="AE11" s="8">
        <f>D11*Inputs!K11</f>
        <v>41527.650238123264</v>
      </c>
      <c r="AF11" s="8">
        <f>E11*Inputs!L11</f>
        <v>14287.633936065511</v>
      </c>
      <c r="AG11" s="8">
        <f>F11*Inputs!M11</f>
        <v>6923.8541679958516</v>
      </c>
      <c r="AI11" s="8">
        <f t="shared" si="5"/>
        <v>81822.847298459907</v>
      </c>
      <c r="AJ11" s="8">
        <f t="shared" si="6"/>
        <v>51430.603317040899</v>
      </c>
      <c r="AK11" s="8">
        <f t="shared" si="7"/>
        <v>19387.464000216212</v>
      </c>
      <c r="AL11" s="8">
        <f t="shared" si="8"/>
        <v>11004.779981202793</v>
      </c>
      <c r="AN11" s="8">
        <f t="shared" si="9"/>
        <v>6604.4089977833501</v>
      </c>
      <c r="AO11" s="8">
        <f t="shared" si="10"/>
        <v>6047.1132755172221</v>
      </c>
      <c r="AP11" s="8">
        <f t="shared" si="11"/>
        <v>950.80494791973615</v>
      </c>
      <c r="AQ11" s="8">
        <f t="shared" si="12"/>
        <v>-393.5092256536027</v>
      </c>
    </row>
    <row r="12" spans="2:43" x14ac:dyDescent="0.35">
      <c r="B12" s="3">
        <v>9</v>
      </c>
      <c r="C12" s="8">
        <f>C11*(1+Inputs!$C$3)</f>
        <v>99038.527051792451</v>
      </c>
      <c r="D12" s="8">
        <f>$C12*Inputs!H12</f>
        <v>64375.042583665097</v>
      </c>
      <c r="E12" s="8">
        <f>$C12*Inputs!I12</f>
        <v>22778.861221912266</v>
      </c>
      <c r="F12" s="8">
        <f>$C12*Inputs!J12</f>
        <v>11884.623246215093</v>
      </c>
      <c r="G12" s="10"/>
      <c r="H12" s="8">
        <f t="shared" si="0"/>
        <v>4942.0224998844433</v>
      </c>
      <c r="I12" s="8">
        <f>Inputs!$C$17*$D12</f>
        <v>1931.2512775099528</v>
      </c>
      <c r="J12" s="8">
        <f>Inputs!$C$18*$E12</f>
        <v>1822.3088977529812</v>
      </c>
      <c r="K12" s="8">
        <f>Inputs!$C$19*$F12</f>
        <v>1188.4623246215094</v>
      </c>
      <c r="L12" s="10"/>
      <c r="M12" s="8">
        <f>M11*(1+Inputs!$C$7)</f>
        <v>1477.4554437890631</v>
      </c>
      <c r="N12" s="6">
        <f>IF(B12&lt;=3,Inputs!$C$9,IF(B12&lt;=6,Inputs!$C$10,Inputs!$C$11))</f>
        <v>0.1</v>
      </c>
      <c r="O12" s="6">
        <f>Inputs!$C$22</f>
        <v>0.05</v>
      </c>
      <c r="P12" s="8">
        <f t="shared" si="13"/>
        <v>14855.77905776887</v>
      </c>
      <c r="Q12" s="8">
        <f>IF(B12=1,Inputs!$C$13,0)</f>
        <v>0</v>
      </c>
      <c r="R12" s="8">
        <f t="shared" si="14"/>
        <v>0</v>
      </c>
      <c r="S12" s="10"/>
      <c r="T12" s="8">
        <f t="shared" si="15"/>
        <v>384929.74180796673</v>
      </c>
      <c r="U12" s="8">
        <f>D12*10^5/Inputs!$C$25</f>
        <v>214583.47527888365</v>
      </c>
      <c r="V12" s="8">
        <f>E12*10^5/Inputs!$C$26</f>
        <v>91115.444887649064</v>
      </c>
      <c r="W12" s="8">
        <f>F12*10^5/Inputs!$C$27</f>
        <v>79230.821641433955</v>
      </c>
      <c r="Y12" s="8">
        <f t="shared" si="1"/>
        <v>16333.234501557934</v>
      </c>
      <c r="Z12" s="8">
        <f t="shared" si="16"/>
        <v>9105.1478782269769</v>
      </c>
      <c r="AA12" s="8">
        <f t="shared" si="2"/>
        <v>3866.1858682933016</v>
      </c>
      <c r="AB12" s="8">
        <f t="shared" si="3"/>
        <v>3361.9007550376532</v>
      </c>
      <c r="AD12" s="8">
        <f t="shared" si="4"/>
        <v>70020.238625617305</v>
      </c>
      <c r="AE12" s="8">
        <f>D12*Inputs!K12</f>
        <v>46350.030660238896</v>
      </c>
      <c r="AF12" s="8">
        <f>E12*Inputs!L12</f>
        <v>15945.202855338595</v>
      </c>
      <c r="AG12" s="8">
        <f>F12*Inputs!M12</f>
        <v>7725.0051100398159</v>
      </c>
      <c r="AI12" s="8">
        <f t="shared" si="5"/>
        <v>91295.495627059674</v>
      </c>
      <c r="AJ12" s="8">
        <f t="shared" si="6"/>
        <v>57386.429815975825</v>
      </c>
      <c r="AK12" s="8">
        <f t="shared" si="7"/>
        <v>21633.697621384879</v>
      </c>
      <c r="AL12" s="8">
        <f t="shared" si="8"/>
        <v>12275.368189698978</v>
      </c>
      <c r="AN12" s="8">
        <f t="shared" si="9"/>
        <v>7743.0314247327769</v>
      </c>
      <c r="AO12" s="8">
        <f t="shared" si="10"/>
        <v>6988.612767689272</v>
      </c>
      <c r="AP12" s="8">
        <f t="shared" si="11"/>
        <v>1145.1636005273867</v>
      </c>
      <c r="AQ12" s="8">
        <f t="shared" si="12"/>
        <v>-390.74494348388544</v>
      </c>
    </row>
    <row r="13" spans="2:43" x14ac:dyDescent="0.35">
      <c r="B13" s="3">
        <v>10</v>
      </c>
      <c r="C13" s="8">
        <f>C12*(1+Inputs!$C$3)</f>
        <v>110923.15029800756</v>
      </c>
      <c r="D13" s="8">
        <f>$C13*Inputs!H13</f>
        <v>72100.04769370491</v>
      </c>
      <c r="E13" s="8">
        <f>$C13*Inputs!I13</f>
        <v>25512.324568541739</v>
      </c>
      <c r="F13" s="8">
        <f>$C13*Inputs!J13</f>
        <v>13310.778035760906</v>
      </c>
      <c r="G13" s="10"/>
      <c r="H13" s="8">
        <f t="shared" si="0"/>
        <v>5535.0651998705771</v>
      </c>
      <c r="I13" s="8">
        <f>Inputs!$C$17*$D13</f>
        <v>2163.0014308111472</v>
      </c>
      <c r="J13" s="8">
        <f>Inputs!$C$18*$E13</f>
        <v>2040.9859654833392</v>
      </c>
      <c r="K13" s="8">
        <f>Inputs!$C$19*$F13</f>
        <v>1331.0778035760907</v>
      </c>
      <c r="L13" s="10"/>
      <c r="M13" s="8">
        <f>M12*(1+Inputs!$C$7)</f>
        <v>1551.3282159785163</v>
      </c>
      <c r="N13" s="6">
        <f>IF(B13&lt;=3,Inputs!$C$9,IF(B13&lt;=6,Inputs!$C$10,Inputs!$C$11))</f>
        <v>0.1</v>
      </c>
      <c r="O13" s="6">
        <f>Inputs!$C$22</f>
        <v>0.05</v>
      </c>
      <c r="P13" s="8">
        <f t="shared" si="13"/>
        <v>16638.472544701137</v>
      </c>
      <c r="Q13" s="8">
        <f>IF(B13=1,Inputs!$C$13,0)</f>
        <v>0</v>
      </c>
      <c r="R13" s="8">
        <f t="shared" si="14"/>
        <v>0</v>
      </c>
      <c r="S13" s="10"/>
      <c r="T13" s="8">
        <f t="shared" si="15"/>
        <v>431121.31082492264</v>
      </c>
      <c r="U13" s="8">
        <f>D13*10^5/Inputs!$C$25</f>
        <v>240333.4923123497</v>
      </c>
      <c r="V13" s="8">
        <f>E13*10^5/Inputs!$C$26</f>
        <v>102049.29827416694</v>
      </c>
      <c r="W13" s="8">
        <f>F13*10^5/Inputs!$C$27</f>
        <v>88738.520238406039</v>
      </c>
      <c r="Y13" s="8">
        <f t="shared" si="1"/>
        <v>18189.800760679653</v>
      </c>
      <c r="Z13" s="8">
        <f t="shared" si="16"/>
        <v>10140.111916330854</v>
      </c>
      <c r="AA13" s="8">
        <f t="shared" si="2"/>
        <v>4305.6475213958702</v>
      </c>
      <c r="AB13" s="8">
        <f t="shared" si="3"/>
        <v>3744.0413229529308</v>
      </c>
      <c r="AD13" s="8">
        <f t="shared" si="4"/>
        <v>78145.35938494638</v>
      </c>
      <c r="AE13" s="8">
        <f>D13*Inputs!K13</f>
        <v>51731.784220233305</v>
      </c>
      <c r="AF13" s="8">
        <f>E13*Inputs!L13</f>
        <v>17794.846386557874</v>
      </c>
      <c r="AG13" s="8">
        <f>F13*Inputs!M13</f>
        <v>8618.7287781551931</v>
      </c>
      <c r="AI13" s="8">
        <f t="shared" si="5"/>
        <v>101870.2253454966</v>
      </c>
      <c r="AJ13" s="8">
        <f t="shared" si="6"/>
        <v>64034.897567375308</v>
      </c>
      <c r="AK13" s="8">
        <f t="shared" si="7"/>
        <v>24141.479873437085</v>
      </c>
      <c r="AL13" s="8">
        <f t="shared" si="8"/>
        <v>13693.847904684215</v>
      </c>
      <c r="AN13" s="8">
        <f t="shared" si="9"/>
        <v>9052.9249525109626</v>
      </c>
      <c r="AO13" s="8">
        <f t="shared" si="10"/>
        <v>8065.1501263296013</v>
      </c>
      <c r="AP13" s="8">
        <f t="shared" si="11"/>
        <v>1370.8446951046535</v>
      </c>
      <c r="AQ13" s="8">
        <f t="shared" si="12"/>
        <v>-383.0698689233086</v>
      </c>
    </row>
    <row r="14" spans="2:43" x14ac:dyDescent="0.35">
      <c r="Q14" s="28" t="s">
        <v>75</v>
      </c>
      <c r="R14" s="28" t="b">
        <f>SUM(Q4:Q13)=SUM(R4:R13)</f>
        <v>1</v>
      </c>
    </row>
    <row r="16" spans="2:43" x14ac:dyDescent="0.35">
      <c r="C16" s="12" t="s">
        <v>22</v>
      </c>
      <c r="D16" s="12" t="s">
        <v>17</v>
      </c>
      <c r="E16" s="12" t="s">
        <v>18</v>
      </c>
      <c r="F16" s="12" t="s">
        <v>19</v>
      </c>
    </row>
    <row r="17" spans="2:13" x14ac:dyDescent="0.35">
      <c r="B17" s="3" t="s">
        <v>36</v>
      </c>
      <c r="C17" s="8">
        <f>NPV(Inputs!$C$29,AN4:AN13)</f>
        <v>19301.674169670223</v>
      </c>
      <c r="D17" s="8">
        <f>NPV(Inputs!$C$29,AO4:AO13)</f>
        <v>21824.520635304667</v>
      </c>
      <c r="E17" s="8">
        <f>NPV(Inputs!$C$29,AP4:AP13)</f>
        <v>2030.2554204407186</v>
      </c>
      <c r="F17" s="8">
        <f>NPV(Inputs!$C$29,AQ4:AQ13)</f>
        <v>-4553.1018860751747</v>
      </c>
      <c r="M17" s="13"/>
    </row>
    <row r="18" spans="2:13" x14ac:dyDescent="0.35">
      <c r="B18" s="3" t="s">
        <v>37</v>
      </c>
      <c r="C18" s="8">
        <f>NPV(Inputs!$C$29,C4:C13)</f>
        <v>415925.13037627732</v>
      </c>
      <c r="D18" s="8">
        <f>NPV(Inputs!$C$29,D4:D13)</f>
        <v>259715.60557899222</v>
      </c>
      <c r="E18" s="8">
        <f>NPV(Inputs!$C$29,E4:E13)</f>
        <v>97925.771780549956</v>
      </c>
      <c r="F18" s="8">
        <f>NPV(Inputs!$C$29,F4:F13)</f>
        <v>58283.753016735165</v>
      </c>
      <c r="M18" s="13"/>
    </row>
    <row r="19" spans="2:13" x14ac:dyDescent="0.35">
      <c r="B19" s="3" t="s">
        <v>44</v>
      </c>
      <c r="C19" s="6">
        <f>C17/C18</f>
        <v>4.6406607247339131E-2</v>
      </c>
      <c r="D19" s="6">
        <f>D17/D18</f>
        <v>8.4032380675202675E-2</v>
      </c>
      <c r="E19" s="6">
        <f>E17/E18</f>
        <v>2.0732595551970604E-2</v>
      </c>
      <c r="F19" s="6">
        <f>F17/F18</f>
        <v>-7.8119572786739228E-2</v>
      </c>
      <c r="M19" s="13"/>
    </row>
    <row r="20" spans="2:13" x14ac:dyDescent="0.35">
      <c r="M20" s="13"/>
    </row>
    <row r="21" spans="2:13" x14ac:dyDescent="0.35">
      <c r="M21" s="13"/>
    </row>
    <row r="22" spans="2:13" x14ac:dyDescent="0.35">
      <c r="M22" s="13"/>
    </row>
    <row r="23" spans="2:13" x14ac:dyDescent="0.35">
      <c r="M23" s="13"/>
    </row>
    <row r="24" spans="2:13" x14ac:dyDescent="0.35">
      <c r="M24" s="13"/>
    </row>
    <row r="25" spans="2:13" x14ac:dyDescent="0.35">
      <c r="M25" s="13"/>
    </row>
    <row r="26" spans="2:13" x14ac:dyDescent="0.35">
      <c r="M26" s="13"/>
    </row>
    <row r="27" spans="2:13" x14ac:dyDescent="0.35">
      <c r="M27" s="13"/>
    </row>
    <row r="28" spans="2:13" x14ac:dyDescent="0.35">
      <c r="M28" s="13"/>
    </row>
    <row r="29" spans="2:13" x14ac:dyDescent="0.35">
      <c r="M29" s="13"/>
    </row>
    <row r="30" spans="2:13" x14ac:dyDescent="0.35">
      <c r="M30" s="13"/>
    </row>
    <row r="31" spans="2:13" x14ac:dyDescent="0.35">
      <c r="M31" s="13"/>
    </row>
  </sheetData>
  <mergeCells count="8">
    <mergeCell ref="AI2:AL2"/>
    <mergeCell ref="AN2:AQ2"/>
    <mergeCell ref="T2:W2"/>
    <mergeCell ref="C2:F2"/>
    <mergeCell ref="H2:K2"/>
    <mergeCell ref="M2:R2"/>
    <mergeCell ref="Y2:AB2"/>
    <mergeCell ref="AD2:AG2"/>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E2F0-625D-4AD6-B3C1-30874F6E9762}">
  <sheetPr codeName="Sheet4"/>
  <dimension ref="B2:Q17"/>
  <sheetViews>
    <sheetView showGridLines="0" zoomScale="90" zoomScaleNormal="90" workbookViewId="0">
      <selection activeCell="E4" sqref="E4:F18"/>
    </sheetView>
  </sheetViews>
  <sheetFormatPr defaultColWidth="8.81640625" defaultRowHeight="14.5" x14ac:dyDescent="0.35"/>
  <cols>
    <col min="1" max="1" width="4.453125" customWidth="1"/>
    <col min="2" max="2" width="21.36328125" customWidth="1"/>
    <col min="5" max="5" width="12.6328125" customWidth="1"/>
    <col min="6" max="6" width="16.1796875" customWidth="1"/>
    <col min="13" max="13" width="9" bestFit="1" customWidth="1"/>
  </cols>
  <sheetData>
    <row r="2" spans="2:17" x14ac:dyDescent="0.35">
      <c r="B2" s="14" t="s">
        <v>45</v>
      </c>
      <c r="E2" s="14" t="s">
        <v>57</v>
      </c>
      <c r="H2" s="14" t="s">
        <v>49</v>
      </c>
      <c r="M2" s="14" t="s">
        <v>47</v>
      </c>
    </row>
    <row r="4" spans="2:17" x14ac:dyDescent="0.35">
      <c r="B4" s="3" t="s">
        <v>46</v>
      </c>
      <c r="C4" s="4">
        <v>0.15</v>
      </c>
      <c r="E4" t="s">
        <v>50</v>
      </c>
      <c r="H4" s="15"/>
      <c r="I4" s="36" t="s">
        <v>16</v>
      </c>
      <c r="J4" s="36"/>
      <c r="K4" s="36"/>
      <c r="M4" s="3" t="s">
        <v>20</v>
      </c>
      <c r="N4" s="3" t="s">
        <v>48</v>
      </c>
    </row>
    <row r="5" spans="2:17" x14ac:dyDescent="0.35">
      <c r="E5" s="3" t="s">
        <v>20</v>
      </c>
      <c r="F5" s="3" t="s">
        <v>51</v>
      </c>
      <c r="H5" s="33" t="s">
        <v>20</v>
      </c>
      <c r="I5" s="33" t="s">
        <v>17</v>
      </c>
      <c r="J5" s="33" t="s">
        <v>18</v>
      </c>
      <c r="K5" s="33" t="s">
        <v>19</v>
      </c>
      <c r="M5" s="3">
        <v>1</v>
      </c>
      <c r="N5" s="5">
        <v>7.6700000000000004E-2</v>
      </c>
    </row>
    <row r="6" spans="2:17" x14ac:dyDescent="0.35">
      <c r="E6" s="3">
        <v>1</v>
      </c>
      <c r="F6" s="3">
        <v>1500</v>
      </c>
      <c r="H6" s="16">
        <v>1</v>
      </c>
      <c r="I6" s="17">
        <v>0.7</v>
      </c>
      <c r="J6" s="17">
        <v>0.2</v>
      </c>
      <c r="K6" s="17">
        <v>9.9999999999999992E-2</v>
      </c>
      <c r="L6" s="30"/>
      <c r="M6" s="3">
        <f>M5+1</f>
        <v>2</v>
      </c>
      <c r="N6" s="5">
        <v>7.9100000000000004E-2</v>
      </c>
    </row>
    <row r="7" spans="2:17" x14ac:dyDescent="0.35">
      <c r="E7" s="3">
        <v>2</v>
      </c>
      <c r="F7" s="3">
        <v>1500</v>
      </c>
      <c r="H7" s="16">
        <v>2</v>
      </c>
      <c r="I7" s="17">
        <v>0.7</v>
      </c>
      <c r="J7" s="17">
        <v>0.2</v>
      </c>
      <c r="K7" s="17">
        <v>9.9999999999999992E-2</v>
      </c>
      <c r="L7" s="30"/>
      <c r="M7" s="3">
        <f t="shared" ref="M7:M14" si="0">M6+1</f>
        <v>3</v>
      </c>
      <c r="N7" s="5">
        <v>8.0199999999999994E-2</v>
      </c>
    </row>
    <row r="8" spans="2:17" x14ac:dyDescent="0.35">
      <c r="E8" s="3">
        <v>3</v>
      </c>
      <c r="F8" s="3">
        <v>1500</v>
      </c>
      <c r="H8" s="16">
        <v>3</v>
      </c>
      <c r="I8" s="17">
        <v>0.7</v>
      </c>
      <c r="J8" s="17">
        <v>0.2</v>
      </c>
      <c r="K8" s="17">
        <v>9.9999999999999992E-2</v>
      </c>
      <c r="L8" s="30"/>
      <c r="M8" s="3">
        <f t="shared" si="0"/>
        <v>4</v>
      </c>
      <c r="N8" s="5">
        <v>8.5900000000000004E-2</v>
      </c>
    </row>
    <row r="9" spans="2:17" x14ac:dyDescent="0.35">
      <c r="E9" s="3">
        <v>4</v>
      </c>
      <c r="F9" s="3">
        <v>1500</v>
      </c>
      <c r="H9" s="16">
        <v>4</v>
      </c>
      <c r="I9" s="17">
        <v>0.75</v>
      </c>
      <c r="J9" s="17">
        <v>0.18</v>
      </c>
      <c r="K9" s="17">
        <v>6.9999999999999993E-2</v>
      </c>
      <c r="L9" s="30"/>
      <c r="M9" s="3">
        <f t="shared" si="0"/>
        <v>5</v>
      </c>
      <c r="N9" s="5">
        <v>9.01E-2</v>
      </c>
    </row>
    <row r="10" spans="2:17" x14ac:dyDescent="0.35">
      <c r="E10" s="3">
        <v>5</v>
      </c>
      <c r="F10" s="3">
        <v>1500</v>
      </c>
      <c r="H10" s="16">
        <v>5</v>
      </c>
      <c r="I10" s="17">
        <v>0.75</v>
      </c>
      <c r="J10" s="17">
        <v>0.18</v>
      </c>
      <c r="K10" s="17">
        <v>6.9999999999999993E-2</v>
      </c>
      <c r="L10" s="30"/>
      <c r="M10" s="3">
        <f t="shared" si="0"/>
        <v>6</v>
      </c>
      <c r="N10" s="5">
        <v>8.72E-2</v>
      </c>
    </row>
    <row r="11" spans="2:17" x14ac:dyDescent="0.35">
      <c r="E11" s="3">
        <v>6</v>
      </c>
      <c r="F11" s="3">
        <v>1800</v>
      </c>
      <c r="H11" s="16">
        <v>6</v>
      </c>
      <c r="I11" s="17">
        <v>0.75</v>
      </c>
      <c r="J11" s="17">
        <v>0.18</v>
      </c>
      <c r="K11" s="17">
        <v>6.9999999999999993E-2</v>
      </c>
      <c r="L11" s="30"/>
      <c r="M11" s="3">
        <f t="shared" si="0"/>
        <v>7</v>
      </c>
      <c r="N11" s="5">
        <v>8.7999999999999995E-2</v>
      </c>
    </row>
    <row r="12" spans="2:17" x14ac:dyDescent="0.35">
      <c r="E12" s="3">
        <v>7</v>
      </c>
      <c r="F12" s="3">
        <v>1800</v>
      </c>
      <c r="H12" s="16">
        <v>7</v>
      </c>
      <c r="I12" s="17">
        <v>0.75</v>
      </c>
      <c r="J12" s="17">
        <v>0.18</v>
      </c>
      <c r="K12" s="17">
        <v>6.9999999999999993E-2</v>
      </c>
      <c r="L12" s="30"/>
      <c r="M12" s="3">
        <f t="shared" si="0"/>
        <v>8</v>
      </c>
      <c r="N12" s="5">
        <v>9.2299999999999993E-2</v>
      </c>
    </row>
    <row r="13" spans="2:17" x14ac:dyDescent="0.35">
      <c r="E13" s="3">
        <v>8</v>
      </c>
      <c r="F13" s="3">
        <v>1800</v>
      </c>
      <c r="H13" s="16">
        <v>8</v>
      </c>
      <c r="I13" s="17">
        <v>0.8</v>
      </c>
      <c r="J13" s="17">
        <v>0.18</v>
      </c>
      <c r="K13" s="17">
        <v>2.0000000000000004E-2</v>
      </c>
      <c r="L13" s="30"/>
      <c r="M13" s="3">
        <f t="shared" si="0"/>
        <v>9</v>
      </c>
      <c r="N13" s="5">
        <v>9.0999999999999998E-2</v>
      </c>
    </row>
    <row r="14" spans="2:17" x14ac:dyDescent="0.35">
      <c r="E14" s="3">
        <v>9</v>
      </c>
      <c r="F14" s="3">
        <v>1800</v>
      </c>
      <c r="H14" s="16">
        <v>9</v>
      </c>
      <c r="I14" s="17">
        <v>0.8</v>
      </c>
      <c r="J14" s="17">
        <v>0.18</v>
      </c>
      <c r="K14" s="17">
        <v>2.0000000000000004E-2</v>
      </c>
      <c r="L14" s="30"/>
      <c r="M14" s="3">
        <f t="shared" si="0"/>
        <v>10</v>
      </c>
      <c r="N14" s="5">
        <v>9.0999999999999998E-2</v>
      </c>
    </row>
    <row r="15" spans="2:17" x14ac:dyDescent="0.35">
      <c r="E15" s="3">
        <v>10</v>
      </c>
      <c r="F15" s="3">
        <v>1800</v>
      </c>
      <c r="H15" s="16">
        <v>10</v>
      </c>
      <c r="I15" s="17">
        <v>0.8</v>
      </c>
      <c r="J15" s="17">
        <v>0.18</v>
      </c>
      <c r="K15" s="17">
        <v>2.0000000000000004E-2</v>
      </c>
      <c r="L15" s="30"/>
    </row>
    <row r="17" spans="5:6" x14ac:dyDescent="0.35">
      <c r="E17" s="3" t="s">
        <v>52</v>
      </c>
      <c r="F17" s="4">
        <v>0</v>
      </c>
    </row>
  </sheetData>
  <mergeCells count="1">
    <mergeCell ref="I4:K4"/>
  </mergeCells>
  <pageMargins left="0.7" right="0.7" top="0.75" bottom="0.75" header="0.3" footer="0.3"/>
  <pageSetup paperSize="9" orientation="portrait" horizontalDpi="30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7005-D20D-47ED-8743-95A11121C46C}">
  <sheetPr codeName="Sheet3">
    <tabColor theme="5" tint="0.59999389629810485"/>
  </sheetPr>
  <dimension ref="A1"/>
  <sheetViews>
    <sheetView showGridLines="0" workbookViewId="0">
      <selection activeCell="G19" sqref="G19"/>
    </sheetView>
  </sheetViews>
  <sheetFormatPr defaultColWidth="8.81640625"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F0E7D-D1C7-4F2B-A171-AE057F767188}">
  <sheetPr codeName="Sheet5"/>
  <dimension ref="B2:AQ31"/>
  <sheetViews>
    <sheetView showGridLines="0" topLeftCell="AA1" zoomScale="70" zoomScaleNormal="70" workbookViewId="0">
      <selection activeCell="BD12" sqref="BD12"/>
    </sheetView>
  </sheetViews>
  <sheetFormatPr defaultColWidth="8.81640625" defaultRowHeight="14.5" x14ac:dyDescent="0.35"/>
  <cols>
    <col min="2" max="2" width="20.6328125" bestFit="1" customWidth="1"/>
    <col min="3" max="3" width="11.1796875" bestFit="1" customWidth="1"/>
    <col min="4" max="6" width="9.6328125" bestFit="1" customWidth="1"/>
    <col min="7" max="7" width="2" customWidth="1"/>
    <col min="12" max="12" width="2" customWidth="1"/>
    <col min="13" max="13" width="15" bestFit="1" customWidth="1"/>
    <col min="14" max="14" width="13.453125" bestFit="1" customWidth="1"/>
    <col min="15" max="15" width="13.453125" customWidth="1"/>
    <col min="16" max="16" width="19.1796875" bestFit="1" customWidth="1"/>
    <col min="17" max="17" width="15.36328125" bestFit="1" customWidth="1"/>
    <col min="18" max="18" width="19" bestFit="1" customWidth="1"/>
    <col min="19" max="19" width="3.81640625" customWidth="1"/>
    <col min="20" max="23" width="8.6328125" bestFit="1" customWidth="1"/>
    <col min="24" max="24" width="1.6328125" customWidth="1"/>
    <col min="29" max="29" width="2.453125" customWidth="1"/>
    <col min="34" max="34" width="2.453125" customWidth="1"/>
    <col min="39" max="39" width="1.6328125" customWidth="1"/>
    <col min="44" max="44" width="2" customWidth="1"/>
  </cols>
  <sheetData>
    <row r="2" spans="2:43" ht="14.5" customHeight="1" x14ac:dyDescent="0.35">
      <c r="B2" s="3"/>
      <c r="C2" s="35" t="s">
        <v>32</v>
      </c>
      <c r="D2" s="35"/>
      <c r="E2" s="35"/>
      <c r="F2" s="35"/>
      <c r="G2" s="9"/>
      <c r="H2" s="35" t="s">
        <v>31</v>
      </c>
      <c r="I2" s="35"/>
      <c r="J2" s="35"/>
      <c r="K2" s="35"/>
      <c r="L2" s="9"/>
      <c r="M2" s="35" t="s">
        <v>30</v>
      </c>
      <c r="N2" s="35"/>
      <c r="O2" s="35"/>
      <c r="P2" s="35"/>
      <c r="Q2" s="35"/>
      <c r="R2" s="35"/>
      <c r="S2" s="9"/>
      <c r="T2" s="35" t="s">
        <v>29</v>
      </c>
      <c r="U2" s="35"/>
      <c r="V2" s="35"/>
      <c r="W2" s="35"/>
      <c r="Y2" s="35" t="s">
        <v>86</v>
      </c>
      <c r="Z2" s="35"/>
      <c r="AA2" s="35"/>
      <c r="AB2" s="35"/>
      <c r="AD2" s="35" t="s">
        <v>33</v>
      </c>
      <c r="AE2" s="35"/>
      <c r="AF2" s="35"/>
      <c r="AG2" s="35"/>
      <c r="AI2" s="35" t="s">
        <v>34</v>
      </c>
      <c r="AJ2" s="35"/>
      <c r="AK2" s="35"/>
      <c r="AL2" s="35"/>
      <c r="AN2" s="35" t="s">
        <v>35</v>
      </c>
      <c r="AO2" s="35"/>
      <c r="AP2" s="35"/>
      <c r="AQ2" s="35"/>
    </row>
    <row r="3" spans="2:43" x14ac:dyDescent="0.35">
      <c r="B3" s="3" t="s">
        <v>20</v>
      </c>
      <c r="C3" s="3" t="s">
        <v>22</v>
      </c>
      <c r="D3" s="3" t="s">
        <v>17</v>
      </c>
      <c r="E3" s="3" t="s">
        <v>18</v>
      </c>
      <c r="F3" s="3" t="s">
        <v>19</v>
      </c>
      <c r="H3" s="3" t="s">
        <v>22</v>
      </c>
      <c r="I3" s="3" t="s">
        <v>17</v>
      </c>
      <c r="J3" s="3" t="s">
        <v>18</v>
      </c>
      <c r="K3" s="3" t="s">
        <v>19</v>
      </c>
      <c r="M3" s="3" t="s">
        <v>23</v>
      </c>
      <c r="N3" s="3" t="s">
        <v>42</v>
      </c>
      <c r="O3" s="3" t="s">
        <v>43</v>
      </c>
      <c r="P3" s="3" t="s">
        <v>24</v>
      </c>
      <c r="Q3" s="3" t="s">
        <v>25</v>
      </c>
      <c r="R3" s="3" t="s">
        <v>26</v>
      </c>
      <c r="T3" s="3" t="s">
        <v>22</v>
      </c>
      <c r="U3" s="3" t="s">
        <v>17</v>
      </c>
      <c r="V3" s="3" t="s">
        <v>18</v>
      </c>
      <c r="W3" s="3" t="s">
        <v>19</v>
      </c>
      <c r="Y3" s="3" t="s">
        <v>22</v>
      </c>
      <c r="Z3" s="3" t="s">
        <v>17</v>
      </c>
      <c r="AA3" s="3" t="s">
        <v>18</v>
      </c>
      <c r="AB3" s="3" t="s">
        <v>19</v>
      </c>
      <c r="AD3" s="3" t="s">
        <v>22</v>
      </c>
      <c r="AE3" s="3" t="s">
        <v>17</v>
      </c>
      <c r="AF3" s="3" t="s">
        <v>18</v>
      </c>
      <c r="AG3" s="3" t="s">
        <v>19</v>
      </c>
      <c r="AI3" s="3" t="s">
        <v>22</v>
      </c>
      <c r="AJ3" s="3" t="s">
        <v>17</v>
      </c>
      <c r="AK3" s="3" t="s">
        <v>18</v>
      </c>
      <c r="AL3" s="3" t="s">
        <v>19</v>
      </c>
      <c r="AN3" s="3" t="s">
        <v>22</v>
      </c>
      <c r="AO3" s="3" t="s">
        <v>17</v>
      </c>
      <c r="AP3" s="3" t="s">
        <v>18</v>
      </c>
      <c r="AQ3" s="3" t="s">
        <v>19</v>
      </c>
    </row>
    <row r="4" spans="2:43" x14ac:dyDescent="0.35">
      <c r="B4" s="3">
        <v>1</v>
      </c>
      <c r="C4" s="8">
        <f>Inputs!$C$2</f>
        <v>40000</v>
      </c>
      <c r="D4" s="8">
        <f>$C4*Inputs!H4</f>
        <v>24000</v>
      </c>
      <c r="E4" s="8">
        <f>$C4*Inputs!I4</f>
        <v>10000</v>
      </c>
      <c r="F4" s="8">
        <f>$C4*Inputs!J4</f>
        <v>6000</v>
      </c>
      <c r="G4" s="10"/>
      <c r="H4" s="8">
        <f t="shared" ref="H4:H13" si="0">SUM(I4:K4)</f>
        <v>2120</v>
      </c>
      <c r="I4" s="8">
        <f>Inputs!$C$17*$D4</f>
        <v>720</v>
      </c>
      <c r="J4" s="8">
        <f>Inputs!$C$18*$E4</f>
        <v>800</v>
      </c>
      <c r="K4" s="8">
        <f>Inputs!$C$19*$F4</f>
        <v>600</v>
      </c>
      <c r="L4" s="10"/>
      <c r="M4" s="8">
        <f>Inputs!$C$6</f>
        <v>1000</v>
      </c>
      <c r="N4" s="6">
        <f>IF(B4&lt;=3,Inputs!$C$9,IF(B4&lt;=6,Inputs!$C$10,Inputs!$C$11))</f>
        <v>0.14000000000000001</v>
      </c>
      <c r="O4" s="6">
        <f>Inputs!$C$22</f>
        <v>0.05</v>
      </c>
      <c r="P4" s="8">
        <f>(N4+O4)*C4</f>
        <v>7600</v>
      </c>
      <c r="Q4" s="8">
        <f>IF(B4=1,Inputs!$C$13,0)</f>
        <v>1500</v>
      </c>
      <c r="R4" s="8">
        <f>IF(B4&lt;=5,$Q$4/5,0)</f>
        <v>300</v>
      </c>
      <c r="S4" s="10"/>
      <c r="T4" s="8">
        <f>SUM(U4:W4)</f>
        <v>160000</v>
      </c>
      <c r="U4" s="8">
        <f>D4*10^5/Inputs!$C$25</f>
        <v>80000</v>
      </c>
      <c r="V4" s="8">
        <f>E4*10^5/Inputs!$C$26</f>
        <v>40000</v>
      </c>
      <c r="W4" s="8">
        <f>F4*10^5/Inputs!$C$27</f>
        <v>40000</v>
      </c>
      <c r="Y4" s="8">
        <f t="shared" ref="Y4:Y13" si="1">M4+P4+R4</f>
        <v>8900</v>
      </c>
      <c r="Z4" s="8">
        <f>$Y4*U4/$T4</f>
        <v>4450</v>
      </c>
      <c r="AA4" s="8">
        <f t="shared" ref="AA4:AB13" si="2">$Y4*V4/$T4</f>
        <v>2225</v>
      </c>
      <c r="AB4" s="8">
        <f t="shared" si="2"/>
        <v>2225</v>
      </c>
      <c r="AD4" s="8">
        <f t="shared" ref="AD4:AD13" si="3">SUM(AE4:AG4)</f>
        <v>28980</v>
      </c>
      <c r="AE4" s="8">
        <f>'Projection - Scenario 1'!D4*Inputs!K4</f>
        <v>17760</v>
      </c>
      <c r="AF4" s="8">
        <f>'Projection - Scenario 1'!E4*Inputs!L4</f>
        <v>7200</v>
      </c>
      <c r="AG4" s="8">
        <f>'Projection - Scenario 1'!F4*Inputs!M4</f>
        <v>4020.0000000000005</v>
      </c>
      <c r="AI4" s="8">
        <f t="shared" ref="AI4:AI13" si="4">SUM(AJ4:AL4)</f>
        <v>40000</v>
      </c>
      <c r="AJ4" s="8">
        <f>'Projection - Scenario 1'!I4+'Projection - Scenario 1'!Z4+AE4</f>
        <v>22930</v>
      </c>
      <c r="AK4" s="8">
        <f>'Projection - Scenario 1'!J4+'Projection - Scenario 1'!AA4+AF4</f>
        <v>10225</v>
      </c>
      <c r="AL4" s="8">
        <f>'Projection - Scenario 1'!K4+'Projection - Scenario 1'!AB4+AG4</f>
        <v>6845</v>
      </c>
      <c r="AN4" s="8">
        <f>'Projection - Scenario 1'!C4-AI4</f>
        <v>0</v>
      </c>
      <c r="AO4" s="8">
        <f>'Projection - Scenario 1'!D4-AJ4</f>
        <v>1070</v>
      </c>
      <c r="AP4" s="8">
        <f>'Projection - Scenario 1'!E4-AK4</f>
        <v>-225</v>
      </c>
      <c r="AQ4" s="8">
        <f>'Projection - Scenario 1'!F4-AL4</f>
        <v>-845</v>
      </c>
    </row>
    <row r="5" spans="2:43" x14ac:dyDescent="0.35">
      <c r="B5" s="3">
        <v>2</v>
      </c>
      <c r="C5" s="18">
        <f>C4*(1+'Other inputs '!$C$4)</f>
        <v>46000</v>
      </c>
      <c r="D5" s="8">
        <f>$C5*Inputs!H5</f>
        <v>27600</v>
      </c>
      <c r="E5" s="8">
        <f>$C5*Inputs!I5</f>
        <v>11500</v>
      </c>
      <c r="F5" s="8">
        <f>$C5*Inputs!J5</f>
        <v>6900</v>
      </c>
      <c r="G5" s="10"/>
      <c r="H5" s="8">
        <f t="shared" si="0"/>
        <v>2438</v>
      </c>
      <c r="I5" s="8">
        <f>Inputs!$C$17*$D5</f>
        <v>828</v>
      </c>
      <c r="J5" s="8">
        <f>Inputs!$C$18*$E5</f>
        <v>920</v>
      </c>
      <c r="K5" s="8">
        <f>Inputs!$C$19*$F5</f>
        <v>690</v>
      </c>
      <c r="L5" s="10"/>
      <c r="M5" s="8">
        <f>M4*(1+Inputs!$C$7)</f>
        <v>1050</v>
      </c>
      <c r="N5" s="6">
        <f>IF(B5&lt;=3,Inputs!$C$9,IF(B5&lt;=6,Inputs!$C$10,Inputs!$C$11))</f>
        <v>0.14000000000000001</v>
      </c>
      <c r="O5" s="6">
        <f>Inputs!$C$22</f>
        <v>0.05</v>
      </c>
      <c r="P5" s="8">
        <f t="shared" ref="P5:P13" si="5">(N5+O5)*C5</f>
        <v>8740</v>
      </c>
      <c r="Q5" s="8">
        <f>IF(B5=1,Inputs!$C$13,0)</f>
        <v>0</v>
      </c>
      <c r="R5" s="8">
        <f t="shared" ref="R5:R13" si="6">IF(B5&lt;=5,$Q$4/5,0)</f>
        <v>300</v>
      </c>
      <c r="S5" s="10"/>
      <c r="T5" s="8">
        <f t="shared" ref="T5:T13" si="7">SUM(U5:W5)</f>
        <v>184000</v>
      </c>
      <c r="U5" s="8">
        <f>D5*10^5/Inputs!$C$25</f>
        <v>92000</v>
      </c>
      <c r="V5" s="8">
        <f>E5*10^5/Inputs!$C$26</f>
        <v>46000</v>
      </c>
      <c r="W5" s="8">
        <f>F5*10^5/Inputs!$C$27</f>
        <v>46000</v>
      </c>
      <c r="Y5" s="8">
        <f t="shared" si="1"/>
        <v>10090</v>
      </c>
      <c r="Z5" s="8">
        <f t="shared" ref="Z5:Z13" si="8">$Y5*U5/$T5</f>
        <v>5045</v>
      </c>
      <c r="AA5" s="8">
        <f t="shared" si="2"/>
        <v>2522.5</v>
      </c>
      <c r="AB5" s="8">
        <f t="shared" si="2"/>
        <v>2522.5</v>
      </c>
      <c r="AD5" s="8">
        <f t="shared" si="3"/>
        <v>33212</v>
      </c>
      <c r="AE5" s="8">
        <f>'Projection - Scenario 1'!D5*Inputs!K5</f>
        <v>20355</v>
      </c>
      <c r="AF5" s="8">
        <f>'Projection - Scenario 1'!E5*Inputs!L5</f>
        <v>8251.25</v>
      </c>
      <c r="AG5" s="8">
        <f>'Projection - Scenario 1'!F5*Inputs!M5</f>
        <v>4605.7500000000009</v>
      </c>
      <c r="AI5" s="8">
        <f t="shared" si="4"/>
        <v>45740</v>
      </c>
      <c r="AJ5" s="8">
        <f>'Projection - Scenario 1'!I5+'Projection - Scenario 1'!Z5+AE5</f>
        <v>26228</v>
      </c>
      <c r="AK5" s="8">
        <f>'Projection - Scenario 1'!J5+'Projection - Scenario 1'!AA5+AF5</f>
        <v>11693.75</v>
      </c>
      <c r="AL5" s="8">
        <f>'Projection - Scenario 1'!K5+'Projection - Scenario 1'!AB5+AG5</f>
        <v>7818.2500000000009</v>
      </c>
      <c r="AN5" s="8">
        <f>'Projection - Scenario 1'!C5-AI5</f>
        <v>260</v>
      </c>
      <c r="AO5" s="8">
        <f>'Projection - Scenario 1'!D5-AJ5</f>
        <v>1372</v>
      </c>
      <c r="AP5" s="8">
        <f>'Projection - Scenario 1'!E5-AK5</f>
        <v>-193.75</v>
      </c>
      <c r="AQ5" s="8">
        <f>'Projection - Scenario 1'!F5-AL5</f>
        <v>-918.25000000000091</v>
      </c>
    </row>
    <row r="6" spans="2:43" x14ac:dyDescent="0.35">
      <c r="B6" s="3">
        <v>3</v>
      </c>
      <c r="C6" s="18">
        <f>C5*(1+'Other inputs '!$C$4)</f>
        <v>52899.999999999993</v>
      </c>
      <c r="D6" s="8">
        <f>$C6*Inputs!H6</f>
        <v>31739.999999999993</v>
      </c>
      <c r="E6" s="8">
        <f>$C6*Inputs!I6</f>
        <v>13224.999999999998</v>
      </c>
      <c r="F6" s="8">
        <f>$C6*Inputs!J6</f>
        <v>7934.9999999999982</v>
      </c>
      <c r="G6" s="10"/>
      <c r="H6" s="8">
        <f t="shared" si="0"/>
        <v>2803.6999999999994</v>
      </c>
      <c r="I6" s="8">
        <f>Inputs!$C$17*$D6</f>
        <v>952.1999999999997</v>
      </c>
      <c r="J6" s="8">
        <f>Inputs!$C$18*$E6</f>
        <v>1057.9999999999998</v>
      </c>
      <c r="K6" s="8">
        <f>Inputs!$C$19*$F6</f>
        <v>793.49999999999989</v>
      </c>
      <c r="L6" s="10"/>
      <c r="M6" s="8">
        <f>M5*(1+Inputs!$C$7)</f>
        <v>1102.5</v>
      </c>
      <c r="N6" s="6">
        <f>IF(B6&lt;=3,Inputs!$C$9,IF(B6&lt;=6,Inputs!$C$10,Inputs!$C$11))</f>
        <v>0.14000000000000001</v>
      </c>
      <c r="O6" s="6">
        <f>Inputs!$C$22</f>
        <v>0.05</v>
      </c>
      <c r="P6" s="8">
        <f t="shared" si="5"/>
        <v>10050.999999999998</v>
      </c>
      <c r="Q6" s="8">
        <f>IF(B6=1,Inputs!$C$13,0)</f>
        <v>0</v>
      </c>
      <c r="R6" s="8">
        <f t="shared" si="6"/>
        <v>300</v>
      </c>
      <c r="S6" s="10"/>
      <c r="T6" s="8">
        <f t="shared" si="7"/>
        <v>211599.99999999994</v>
      </c>
      <c r="U6" s="8">
        <f>D6*10^5/Inputs!$C$25</f>
        <v>105799.99999999997</v>
      </c>
      <c r="V6" s="8">
        <f>E6*10^5/Inputs!$C$26</f>
        <v>52899.999999999993</v>
      </c>
      <c r="W6" s="8">
        <f>F6*10^5/Inputs!$C$27</f>
        <v>52899.999999999985</v>
      </c>
      <c r="Y6" s="8">
        <f t="shared" si="1"/>
        <v>11453.499999999998</v>
      </c>
      <c r="Z6" s="8">
        <f t="shared" si="8"/>
        <v>5726.7499999999991</v>
      </c>
      <c r="AA6" s="8">
        <f t="shared" si="2"/>
        <v>2863.3749999999995</v>
      </c>
      <c r="AB6" s="8">
        <f t="shared" si="2"/>
        <v>2863.3749999999995</v>
      </c>
      <c r="AD6" s="8">
        <f t="shared" si="3"/>
        <v>38061.549999999996</v>
      </c>
      <c r="AE6" s="8">
        <f>'Projection - Scenario 1'!D6*Inputs!K6</f>
        <v>23328.899999999998</v>
      </c>
      <c r="AF6" s="8">
        <f>'Projection - Scenario 1'!E6*Inputs!L6</f>
        <v>9455.875</v>
      </c>
      <c r="AG6" s="8">
        <f>'Projection - Scenario 1'!F6*Inputs!M6</f>
        <v>5276.7749999999996</v>
      </c>
      <c r="AI6" s="8">
        <f t="shared" si="4"/>
        <v>52318.75</v>
      </c>
      <c r="AJ6" s="8">
        <f>'Projection - Scenario 1'!I6+'Projection - Scenario 1'!Z6+AE6</f>
        <v>30007.85</v>
      </c>
      <c r="AK6" s="8">
        <f>'Projection - Scenario 1'!J6+'Projection - Scenario 1'!AA6+AF6</f>
        <v>13377.25</v>
      </c>
      <c r="AL6" s="8">
        <f>'Projection - Scenario 1'!K6+'Projection - Scenario 1'!AB6+AG6</f>
        <v>8933.65</v>
      </c>
      <c r="AN6" s="8">
        <f>'Projection - Scenario 1'!C6-AI6</f>
        <v>581.24999999999272</v>
      </c>
      <c r="AO6" s="8">
        <f>'Projection - Scenario 1'!D6-AJ6</f>
        <v>1732.1499999999942</v>
      </c>
      <c r="AP6" s="8">
        <f>'Projection - Scenario 1'!E6-AK6</f>
        <v>-152.25000000000182</v>
      </c>
      <c r="AQ6" s="8">
        <f>'Projection - Scenario 1'!F6-AL6</f>
        <v>-998.65000000000146</v>
      </c>
    </row>
    <row r="7" spans="2:43" x14ac:dyDescent="0.35">
      <c r="B7" s="3">
        <v>4</v>
      </c>
      <c r="C7" s="18">
        <f>C6*(1+'Other inputs '!$C$4)</f>
        <v>60834.999999999985</v>
      </c>
      <c r="D7" s="8">
        <f>$C7*Inputs!H7</f>
        <v>37717.69999999999</v>
      </c>
      <c r="E7" s="8">
        <f>$C7*Inputs!I7</f>
        <v>13992.049999999997</v>
      </c>
      <c r="F7" s="8">
        <f>$C7*Inputs!J7</f>
        <v>9125.2499999999982</v>
      </c>
      <c r="G7" s="10"/>
      <c r="H7" s="8">
        <f t="shared" si="0"/>
        <v>3163.4199999999992</v>
      </c>
      <c r="I7" s="8">
        <f>Inputs!$C$17*$D7</f>
        <v>1131.5309999999997</v>
      </c>
      <c r="J7" s="8">
        <f>Inputs!$C$18*$E7</f>
        <v>1119.3639999999998</v>
      </c>
      <c r="K7" s="8">
        <f>Inputs!$C$19*$F7</f>
        <v>912.52499999999986</v>
      </c>
      <c r="L7" s="10"/>
      <c r="M7" s="8">
        <f>M6*(1+Inputs!$C$7)</f>
        <v>1157.625</v>
      </c>
      <c r="N7" s="6">
        <f>IF(B7&lt;=3,Inputs!$C$9,IF(B7&lt;=6,Inputs!$C$10,Inputs!$C$11))</f>
        <v>0.12</v>
      </c>
      <c r="O7" s="6">
        <f>Inputs!$C$22</f>
        <v>0.05</v>
      </c>
      <c r="P7" s="8">
        <f t="shared" si="5"/>
        <v>10341.949999999997</v>
      </c>
      <c r="Q7" s="8">
        <f>IF(B7=1,Inputs!$C$13,0)</f>
        <v>0</v>
      </c>
      <c r="R7" s="8">
        <f t="shared" si="6"/>
        <v>300</v>
      </c>
      <c r="S7" s="10"/>
      <c r="T7" s="8">
        <f t="shared" si="7"/>
        <v>242528.86666666658</v>
      </c>
      <c r="U7" s="8">
        <f>D7*10^5/Inputs!$C$25</f>
        <v>125725.66666666663</v>
      </c>
      <c r="V7" s="8">
        <f>E7*10^5/Inputs!$C$26</f>
        <v>55968.19999999999</v>
      </c>
      <c r="W7" s="8">
        <f>F7*10^5/Inputs!$C$27</f>
        <v>60834.999999999985</v>
      </c>
      <c r="Y7" s="8">
        <f t="shared" si="1"/>
        <v>11799.574999999997</v>
      </c>
      <c r="Z7" s="8">
        <f t="shared" si="8"/>
        <v>6116.8365384615372</v>
      </c>
      <c r="AA7" s="8">
        <f t="shared" si="2"/>
        <v>2722.978846153846</v>
      </c>
      <c r="AB7" s="8">
        <f t="shared" si="2"/>
        <v>2959.7596153846148</v>
      </c>
      <c r="AD7" s="8">
        <f t="shared" si="3"/>
        <v>43643.029000000002</v>
      </c>
      <c r="AE7" s="8">
        <f>'Projection - Scenario 1'!D7*Inputs!K7</f>
        <v>27628.215249999997</v>
      </c>
      <c r="AF7" s="8">
        <f>'Projection - Scenario 1'!E7*Inputs!L7</f>
        <v>9969.3356249999997</v>
      </c>
      <c r="AG7" s="8">
        <f>'Projection - Scenario 1'!F7*Inputs!M7</f>
        <v>6045.4781250000005</v>
      </c>
      <c r="AI7" s="8">
        <f t="shared" si="4"/>
        <v>58606.02399999999</v>
      </c>
      <c r="AJ7" s="8">
        <f>'Projection - Scenario 1'!I7+'Projection - Scenario 1'!Z7+AE7</f>
        <v>34876.582788461536</v>
      </c>
      <c r="AK7" s="8">
        <f>'Projection - Scenario 1'!J7+'Projection - Scenario 1'!AA7+AF7</f>
        <v>13811.678471153846</v>
      </c>
      <c r="AL7" s="8">
        <f>'Projection - Scenario 1'!K7+'Projection - Scenario 1'!AB7+AG7</f>
        <v>9917.7627403846163</v>
      </c>
      <c r="AN7" s="8">
        <f>'Projection - Scenario 1'!C7-AI7</f>
        <v>2228.9759999999951</v>
      </c>
      <c r="AO7" s="8">
        <f>'Projection - Scenario 1'!D7-AJ7</f>
        <v>2841.1172115384543</v>
      </c>
      <c r="AP7" s="8">
        <f>'Projection - Scenario 1'!E7-AK7</f>
        <v>180.3715288461517</v>
      </c>
      <c r="AQ7" s="8">
        <f>'Projection - Scenario 1'!F7-AL7</f>
        <v>-792.51274038461816</v>
      </c>
    </row>
    <row r="8" spans="2:43" x14ac:dyDescent="0.35">
      <c r="B8" s="3">
        <v>5</v>
      </c>
      <c r="C8" s="18">
        <f>C7*(1+'Other inputs '!$C$4)</f>
        <v>69960.249999999971</v>
      </c>
      <c r="D8" s="8">
        <f>$C8*Inputs!H8</f>
        <v>43375.354999999981</v>
      </c>
      <c r="E8" s="8">
        <f>$C8*Inputs!I8</f>
        <v>16090.857499999995</v>
      </c>
      <c r="F8" s="8">
        <f>$C8*Inputs!J8</f>
        <v>10494.037499999995</v>
      </c>
      <c r="G8" s="10"/>
      <c r="H8" s="8">
        <f t="shared" si="0"/>
        <v>3637.9329999999986</v>
      </c>
      <c r="I8" s="8">
        <f>Inputs!$C$17*$D8</f>
        <v>1301.2606499999995</v>
      </c>
      <c r="J8" s="8">
        <f>Inputs!$C$18*$E8</f>
        <v>1287.2685999999997</v>
      </c>
      <c r="K8" s="8">
        <f>Inputs!$C$19*$F8</f>
        <v>1049.4037499999995</v>
      </c>
      <c r="L8" s="10"/>
      <c r="M8" s="8">
        <f>M7*(1+Inputs!$C$7)</f>
        <v>1215.5062500000001</v>
      </c>
      <c r="N8" s="6">
        <f>IF(B8&lt;=3,Inputs!$C$9,IF(B8&lt;=6,Inputs!$C$10,Inputs!$C$11))</f>
        <v>0.12</v>
      </c>
      <c r="O8" s="6">
        <f>Inputs!$C$22</f>
        <v>0.05</v>
      </c>
      <c r="P8" s="8">
        <f t="shared" si="5"/>
        <v>11893.242499999995</v>
      </c>
      <c r="Q8" s="8">
        <f>IF(B8=1,Inputs!$C$13,0)</f>
        <v>0</v>
      </c>
      <c r="R8" s="8">
        <f t="shared" si="6"/>
        <v>300</v>
      </c>
      <c r="S8" s="10"/>
      <c r="T8" s="8">
        <f t="shared" si="7"/>
        <v>278908.19666666654</v>
      </c>
      <c r="U8" s="8">
        <f>D8*10^5/Inputs!$C$25</f>
        <v>144584.5166666666</v>
      </c>
      <c r="V8" s="8">
        <f>E8*10^5/Inputs!$C$26</f>
        <v>64363.429999999978</v>
      </c>
      <c r="W8" s="8">
        <f>F8*10^5/Inputs!$C$27</f>
        <v>69960.249999999971</v>
      </c>
      <c r="Y8" s="8">
        <f t="shared" si="1"/>
        <v>13408.748749999995</v>
      </c>
      <c r="Z8" s="8">
        <f t="shared" si="8"/>
        <v>6951.0235994983259</v>
      </c>
      <c r="AA8" s="8">
        <f t="shared" si="2"/>
        <v>3094.3266346153841</v>
      </c>
      <c r="AB8" s="8">
        <f t="shared" si="2"/>
        <v>3363.3985158862865</v>
      </c>
      <c r="AD8" s="8">
        <f t="shared" si="3"/>
        <v>50014.582724999993</v>
      </c>
      <c r="AE8" s="8">
        <f>'Projection - Scenario 1'!D8*Inputs!K8</f>
        <v>31664.009149999994</v>
      </c>
      <c r="AF8" s="8">
        <f>'Projection - Scenario 1'!E8*Inputs!L8</f>
        <v>11424.508824999999</v>
      </c>
      <c r="AG8" s="8">
        <f>'Projection - Scenario 1'!F8*Inputs!M8</f>
        <v>6926.0647499999995</v>
      </c>
      <c r="AI8" s="8">
        <f t="shared" si="4"/>
        <v>67061.264474999989</v>
      </c>
      <c r="AJ8" s="8">
        <f>'Projection - Scenario 1'!I8+'Projection - Scenario 1'!Z8+AE8</f>
        <v>39916.293399498318</v>
      </c>
      <c r="AK8" s="8">
        <f>'Projection - Scenario 1'!J8+'Projection - Scenario 1'!AA8+AF8</f>
        <v>15806.104059615383</v>
      </c>
      <c r="AL8" s="8">
        <f>'Projection - Scenario 1'!K8+'Projection - Scenario 1'!AB8+AG8</f>
        <v>11338.867015886286</v>
      </c>
      <c r="AN8" s="8">
        <f>'Projection - Scenario 1'!C8-AI8</f>
        <v>2898.9855249999819</v>
      </c>
      <c r="AO8" s="8">
        <f>'Projection - Scenario 1'!D8-AJ8</f>
        <v>3459.0616005016636</v>
      </c>
      <c r="AP8" s="8">
        <f>'Projection - Scenario 1'!E8-AK8</f>
        <v>284.75344038461117</v>
      </c>
      <c r="AQ8" s="8">
        <f>'Projection - Scenario 1'!F8-AL8</f>
        <v>-844.82951588629112</v>
      </c>
    </row>
    <row r="9" spans="2:43" x14ac:dyDescent="0.35">
      <c r="B9" s="3">
        <v>6</v>
      </c>
      <c r="C9" s="18">
        <f>C8*(1+'Other inputs '!$C$4)</f>
        <v>80454.287499999962</v>
      </c>
      <c r="D9" s="8">
        <f>$C9*Inputs!H9</f>
        <v>49881.658249999979</v>
      </c>
      <c r="E9" s="8">
        <f>$C9*Inputs!I9</f>
        <v>18504.486124999992</v>
      </c>
      <c r="F9" s="8">
        <f>$C9*Inputs!J9</f>
        <v>12068.143124999993</v>
      </c>
      <c r="G9" s="10"/>
      <c r="H9" s="8">
        <f t="shared" si="0"/>
        <v>4183.6229499999981</v>
      </c>
      <c r="I9" s="8">
        <f>Inputs!$C$17*$D9</f>
        <v>1496.4497474999994</v>
      </c>
      <c r="J9" s="8">
        <f>Inputs!$C$18*$E9</f>
        <v>1480.3588899999993</v>
      </c>
      <c r="K9" s="8">
        <f>Inputs!$C$19*$F9</f>
        <v>1206.8143124999995</v>
      </c>
      <c r="L9" s="10"/>
      <c r="M9" s="8">
        <f>M8*(1+Inputs!$C$7)</f>
        <v>1276.2815625000003</v>
      </c>
      <c r="N9" s="6">
        <f>IF(B9&lt;=3,Inputs!$C$9,IF(B9&lt;=6,Inputs!$C$10,Inputs!$C$11))</f>
        <v>0.12</v>
      </c>
      <c r="O9" s="6">
        <f>Inputs!$C$22</f>
        <v>0.05</v>
      </c>
      <c r="P9" s="8">
        <f t="shared" si="5"/>
        <v>13677.228874999992</v>
      </c>
      <c r="Q9" s="8">
        <f>IF(B9=1,Inputs!$C$13,0)</f>
        <v>0</v>
      </c>
      <c r="R9" s="8">
        <f t="shared" si="6"/>
        <v>0</v>
      </c>
      <c r="S9" s="10"/>
      <c r="T9" s="8">
        <f t="shared" si="7"/>
        <v>320744.42616666656</v>
      </c>
      <c r="U9" s="8">
        <f>D9*10^5/Inputs!$C$25</f>
        <v>166272.1941666666</v>
      </c>
      <c r="V9" s="8">
        <f>E9*10^5/Inputs!$C$26</f>
        <v>74017.944499999969</v>
      </c>
      <c r="W9" s="8">
        <f>F9*10^5/Inputs!$C$27</f>
        <v>80454.287499999948</v>
      </c>
      <c r="Y9" s="8">
        <f t="shared" si="1"/>
        <v>14953.510437499992</v>
      </c>
      <c r="Z9" s="8">
        <f t="shared" si="8"/>
        <v>7751.8197920150451</v>
      </c>
      <c r="AA9" s="8">
        <f t="shared" si="2"/>
        <v>3450.8101009615366</v>
      </c>
      <c r="AB9" s="8">
        <f t="shared" si="2"/>
        <v>3750.8805445234079</v>
      </c>
      <c r="AD9" s="8">
        <f t="shared" si="3"/>
        <v>57315.634415</v>
      </c>
      <c r="AE9" s="8">
        <f>'Projection - Scenario 1'!D9*Inputs!K9</f>
        <v>36288.906376874998</v>
      </c>
      <c r="AF9" s="8">
        <f>'Projection - Scenario 1'!E9*Inputs!L9</f>
        <v>13091.9239334375</v>
      </c>
      <c r="AG9" s="8">
        <f>'Projection - Scenario 1'!F9*Inputs!M9</f>
        <v>7934.8041046874996</v>
      </c>
      <c r="AI9" s="8">
        <f t="shared" si="4"/>
        <v>76452.767802499991</v>
      </c>
      <c r="AJ9" s="8">
        <f>'Projection - Scenario 1'!I9+'Projection - Scenario 1'!Z9+AE9</f>
        <v>45537.175916390042</v>
      </c>
      <c r="AK9" s="8">
        <f>'Projection - Scenario 1'!J9+'Projection - Scenario 1'!AA9+AF9</f>
        <v>18023.092924399036</v>
      </c>
      <c r="AL9" s="8">
        <f>'Projection - Scenario 1'!K9+'Projection - Scenario 1'!AB9+AG9</f>
        <v>12892.498961710906</v>
      </c>
      <c r="AN9" s="8">
        <f>'Projection - Scenario 1'!C9-AI9</f>
        <v>4001.5196974999708</v>
      </c>
      <c r="AO9" s="8">
        <f>'Projection - Scenario 1'!D9-AJ9</f>
        <v>4344.4823336099362</v>
      </c>
      <c r="AP9" s="8">
        <f>'Projection - Scenario 1'!E9-AK9</f>
        <v>481.39320060095633</v>
      </c>
      <c r="AQ9" s="8">
        <f>'Projection - Scenario 1'!F9-AL9</f>
        <v>-824.35583671091263</v>
      </c>
    </row>
    <row r="10" spans="2:43" x14ac:dyDescent="0.35">
      <c r="B10" s="3">
        <v>7</v>
      </c>
      <c r="C10" s="18">
        <f>C9*(1+'Other inputs '!$C$4)</f>
        <v>92522.43062499995</v>
      </c>
      <c r="D10" s="8">
        <f>$C10*Inputs!H10</f>
        <v>57363.90698749997</v>
      </c>
      <c r="E10" s="8">
        <f>$C10*Inputs!I10</f>
        <v>21280.159043749991</v>
      </c>
      <c r="F10" s="8">
        <f>$C10*Inputs!J10</f>
        <v>13878.364593749991</v>
      </c>
      <c r="G10" s="10"/>
      <c r="H10" s="8">
        <f t="shared" si="0"/>
        <v>4811.1663924999975</v>
      </c>
      <c r="I10" s="8">
        <f>Inputs!$C$17*$D10</f>
        <v>1720.917209624999</v>
      </c>
      <c r="J10" s="8">
        <f>Inputs!$C$18*$E10</f>
        <v>1702.4127234999994</v>
      </c>
      <c r="K10" s="8">
        <f>Inputs!$C$19*$F10</f>
        <v>1387.8364593749993</v>
      </c>
      <c r="L10" s="10"/>
      <c r="M10" s="8">
        <f>M9*(1+Inputs!$C$7)</f>
        <v>1340.0956406250004</v>
      </c>
      <c r="N10" s="6">
        <f>IF(B10&lt;=3,Inputs!$C$9,IF(B10&lt;=6,Inputs!$C$10,Inputs!$C$11))</f>
        <v>0.1</v>
      </c>
      <c r="O10" s="6">
        <f>Inputs!$C$22</f>
        <v>0.05</v>
      </c>
      <c r="P10" s="8">
        <f t="shared" si="5"/>
        <v>13878.364593749995</v>
      </c>
      <c r="Q10" s="8">
        <f>IF(B10=1,Inputs!$C$13,0)</f>
        <v>0</v>
      </c>
      <c r="R10" s="8">
        <f t="shared" si="6"/>
        <v>0</v>
      </c>
      <c r="S10" s="10"/>
      <c r="T10" s="8">
        <f t="shared" si="7"/>
        <v>368856.09009166644</v>
      </c>
      <c r="U10" s="8">
        <f>D10*10^5/Inputs!$C$25</f>
        <v>191213.02329166658</v>
      </c>
      <c r="V10" s="8">
        <f>E10*10^5/Inputs!$C$26</f>
        <v>85120.636174999963</v>
      </c>
      <c r="W10" s="8">
        <f>F10*10^5/Inputs!$C$27</f>
        <v>92522.430624999935</v>
      </c>
      <c r="Y10" s="8">
        <f t="shared" si="1"/>
        <v>15218.460234374996</v>
      </c>
      <c r="Z10" s="8">
        <f t="shared" si="8"/>
        <v>7889.1683489234938</v>
      </c>
      <c r="AA10" s="8">
        <f t="shared" si="2"/>
        <v>3511.9523617788459</v>
      </c>
      <c r="AB10" s="8">
        <f t="shared" si="2"/>
        <v>3817.3395236726574</v>
      </c>
      <c r="AD10" s="8">
        <f t="shared" si="3"/>
        <v>65681.673500687495</v>
      </c>
      <c r="AE10" s="8">
        <f>'Projection - Scenario 1'!D10*Inputs!K10</f>
        <v>41588.832565937497</v>
      </c>
      <c r="AF10" s="8">
        <f>'Projection - Scenario 1'!E10*Inputs!L10</f>
        <v>15002.51212584375</v>
      </c>
      <c r="AG10" s="8">
        <f>'Projection - Scenario 1'!F10*Inputs!M10</f>
        <v>9090.3288089062498</v>
      </c>
      <c r="AI10" s="8">
        <f t="shared" si="4"/>
        <v>85711.300127562499</v>
      </c>
      <c r="AJ10" s="8">
        <f>'Projection - Scenario 1'!I10+'Projection - Scenario 1'!Z10+AE10</f>
        <v>51198.918124485994</v>
      </c>
      <c r="AK10" s="8">
        <f>'Projection - Scenario 1'!J10+'Projection - Scenario 1'!AA10+AF10</f>
        <v>20216.877211122595</v>
      </c>
      <c r="AL10" s="8">
        <f>'Projection - Scenario 1'!K10+'Projection - Scenario 1'!AB10+AG10</f>
        <v>14295.504791953907</v>
      </c>
      <c r="AN10" s="8">
        <f>'Projection - Scenario 1'!C10-AI10</f>
        <v>6811.1304974374507</v>
      </c>
      <c r="AO10" s="8">
        <f>'Projection - Scenario 1'!D10-AJ10</f>
        <v>6164.9888630139758</v>
      </c>
      <c r="AP10" s="8">
        <f>'Projection - Scenario 1'!E10-AK10</f>
        <v>1063.2818326273955</v>
      </c>
      <c r="AQ10" s="8">
        <f>'Projection - Scenario 1'!F10-AL10</f>
        <v>-417.14019820391513</v>
      </c>
    </row>
    <row r="11" spans="2:43" x14ac:dyDescent="0.35">
      <c r="B11" s="3">
        <v>8</v>
      </c>
      <c r="C11" s="18">
        <f>C10*(1+'Other inputs '!$C$4)</f>
        <v>106400.79521874993</v>
      </c>
      <c r="D11" s="8">
        <f>$C11*Inputs!H11</f>
        <v>69160.516892187457</v>
      </c>
      <c r="E11" s="8">
        <f>$C11*Inputs!I11</f>
        <v>24472.182900312484</v>
      </c>
      <c r="F11" s="8">
        <f>$C11*Inputs!J11</f>
        <v>12768.095426249991</v>
      </c>
      <c r="G11" s="10"/>
      <c r="H11" s="8">
        <f t="shared" si="0"/>
        <v>5309.3996814156217</v>
      </c>
      <c r="I11" s="8">
        <f>Inputs!$C$17*$D11</f>
        <v>2074.8155067656235</v>
      </c>
      <c r="J11" s="8">
        <f>Inputs!$C$18*$E11</f>
        <v>1957.7746320249987</v>
      </c>
      <c r="K11" s="8">
        <f>Inputs!$C$19*$F11</f>
        <v>1276.8095426249993</v>
      </c>
      <c r="L11" s="10"/>
      <c r="M11" s="8">
        <f>M10*(1+Inputs!$C$7)</f>
        <v>1407.1004226562504</v>
      </c>
      <c r="N11" s="6">
        <f>IF(B11&lt;=3,Inputs!$C$9,IF(B11&lt;=6,Inputs!$C$10,Inputs!$C$11))</f>
        <v>0.1</v>
      </c>
      <c r="O11" s="6">
        <f>Inputs!$C$22</f>
        <v>0.05</v>
      </c>
      <c r="P11" s="8">
        <f t="shared" si="5"/>
        <v>15960.119282812491</v>
      </c>
      <c r="Q11" s="8">
        <f>IF(B11=1,Inputs!$C$13,0)</f>
        <v>0</v>
      </c>
      <c r="R11" s="8">
        <f t="shared" si="6"/>
        <v>0</v>
      </c>
      <c r="S11" s="10"/>
      <c r="T11" s="8">
        <f t="shared" si="7"/>
        <v>413544.42408354144</v>
      </c>
      <c r="U11" s="8">
        <f>D11*10^5/Inputs!$C$25</f>
        <v>230535.05630729155</v>
      </c>
      <c r="V11" s="8">
        <f>E11*10^5/Inputs!$C$26</f>
        <v>97888.731601249936</v>
      </c>
      <c r="W11" s="8">
        <f>F11*10^5/Inputs!$C$27</f>
        <v>85120.636174999934</v>
      </c>
      <c r="Y11" s="8">
        <f t="shared" si="1"/>
        <v>17367.219705468742</v>
      </c>
      <c r="Z11" s="8">
        <f t="shared" si="8"/>
        <v>9681.5547243179099</v>
      </c>
      <c r="AA11" s="8">
        <f t="shared" si="2"/>
        <v>4110.9370829411428</v>
      </c>
      <c r="AB11" s="8">
        <f t="shared" si="2"/>
        <v>3574.7278982096886</v>
      </c>
      <c r="AD11" s="8">
        <f t="shared" si="3"/>
        <v>75491.364207703125</v>
      </c>
      <c r="AE11" s="8">
        <f>'Projection - Scenario 1'!D11*Inputs!K11</f>
        <v>49968.473454605461</v>
      </c>
      <c r="AF11" s="8">
        <f>'Projection - Scenario 1'!E11*Inputs!L11</f>
        <v>17191.708487469528</v>
      </c>
      <c r="AG11" s="8">
        <f>'Projection - Scenario 1'!F11*Inputs!M11</f>
        <v>8331.1822656281238</v>
      </c>
      <c r="AI11" s="8">
        <f t="shared" si="4"/>
        <v>98167.98359458748</v>
      </c>
      <c r="AJ11" s="8">
        <f>'Projection - Scenario 1'!I11+'Projection - Scenario 1'!Z11+AE11</f>
        <v>61724.843685688989</v>
      </c>
      <c r="AK11" s="8">
        <f>'Projection - Scenario 1'!J11+'Projection - Scenario 1'!AA11+AF11</f>
        <v>23260.420202435671</v>
      </c>
      <c r="AL11" s="8">
        <f>'Projection - Scenario 1'!K11+'Projection - Scenario 1'!AB11+AG11</f>
        <v>13182.719706462813</v>
      </c>
      <c r="AN11" s="8">
        <f>'Projection - Scenario 1'!C11-AI11</f>
        <v>8232.8116241624521</v>
      </c>
      <c r="AO11" s="8">
        <f>'Projection - Scenario 1'!D11-AJ11</f>
        <v>7435.6732064984681</v>
      </c>
      <c r="AP11" s="8">
        <f>'Projection - Scenario 1'!E11-AK11</f>
        <v>1211.762697876813</v>
      </c>
      <c r="AQ11" s="8">
        <f>'Projection - Scenario 1'!F11-AL11</f>
        <v>-414.62428021282176</v>
      </c>
    </row>
    <row r="12" spans="2:43" x14ac:dyDescent="0.35">
      <c r="B12" s="3">
        <v>9</v>
      </c>
      <c r="C12" s="18">
        <f>C11*(1+'Other inputs '!$C$4)</f>
        <v>122360.91450156241</v>
      </c>
      <c r="D12" s="8">
        <f>$C12*Inputs!H12</f>
        <v>79534.594426015567</v>
      </c>
      <c r="E12" s="8">
        <f>$C12*Inputs!I12</f>
        <v>28143.010335359355</v>
      </c>
      <c r="F12" s="8">
        <f>$C12*Inputs!J12</f>
        <v>14683.309740187489</v>
      </c>
      <c r="G12" s="10"/>
      <c r="H12" s="8">
        <f t="shared" si="0"/>
        <v>6105.8096336279641</v>
      </c>
      <c r="I12" s="8">
        <f>Inputs!$C$17*$D12</f>
        <v>2386.0378327804669</v>
      </c>
      <c r="J12" s="8">
        <f>Inputs!$C$18*$E12</f>
        <v>2251.4408268287484</v>
      </c>
      <c r="K12" s="8">
        <f>Inputs!$C$19*$F12</f>
        <v>1468.330974018749</v>
      </c>
      <c r="L12" s="10"/>
      <c r="M12" s="8">
        <f>M11*(1+Inputs!$C$7)</f>
        <v>1477.4554437890631</v>
      </c>
      <c r="N12" s="6">
        <f>IF(B12&lt;=3,Inputs!$C$9,IF(B12&lt;=6,Inputs!$C$10,Inputs!$C$11))</f>
        <v>0.1</v>
      </c>
      <c r="O12" s="6">
        <f>Inputs!$C$22</f>
        <v>0.05</v>
      </c>
      <c r="P12" s="8">
        <f t="shared" si="5"/>
        <v>18354.137175234366</v>
      </c>
      <c r="Q12" s="8">
        <f>IF(B12=1,Inputs!$C$13,0)</f>
        <v>0</v>
      </c>
      <c r="R12" s="8">
        <f t="shared" si="6"/>
        <v>0</v>
      </c>
      <c r="S12" s="10"/>
      <c r="T12" s="8">
        <f t="shared" si="7"/>
        <v>475576.08769607259</v>
      </c>
      <c r="U12" s="8">
        <f>D12*10^5/Inputs!$C$25</f>
        <v>265115.3147533852</v>
      </c>
      <c r="V12" s="8">
        <f>E12*10^5/Inputs!$C$26</f>
        <v>112572.04134143742</v>
      </c>
      <c r="W12" s="8">
        <f>F12*10^5/Inputs!$C$27</f>
        <v>97888.731601249936</v>
      </c>
      <c r="Y12" s="8">
        <f t="shared" si="1"/>
        <v>19831.592619023428</v>
      </c>
      <c r="Z12" s="8">
        <f t="shared" si="8"/>
        <v>11055.347514892988</v>
      </c>
      <c r="AA12" s="8">
        <f t="shared" si="2"/>
        <v>4694.2706370930237</v>
      </c>
      <c r="AB12" s="8">
        <f t="shared" si="2"/>
        <v>4081.9744670374125</v>
      </c>
      <c r="AD12" s="8">
        <f t="shared" si="3"/>
        <v>86509.166552604671</v>
      </c>
      <c r="AE12" s="8">
        <f>'Projection - Scenario 1'!D12*Inputs!K12</f>
        <v>57264.907986731239</v>
      </c>
      <c r="AF12" s="8">
        <f>'Projection - Scenario 1'!E12*Inputs!L12</f>
        <v>19700.107234751558</v>
      </c>
      <c r="AG12" s="8">
        <f>'Projection - Scenario 1'!F12*Inputs!M12</f>
        <v>9544.151331121875</v>
      </c>
      <c r="AI12" s="8">
        <f t="shared" si="4"/>
        <v>112446.56880525606</v>
      </c>
      <c r="AJ12" s="8">
        <f>'Projection - Scenario 1'!I12+'Projection - Scenario 1'!Z12+AE12</f>
        <v>70706.293334404691</v>
      </c>
      <c r="AK12" s="8">
        <f>'Projection - Scenario 1'!J12+'Projection - Scenario 1'!AA12+AF12</f>
        <v>26645.818698673331</v>
      </c>
      <c r="AL12" s="8">
        <f>'Projection - Scenario 1'!K12+'Projection - Scenario 1'!AB12+AG12</f>
        <v>15094.456772178037</v>
      </c>
      <c r="AN12" s="8">
        <f>'Projection - Scenario 1'!C12-AI12</f>
        <v>9914.3456963063509</v>
      </c>
      <c r="AO12" s="8">
        <f>'Projection - Scenario 1'!D12-AJ12</f>
        <v>8828.301091610876</v>
      </c>
      <c r="AP12" s="8">
        <f>'Projection - Scenario 1'!E12-AK12</f>
        <v>1497.1916366860241</v>
      </c>
      <c r="AQ12" s="8">
        <f>'Projection - Scenario 1'!F12-AL12</f>
        <v>-411.14703199054748</v>
      </c>
    </row>
    <row r="13" spans="2:43" x14ac:dyDescent="0.35">
      <c r="B13" s="3">
        <v>10</v>
      </c>
      <c r="C13" s="18">
        <f>C12*(1+'Other inputs '!$C$4)</f>
        <v>140715.05167679675</v>
      </c>
      <c r="D13" s="8">
        <f>$C13*Inputs!H13</f>
        <v>91464.78358991789</v>
      </c>
      <c r="E13" s="8">
        <f>$C13*Inputs!I13</f>
        <v>32364.461885663255</v>
      </c>
      <c r="F13" s="8">
        <f>$C13*Inputs!J13</f>
        <v>16885.806201215608</v>
      </c>
      <c r="G13" s="10"/>
      <c r="H13" s="8">
        <f t="shared" si="0"/>
        <v>7021.681078672158</v>
      </c>
      <c r="I13" s="8">
        <f>Inputs!$C$17*$D13</f>
        <v>2743.9435076975365</v>
      </c>
      <c r="J13" s="8">
        <f>Inputs!$C$18*$E13</f>
        <v>2589.1569508530606</v>
      </c>
      <c r="K13" s="8">
        <f>Inputs!$C$19*$F13</f>
        <v>1688.580620121561</v>
      </c>
      <c r="L13" s="10"/>
      <c r="M13" s="8">
        <f>M12*(1+Inputs!$C$7)</f>
        <v>1551.3282159785163</v>
      </c>
      <c r="N13" s="6">
        <f>IF(B13&lt;=3,Inputs!$C$9,IF(B13&lt;=6,Inputs!$C$10,Inputs!$C$11))</f>
        <v>0.1</v>
      </c>
      <c r="O13" s="6">
        <f>Inputs!$C$22</f>
        <v>0.05</v>
      </c>
      <c r="P13" s="8">
        <f t="shared" si="5"/>
        <v>21107.257751519515</v>
      </c>
      <c r="Q13" s="8">
        <f>IF(B13=1,Inputs!$C$13,0)</f>
        <v>0</v>
      </c>
      <c r="R13" s="8">
        <f t="shared" si="6"/>
        <v>0</v>
      </c>
      <c r="S13" s="10"/>
      <c r="T13" s="8">
        <f t="shared" si="7"/>
        <v>546912.50085048343</v>
      </c>
      <c r="U13" s="8">
        <f>D13*10^5/Inputs!$C$25</f>
        <v>304882.61196639296</v>
      </c>
      <c r="V13" s="8">
        <f>E13*10^5/Inputs!$C$26</f>
        <v>129457.84754265302</v>
      </c>
      <c r="W13" s="8">
        <f>F13*10^5/Inputs!$C$27</f>
        <v>112572.04134143739</v>
      </c>
      <c r="Y13" s="8">
        <f t="shared" si="1"/>
        <v>22658.585967498031</v>
      </c>
      <c r="Z13" s="8">
        <f t="shared" si="8"/>
        <v>12631.287203150703</v>
      </c>
      <c r="AA13" s="8">
        <f t="shared" si="2"/>
        <v>5363.4388739532214</v>
      </c>
      <c r="AB13" s="8">
        <f t="shared" si="2"/>
        <v>4663.8598903941047</v>
      </c>
      <c r="AD13" s="8">
        <f t="shared" si="3"/>
        <v>99133.753906303376</v>
      </c>
      <c r="AE13" s="8">
        <f>'Projection - Scenario 1'!D13*Inputs!K13</f>
        <v>65625.982225766129</v>
      </c>
      <c r="AF13" s="8">
        <f>'Projection - Scenario 1'!E13*Inputs!L13</f>
        <v>22574.212165250134</v>
      </c>
      <c r="AG13" s="8">
        <f>'Projection - Scenario 1'!F13*Inputs!M13</f>
        <v>10933.559515287116</v>
      </c>
      <c r="AI13" s="8">
        <f t="shared" si="4"/>
        <v>128814.02095247357</v>
      </c>
      <c r="AJ13" s="8">
        <f>'Projection - Scenario 1'!I13+'Projection - Scenario 1'!Z13+AE13</f>
        <v>81001.212936614364</v>
      </c>
      <c r="AK13" s="8">
        <f>'Projection - Scenario 1'!J13+'Projection - Scenario 1'!AA13+AF13</f>
        <v>30526.807990056415</v>
      </c>
      <c r="AL13" s="8">
        <f>'Projection - Scenario 1'!K13+'Projection - Scenario 1'!AB13+AG13</f>
        <v>17286.000025802779</v>
      </c>
      <c r="AN13" s="8">
        <f>'Projection - Scenario 1'!C13-AI13</f>
        <v>11901.03072432318</v>
      </c>
      <c r="AO13" s="8">
        <f>'Projection - Scenario 1'!D13-AJ13</f>
        <v>10463.570653303526</v>
      </c>
      <c r="AP13" s="8">
        <f>'Projection - Scenario 1'!E13-AK13</f>
        <v>1837.6538956068398</v>
      </c>
      <c r="AQ13" s="8">
        <f>'Projection - Scenario 1'!F13-AL13</f>
        <v>-400.19382458717155</v>
      </c>
    </row>
    <row r="14" spans="2:43" x14ac:dyDescent="0.35">
      <c r="Q14" s="28" t="s">
        <v>75</v>
      </c>
      <c r="R14" s="28" t="b">
        <f>SUM(Q4:Q13)=SUM(R4:R13)</f>
        <v>1</v>
      </c>
    </row>
    <row r="16" spans="2:43" x14ac:dyDescent="0.35">
      <c r="C16" s="12" t="s">
        <v>22</v>
      </c>
      <c r="D16" s="12" t="s">
        <v>17</v>
      </c>
      <c r="E16" s="12" t="s">
        <v>18</v>
      </c>
      <c r="F16" s="12" t="s">
        <v>19</v>
      </c>
    </row>
    <row r="17" spans="2:13" x14ac:dyDescent="0.35">
      <c r="B17" s="3" t="s">
        <v>36</v>
      </c>
      <c r="C17" s="8">
        <f>NPV(Inputs!$C$29,AN4:AN13)</f>
        <v>23966.50470861814</v>
      </c>
      <c r="D17" s="8">
        <f>NPV(Inputs!$C$29,AO4:AO13)</f>
        <v>25914.212638520268</v>
      </c>
      <c r="E17" s="8">
        <f>NPV(Inputs!$C$29,AP4:AP13)</f>
        <v>2768.2144186968571</v>
      </c>
      <c r="F17" s="8">
        <f>NPV(Inputs!$C$29,AQ4:AQ13)</f>
        <v>-4715.9223485989723</v>
      </c>
      <c r="M17" s="13"/>
    </row>
    <row r="18" spans="2:13" x14ac:dyDescent="0.35">
      <c r="B18" s="3" t="s">
        <v>37</v>
      </c>
      <c r="C18" s="8">
        <f>NPV(Inputs!$C$29,C4:C13)</f>
        <v>472591.53832231666</v>
      </c>
      <c r="D18" s="8">
        <f>NPV(Inputs!$C$29,D4:D13)</f>
        <v>295756.79990805883</v>
      </c>
      <c r="E18" s="8">
        <f>NPV(Inputs!$C$29,E4:E13)</f>
        <v>111021.31448397113</v>
      </c>
      <c r="F18" s="8">
        <f>NPV(Inputs!$C$29,F4:F13)</f>
        <v>65813.423930286677</v>
      </c>
      <c r="M18" s="13"/>
    </row>
    <row r="19" spans="2:13" x14ac:dyDescent="0.35">
      <c r="B19" s="3" t="s">
        <v>44</v>
      </c>
      <c r="C19" s="6">
        <f>C17/C18</f>
        <v>5.0712936574570058E-2</v>
      </c>
      <c r="D19" s="6">
        <f>D17/D18</f>
        <v>8.7620006189464292E-2</v>
      </c>
      <c r="E19" s="6">
        <f>E17/E18</f>
        <v>2.493408073542961E-2</v>
      </c>
      <c r="F19" s="6">
        <f>F17/F18</f>
        <v>-7.1655933804543367E-2</v>
      </c>
      <c r="M19" s="13"/>
    </row>
    <row r="20" spans="2:13" x14ac:dyDescent="0.35">
      <c r="M20" s="13"/>
    </row>
    <row r="21" spans="2:13" x14ac:dyDescent="0.35">
      <c r="M21" s="13"/>
    </row>
    <row r="22" spans="2:13" x14ac:dyDescent="0.35">
      <c r="M22" s="13"/>
    </row>
    <row r="23" spans="2:13" x14ac:dyDescent="0.35">
      <c r="M23" s="13"/>
    </row>
    <row r="24" spans="2:13" x14ac:dyDescent="0.35">
      <c r="M24" s="13"/>
    </row>
    <row r="25" spans="2:13" x14ac:dyDescent="0.35">
      <c r="M25" s="13"/>
    </row>
    <row r="26" spans="2:13" x14ac:dyDescent="0.35">
      <c r="M26" s="13"/>
    </row>
    <row r="27" spans="2:13" x14ac:dyDescent="0.35">
      <c r="M27" s="13"/>
    </row>
    <row r="28" spans="2:13" x14ac:dyDescent="0.35">
      <c r="M28" s="13"/>
    </row>
    <row r="29" spans="2:13" x14ac:dyDescent="0.35">
      <c r="M29" s="13"/>
    </row>
    <row r="30" spans="2:13" x14ac:dyDescent="0.35">
      <c r="M30" s="13"/>
    </row>
    <row r="31" spans="2:13" x14ac:dyDescent="0.35">
      <c r="M31" s="13"/>
    </row>
  </sheetData>
  <mergeCells count="8">
    <mergeCell ref="AI2:AL2"/>
    <mergeCell ref="AN2:AQ2"/>
    <mergeCell ref="C2:F2"/>
    <mergeCell ref="H2:K2"/>
    <mergeCell ref="M2:R2"/>
    <mergeCell ref="T2:W2"/>
    <mergeCell ref="Y2:AB2"/>
    <mergeCell ref="AD2:AG2"/>
  </mergeCell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83AAE-AACA-4342-9C7C-760FC05E29B0}">
  <sheetPr codeName="Sheet6"/>
  <dimension ref="B2:AV31"/>
  <sheetViews>
    <sheetView showGridLines="0" topLeftCell="T1" zoomScale="70" zoomScaleNormal="70" workbookViewId="0">
      <selection activeCell="Z2" sqref="Z2:AC2"/>
    </sheetView>
  </sheetViews>
  <sheetFormatPr defaultColWidth="8.81640625" defaultRowHeight="14.5" x14ac:dyDescent="0.35"/>
  <cols>
    <col min="2" max="2" width="20.6328125" bestFit="1" customWidth="1"/>
    <col min="3" max="3" width="11.1796875" bestFit="1" customWidth="1"/>
    <col min="4" max="6" width="9.6328125" bestFit="1" customWidth="1"/>
    <col min="7" max="7" width="2" customWidth="1"/>
    <col min="12" max="12" width="2" customWidth="1"/>
    <col min="13" max="13" width="15" bestFit="1" customWidth="1"/>
    <col min="14" max="14" width="15" customWidth="1"/>
    <col min="15" max="15" width="13.453125" bestFit="1" customWidth="1"/>
    <col min="16" max="16" width="13.453125" customWidth="1"/>
    <col min="17" max="17" width="19.1796875" bestFit="1" customWidth="1"/>
    <col min="18" max="18" width="15.36328125" bestFit="1" customWidth="1"/>
    <col min="19" max="19" width="19" bestFit="1" customWidth="1"/>
    <col min="20" max="20" width="3.81640625" customWidth="1"/>
    <col min="21" max="24" width="8.6328125" bestFit="1" customWidth="1"/>
    <col min="25" max="25" width="1.6328125" customWidth="1"/>
    <col min="30" max="30" width="2.453125" customWidth="1"/>
    <col min="35" max="35" width="2.453125" customWidth="1"/>
    <col min="40" max="40" width="1.6328125" customWidth="1"/>
    <col min="45" max="45" width="2" customWidth="1"/>
  </cols>
  <sheetData>
    <row r="2" spans="2:48" ht="14.5" customHeight="1" x14ac:dyDescent="0.35">
      <c r="B2" s="3"/>
      <c r="C2" s="35" t="s">
        <v>32</v>
      </c>
      <c r="D2" s="35"/>
      <c r="E2" s="35"/>
      <c r="F2" s="35"/>
      <c r="G2" s="9"/>
      <c r="H2" s="35" t="s">
        <v>31</v>
      </c>
      <c r="I2" s="35"/>
      <c r="J2" s="35"/>
      <c r="K2" s="35"/>
      <c r="L2" s="9"/>
      <c r="M2" s="35" t="s">
        <v>30</v>
      </c>
      <c r="N2" s="35"/>
      <c r="O2" s="35"/>
      <c r="P2" s="35"/>
      <c r="Q2" s="35"/>
      <c r="R2" s="35"/>
      <c r="S2" s="35"/>
      <c r="T2" s="9"/>
      <c r="U2" s="35" t="s">
        <v>29</v>
      </c>
      <c r="V2" s="35"/>
      <c r="W2" s="35"/>
      <c r="X2" s="35"/>
      <c r="Z2" s="35" t="s">
        <v>86</v>
      </c>
      <c r="AA2" s="35"/>
      <c r="AB2" s="35"/>
      <c r="AC2" s="35"/>
      <c r="AE2" s="35" t="s">
        <v>33</v>
      </c>
      <c r="AF2" s="35"/>
      <c r="AG2" s="35"/>
      <c r="AH2" s="35"/>
      <c r="AJ2" s="35" t="s">
        <v>34</v>
      </c>
      <c r="AK2" s="35"/>
      <c r="AL2" s="35"/>
      <c r="AM2" s="35"/>
      <c r="AO2" s="35" t="s">
        <v>35</v>
      </c>
      <c r="AP2" s="35"/>
      <c r="AQ2" s="35"/>
      <c r="AR2" s="35"/>
    </row>
    <row r="3" spans="2:48" x14ac:dyDescent="0.35">
      <c r="B3" s="3" t="s">
        <v>20</v>
      </c>
      <c r="C3" s="3" t="s">
        <v>22</v>
      </c>
      <c r="D3" s="3" t="s">
        <v>17</v>
      </c>
      <c r="E3" s="3" t="s">
        <v>18</v>
      </c>
      <c r="F3" s="3" t="s">
        <v>19</v>
      </c>
      <c r="H3" s="3" t="s">
        <v>22</v>
      </c>
      <c r="I3" s="3" t="s">
        <v>17</v>
      </c>
      <c r="J3" s="3" t="s">
        <v>18</v>
      </c>
      <c r="K3" s="3" t="s">
        <v>19</v>
      </c>
      <c r="M3" s="3" t="s">
        <v>23</v>
      </c>
      <c r="N3" s="20" t="s">
        <v>50</v>
      </c>
      <c r="O3" s="3" t="s">
        <v>42</v>
      </c>
      <c r="P3" s="3" t="s">
        <v>43</v>
      </c>
      <c r="Q3" s="3" t="s">
        <v>24</v>
      </c>
      <c r="R3" s="3" t="s">
        <v>25</v>
      </c>
      <c r="S3" s="3" t="s">
        <v>26</v>
      </c>
      <c r="U3" s="3" t="s">
        <v>22</v>
      </c>
      <c r="V3" s="3" t="s">
        <v>17</v>
      </c>
      <c r="W3" s="3" t="s">
        <v>18</v>
      </c>
      <c r="X3" s="3" t="s">
        <v>19</v>
      </c>
      <c r="Z3" s="3" t="s">
        <v>22</v>
      </c>
      <c r="AA3" s="3" t="s">
        <v>17</v>
      </c>
      <c r="AB3" s="3" t="s">
        <v>18</v>
      </c>
      <c r="AC3" s="3" t="s">
        <v>19</v>
      </c>
      <c r="AE3" s="3" t="s">
        <v>22</v>
      </c>
      <c r="AF3" s="3" t="s">
        <v>17</v>
      </c>
      <c r="AG3" s="3" t="s">
        <v>18</v>
      </c>
      <c r="AH3" s="3" t="s">
        <v>19</v>
      </c>
      <c r="AJ3" s="3" t="s">
        <v>22</v>
      </c>
      <c r="AK3" s="3" t="s">
        <v>17</v>
      </c>
      <c r="AL3" s="3" t="s">
        <v>18</v>
      </c>
      <c r="AM3" s="3" t="s">
        <v>19</v>
      </c>
      <c r="AO3" s="3" t="s">
        <v>22</v>
      </c>
      <c r="AP3" s="3" t="s">
        <v>17</v>
      </c>
      <c r="AQ3" s="3" t="s">
        <v>18</v>
      </c>
      <c r="AR3" s="3" t="s">
        <v>19</v>
      </c>
    </row>
    <row r="4" spans="2:48" x14ac:dyDescent="0.35">
      <c r="B4" s="3">
        <v>1</v>
      </c>
      <c r="C4" s="8">
        <f>Inputs!$C$2</f>
        <v>40000</v>
      </c>
      <c r="D4" s="8">
        <f>$C4*Inputs!H4</f>
        <v>24000</v>
      </c>
      <c r="E4" s="8">
        <f>$C4*Inputs!I4</f>
        <v>10000</v>
      </c>
      <c r="F4" s="8">
        <f>$C4*Inputs!J4</f>
        <v>6000</v>
      </c>
      <c r="G4" s="10"/>
      <c r="H4" s="8">
        <f t="shared" ref="H4:H13" si="0">SUM(I4:K4)</f>
        <v>2120</v>
      </c>
      <c r="I4" s="8">
        <f>Inputs!$C$17*$D4</f>
        <v>720</v>
      </c>
      <c r="J4" s="8">
        <f>Inputs!$C$18*$E4</f>
        <v>800</v>
      </c>
      <c r="K4" s="8">
        <f>Inputs!$C$19*$F4</f>
        <v>600</v>
      </c>
      <c r="L4" s="10"/>
      <c r="M4" s="8">
        <f>Inputs!$C$6</f>
        <v>1000</v>
      </c>
      <c r="N4" s="18">
        <f>VLOOKUP(B4,'Other inputs '!$E$6:$F$15,2,0)</f>
        <v>1500</v>
      </c>
      <c r="O4" s="6">
        <f>IF(B4&lt;=3,Inputs!$C$9,IF(B4&lt;=6,Inputs!$C$10,Inputs!$C$11))</f>
        <v>0.14000000000000001</v>
      </c>
      <c r="P4" s="19">
        <f>'Other inputs '!$F$17</f>
        <v>0</v>
      </c>
      <c r="Q4" s="8">
        <f>(O4+P4)*C4</f>
        <v>5600.0000000000009</v>
      </c>
      <c r="R4" s="8">
        <f>IF(B4=1,Inputs!$C$13,0)</f>
        <v>1500</v>
      </c>
      <c r="S4" s="8">
        <f>IF(B4&lt;=5,$R$4/5,0)</f>
        <v>300</v>
      </c>
      <c r="T4" s="10"/>
      <c r="U4" s="8">
        <f>SUM(V4:X4)</f>
        <v>160000</v>
      </c>
      <c r="V4" s="8">
        <f>D4*10^5/Inputs!$C$25</f>
        <v>80000</v>
      </c>
      <c r="W4" s="8">
        <f>E4*10^5/Inputs!$C$26</f>
        <v>40000</v>
      </c>
      <c r="X4" s="8">
        <f>F4*10^5/Inputs!$C$27</f>
        <v>40000</v>
      </c>
      <c r="Z4" s="18">
        <f>M4+Q4+S4+N4</f>
        <v>8400</v>
      </c>
      <c r="AA4" s="8">
        <f>$Z4*V4/$U4</f>
        <v>4200</v>
      </c>
      <c r="AB4" s="8">
        <f t="shared" ref="AB4:AC13" si="1">$Z4*W4/$U4</f>
        <v>2100</v>
      </c>
      <c r="AC4" s="8">
        <f t="shared" si="1"/>
        <v>2100</v>
      </c>
      <c r="AE4" s="8">
        <f t="shared" ref="AE4:AE13" si="2">SUM(AF4:AH4)</f>
        <v>28980</v>
      </c>
      <c r="AF4" s="8">
        <f>'Projection - Scenario 2'!D4*Inputs!K4</f>
        <v>17760</v>
      </c>
      <c r="AG4" s="8">
        <f>'Projection - Scenario 2'!E4*Inputs!L4</f>
        <v>7200</v>
      </c>
      <c r="AH4" s="8">
        <f>'Projection - Scenario 2'!F4*Inputs!M4</f>
        <v>4020.0000000000005</v>
      </c>
      <c r="AJ4" s="8">
        <f t="shared" ref="AJ4:AJ13" si="3">SUM(AK4:AM4)</f>
        <v>39500</v>
      </c>
      <c r="AK4" s="8">
        <f>'Projection - Scenario 2'!I4+'Projection - Scenario 2'!AA4+AF4</f>
        <v>22680</v>
      </c>
      <c r="AL4" s="8">
        <f>'Projection - Scenario 2'!J4+'Projection - Scenario 2'!AB4+AG4</f>
        <v>10100</v>
      </c>
      <c r="AM4" s="8">
        <f>'Projection - Scenario 2'!K4+'Projection - Scenario 2'!AC4+AH4</f>
        <v>6720</v>
      </c>
      <c r="AO4" s="8">
        <f>'Projection - Scenario 2'!C4-AJ4</f>
        <v>500</v>
      </c>
      <c r="AP4" s="8">
        <f>'Projection - Scenario 2'!D4-AK4</f>
        <v>1320</v>
      </c>
      <c r="AQ4" s="8">
        <f>'Projection - Scenario 2'!E4-AL4</f>
        <v>-100</v>
      </c>
      <c r="AR4" s="8">
        <f>'Projection - Scenario 2'!F4-AM4</f>
        <v>-720</v>
      </c>
      <c r="AT4" s="32"/>
      <c r="AU4" s="32"/>
      <c r="AV4" s="32"/>
    </row>
    <row r="5" spans="2:48" x14ac:dyDescent="0.35">
      <c r="B5" s="3">
        <v>2</v>
      </c>
      <c r="C5" s="8">
        <f>C4*(1+Inputs!$C$3)</f>
        <v>44800.000000000007</v>
      </c>
      <c r="D5" s="8">
        <f>$C5*Inputs!H5</f>
        <v>26880.000000000004</v>
      </c>
      <c r="E5" s="8">
        <f>$C5*Inputs!I5</f>
        <v>11200.000000000002</v>
      </c>
      <c r="F5" s="8">
        <f>$C5*Inputs!J5</f>
        <v>6720.0000000000009</v>
      </c>
      <c r="G5" s="10"/>
      <c r="H5" s="8">
        <f t="shared" si="0"/>
        <v>2374.4</v>
      </c>
      <c r="I5" s="8">
        <f>Inputs!$C$17*$D5</f>
        <v>806.40000000000009</v>
      </c>
      <c r="J5" s="8">
        <f>Inputs!$C$18*$E5</f>
        <v>896.00000000000011</v>
      </c>
      <c r="K5" s="8">
        <f>Inputs!$C$19*$F5</f>
        <v>672.00000000000011</v>
      </c>
      <c r="L5" s="10"/>
      <c r="M5" s="8">
        <f>M4*(1+Inputs!$C$7)</f>
        <v>1050</v>
      </c>
      <c r="N5" s="18">
        <f>VLOOKUP(B5,'Other inputs '!$E$6:$F$15,2,0)</f>
        <v>1500</v>
      </c>
      <c r="O5" s="6">
        <f>IF(B5&lt;=3,Inputs!$C$9,IF(B5&lt;=6,Inputs!$C$10,Inputs!$C$11))</f>
        <v>0.14000000000000001</v>
      </c>
      <c r="P5" s="19">
        <f>'Other inputs '!$F$17</f>
        <v>0</v>
      </c>
      <c r="Q5" s="8">
        <f t="shared" ref="Q5:Q13" si="4">(O5+P5)*C5</f>
        <v>6272.0000000000018</v>
      </c>
      <c r="R5" s="8">
        <f>IF(B5=1,Inputs!$C$13,0)</f>
        <v>0</v>
      </c>
      <c r="S5" s="8">
        <f t="shared" ref="S5:S13" si="5">IF(B5&lt;=5,$R$4/5,0)</f>
        <v>300</v>
      </c>
      <c r="T5" s="10"/>
      <c r="U5" s="8">
        <f t="shared" ref="U5:U13" si="6">SUM(V5:X5)</f>
        <v>179200.00000000003</v>
      </c>
      <c r="V5" s="8">
        <f>D5*10^5/Inputs!$C$25</f>
        <v>89600.000000000015</v>
      </c>
      <c r="W5" s="8">
        <f>E5*10^5/Inputs!$C$26</f>
        <v>44800.000000000007</v>
      </c>
      <c r="X5" s="8">
        <f>F5*10^5/Inputs!$C$27</f>
        <v>44800.000000000007</v>
      </c>
      <c r="Z5" s="18">
        <f t="shared" ref="Z5:Z13" si="7">M5+Q5+S5+N5</f>
        <v>9122.0000000000018</v>
      </c>
      <c r="AA5" s="8">
        <f t="shared" ref="AA5:AA13" si="8">$Z5*V5/$U5</f>
        <v>4561.0000000000009</v>
      </c>
      <c r="AB5" s="8">
        <f t="shared" si="1"/>
        <v>2280.5000000000005</v>
      </c>
      <c r="AC5" s="8">
        <f t="shared" si="1"/>
        <v>2280.5000000000005</v>
      </c>
      <c r="AE5" s="8">
        <f t="shared" si="2"/>
        <v>32345.600000000009</v>
      </c>
      <c r="AF5" s="8">
        <f>'Projection - Scenario 2'!D5*Inputs!K5</f>
        <v>19824.000000000004</v>
      </c>
      <c r="AG5" s="8">
        <f>'Projection - Scenario 2'!E5*Inputs!L5</f>
        <v>8036.0000000000018</v>
      </c>
      <c r="AH5" s="8">
        <f>'Projection - Scenario 2'!F5*Inputs!M5</f>
        <v>4485.6000000000013</v>
      </c>
      <c r="AJ5" s="8">
        <f t="shared" si="3"/>
        <v>43842.000000000015</v>
      </c>
      <c r="AK5" s="8">
        <f>'Projection - Scenario 2'!I5+'Projection - Scenario 2'!AA5+AF5</f>
        <v>25191.400000000005</v>
      </c>
      <c r="AL5" s="8">
        <f>'Projection - Scenario 2'!J5+'Projection - Scenario 2'!AB5+AG5</f>
        <v>11212.500000000002</v>
      </c>
      <c r="AM5" s="8">
        <f>'Projection - Scenario 2'!K5+'Projection - Scenario 2'!AC5+AH5</f>
        <v>7438.1000000000022</v>
      </c>
      <c r="AO5" s="8">
        <f>'Projection - Scenario 2'!C5-AJ5</f>
        <v>957.99999999999272</v>
      </c>
      <c r="AP5" s="8">
        <f>'Projection - Scenario 2'!D5-AK5</f>
        <v>1688.5999999999985</v>
      </c>
      <c r="AQ5" s="8">
        <f>'Projection - Scenario 2'!E5-AL5</f>
        <v>-12.5</v>
      </c>
      <c r="AR5" s="8">
        <f>'Projection - Scenario 2'!F5-AM5</f>
        <v>-718.10000000000127</v>
      </c>
      <c r="AT5" s="32"/>
      <c r="AU5" s="32"/>
      <c r="AV5" s="32"/>
    </row>
    <row r="6" spans="2:48" x14ac:dyDescent="0.35">
      <c r="B6" s="3">
        <v>3</v>
      </c>
      <c r="C6" s="8">
        <f>C5*(1+Inputs!$C$3)</f>
        <v>50176.000000000015</v>
      </c>
      <c r="D6" s="8">
        <f>$C6*Inputs!H6</f>
        <v>30105.600000000006</v>
      </c>
      <c r="E6" s="8">
        <f>$C6*Inputs!I6</f>
        <v>12544.000000000004</v>
      </c>
      <c r="F6" s="8">
        <f>$C6*Inputs!J6</f>
        <v>7526.4000000000015</v>
      </c>
      <c r="G6" s="10"/>
      <c r="H6" s="8">
        <f t="shared" si="0"/>
        <v>2659.3280000000009</v>
      </c>
      <c r="I6" s="8">
        <f>Inputs!$C$17*$D6</f>
        <v>903.16800000000012</v>
      </c>
      <c r="J6" s="8">
        <f>Inputs!$C$18*$E6</f>
        <v>1003.5200000000003</v>
      </c>
      <c r="K6" s="8">
        <f>Inputs!$C$19*$F6</f>
        <v>752.64000000000021</v>
      </c>
      <c r="L6" s="10"/>
      <c r="M6" s="8">
        <f>M5*(1+Inputs!$C$7)</f>
        <v>1102.5</v>
      </c>
      <c r="N6" s="18">
        <f>VLOOKUP(B6,'Other inputs '!$E$6:$F$15,2,0)</f>
        <v>1500</v>
      </c>
      <c r="O6" s="6">
        <f>IF(B6&lt;=3,Inputs!$C$9,IF(B6&lt;=6,Inputs!$C$10,Inputs!$C$11))</f>
        <v>0.14000000000000001</v>
      </c>
      <c r="P6" s="19">
        <f>'Other inputs '!$F$17</f>
        <v>0</v>
      </c>
      <c r="Q6" s="8">
        <f t="shared" si="4"/>
        <v>7024.6400000000031</v>
      </c>
      <c r="R6" s="8">
        <f>IF(B6=1,Inputs!$C$13,0)</f>
        <v>0</v>
      </c>
      <c r="S6" s="8">
        <f t="shared" si="5"/>
        <v>300</v>
      </c>
      <c r="T6" s="10"/>
      <c r="U6" s="8">
        <f t="shared" si="6"/>
        <v>200704.00000000003</v>
      </c>
      <c r="V6" s="8">
        <f>D6*10^5/Inputs!$C$25</f>
        <v>100352.00000000001</v>
      </c>
      <c r="W6" s="8">
        <f>E6*10^5/Inputs!$C$26</f>
        <v>50176.000000000022</v>
      </c>
      <c r="X6" s="8">
        <f>F6*10^5/Inputs!$C$27</f>
        <v>50176.000000000007</v>
      </c>
      <c r="Z6" s="18">
        <f t="shared" si="7"/>
        <v>9927.1400000000031</v>
      </c>
      <c r="AA6" s="8">
        <f t="shared" si="8"/>
        <v>4963.5700000000015</v>
      </c>
      <c r="AB6" s="8">
        <f t="shared" si="1"/>
        <v>2481.7850000000012</v>
      </c>
      <c r="AC6" s="8">
        <f t="shared" si="1"/>
        <v>2481.7850000000008</v>
      </c>
      <c r="AE6" s="8">
        <f t="shared" si="2"/>
        <v>36101.632000000012</v>
      </c>
      <c r="AF6" s="8">
        <f>'Projection - Scenario 2'!D6*Inputs!K6</f>
        <v>22127.616000000005</v>
      </c>
      <c r="AG6" s="8">
        <f>'Projection - Scenario 2'!E6*Inputs!L6</f>
        <v>8968.9600000000028</v>
      </c>
      <c r="AH6" s="8">
        <f>'Projection - Scenario 2'!F6*Inputs!M6</f>
        <v>5005.0560000000023</v>
      </c>
      <c r="AJ6" s="8">
        <f t="shared" si="3"/>
        <v>48688.10000000002</v>
      </c>
      <c r="AK6" s="8">
        <f>'Projection - Scenario 2'!I6+'Projection - Scenario 2'!AA6+AF6</f>
        <v>27994.354000000007</v>
      </c>
      <c r="AL6" s="8">
        <f>'Projection - Scenario 2'!J6+'Projection - Scenario 2'!AB6+AG6</f>
        <v>12454.265000000005</v>
      </c>
      <c r="AM6" s="8">
        <f>'Projection - Scenario 2'!K6+'Projection - Scenario 2'!AC6+AH6</f>
        <v>8239.4810000000034</v>
      </c>
      <c r="AO6" s="8">
        <f>'Projection - Scenario 2'!C6-AJ6</f>
        <v>1487.8999999999942</v>
      </c>
      <c r="AP6" s="8">
        <f>'Projection - Scenario 2'!D6-AK6</f>
        <v>2111.2459999999992</v>
      </c>
      <c r="AQ6" s="8">
        <f>'Projection - Scenario 2'!E6-AL6</f>
        <v>89.734999999998763</v>
      </c>
      <c r="AR6" s="8">
        <f>'Projection - Scenario 2'!F6-AM6</f>
        <v>-713.08100000000195</v>
      </c>
      <c r="AT6" s="32"/>
      <c r="AU6" s="32"/>
      <c r="AV6" s="32"/>
    </row>
    <row r="7" spans="2:48" x14ac:dyDescent="0.35">
      <c r="B7" s="3">
        <v>4</v>
      </c>
      <c r="C7" s="8">
        <f>C6*(1+Inputs!$C$3)</f>
        <v>56197.120000000024</v>
      </c>
      <c r="D7" s="8">
        <f>$C7*Inputs!H7</f>
        <v>34842.214400000012</v>
      </c>
      <c r="E7" s="8">
        <f>$C7*Inputs!I7</f>
        <v>12925.337600000006</v>
      </c>
      <c r="F7" s="8">
        <f>$C7*Inputs!J7</f>
        <v>8429.5680000000029</v>
      </c>
      <c r="G7" s="10"/>
      <c r="H7" s="8">
        <f t="shared" si="0"/>
        <v>2922.2502400000012</v>
      </c>
      <c r="I7" s="8">
        <f>Inputs!$C$17*$D7</f>
        <v>1045.2664320000003</v>
      </c>
      <c r="J7" s="8">
        <f>Inputs!$C$18*$E7</f>
        <v>1034.0270080000005</v>
      </c>
      <c r="K7" s="8">
        <f>Inputs!$C$19*$F7</f>
        <v>842.95680000000038</v>
      </c>
      <c r="L7" s="10"/>
      <c r="M7" s="8">
        <f>M6*(1+Inputs!$C$7)</f>
        <v>1157.625</v>
      </c>
      <c r="N7" s="18">
        <f>VLOOKUP(B7,'Other inputs '!$E$6:$F$15,2,0)</f>
        <v>1500</v>
      </c>
      <c r="O7" s="6">
        <f>IF(B7&lt;=3,Inputs!$C$9,IF(B7&lt;=6,Inputs!$C$10,Inputs!$C$11))</f>
        <v>0.12</v>
      </c>
      <c r="P7" s="19">
        <f>'Other inputs '!$F$17</f>
        <v>0</v>
      </c>
      <c r="Q7" s="8">
        <f t="shared" si="4"/>
        <v>6743.6544000000031</v>
      </c>
      <c r="R7" s="8">
        <f>IF(B7=1,Inputs!$C$13,0)</f>
        <v>0</v>
      </c>
      <c r="S7" s="8">
        <f t="shared" si="5"/>
        <v>300</v>
      </c>
      <c r="T7" s="10"/>
      <c r="U7" s="8">
        <f t="shared" si="6"/>
        <v>224039.18506666675</v>
      </c>
      <c r="V7" s="8">
        <f>D7*10^5/Inputs!$C$25</f>
        <v>116140.7146666667</v>
      </c>
      <c r="W7" s="8">
        <f>E7*10^5/Inputs!$C$26</f>
        <v>51701.350400000032</v>
      </c>
      <c r="X7" s="8">
        <f>F7*10^5/Inputs!$C$27</f>
        <v>56197.120000000017</v>
      </c>
      <c r="Z7" s="18">
        <f t="shared" si="7"/>
        <v>9701.2794000000031</v>
      </c>
      <c r="AA7" s="8">
        <f t="shared" si="8"/>
        <v>5029.091327759199</v>
      </c>
      <c r="AB7" s="8">
        <f t="shared" si="1"/>
        <v>2238.7567846153856</v>
      </c>
      <c r="AC7" s="8">
        <f t="shared" si="1"/>
        <v>2433.4312876254185</v>
      </c>
      <c r="AE7" s="8">
        <f t="shared" si="2"/>
        <v>40315.813888000026</v>
      </c>
      <c r="AF7" s="8">
        <f>'Projection - Scenario 2'!D7*Inputs!K7</f>
        <v>25521.922048000015</v>
      </c>
      <c r="AG7" s="8">
        <f>'Projection - Scenario 2'!E7*Inputs!L7</f>
        <v>9209.3030400000061</v>
      </c>
      <c r="AH7" s="8">
        <f>'Projection - Scenario 2'!F7*Inputs!M7</f>
        <v>5584.5888000000041</v>
      </c>
      <c r="AJ7" s="8">
        <f t="shared" si="3"/>
        <v>52939.343528000034</v>
      </c>
      <c r="AK7" s="8">
        <f>'Projection - Scenario 2'!I7+'Projection - Scenario 2'!AA7+AF7</f>
        <v>31596.279807759216</v>
      </c>
      <c r="AL7" s="8">
        <f>'Projection - Scenario 2'!J7+'Projection - Scenario 2'!AB7+AG7</f>
        <v>12482.086832615392</v>
      </c>
      <c r="AM7" s="8">
        <f>'Projection - Scenario 2'!K7+'Projection - Scenario 2'!AC7+AH7</f>
        <v>8860.9768876254238</v>
      </c>
      <c r="AO7" s="8">
        <f>'Projection - Scenario 2'!C7-AJ7</f>
        <v>3257.7764719999905</v>
      </c>
      <c r="AP7" s="8">
        <f>'Projection - Scenario 2'!D7-AK7</f>
        <v>3245.9345922407956</v>
      </c>
      <c r="AQ7" s="8">
        <f>'Projection - Scenario 2'!E7-AL7</f>
        <v>443.25076738461394</v>
      </c>
      <c r="AR7" s="8">
        <f>'Projection - Scenario 2'!F7-AM7</f>
        <v>-431.4088876254209</v>
      </c>
      <c r="AT7" s="32"/>
      <c r="AU7" s="32"/>
      <c r="AV7" s="32"/>
    </row>
    <row r="8" spans="2:48" x14ac:dyDescent="0.35">
      <c r="B8" s="3">
        <v>5</v>
      </c>
      <c r="C8" s="8">
        <f>C7*(1+Inputs!$C$3)</f>
        <v>62940.774400000031</v>
      </c>
      <c r="D8" s="8">
        <f>$C8*Inputs!H8</f>
        <v>39023.28012800002</v>
      </c>
      <c r="E8" s="8">
        <f>$C8*Inputs!I8</f>
        <v>14476.378112000008</v>
      </c>
      <c r="F8" s="8">
        <f>$C8*Inputs!J8</f>
        <v>9441.116160000005</v>
      </c>
      <c r="G8" s="10"/>
      <c r="H8" s="8">
        <f t="shared" si="0"/>
        <v>3272.9202688000018</v>
      </c>
      <c r="I8" s="8">
        <f>Inputs!$C$17*$D8</f>
        <v>1170.6984038400005</v>
      </c>
      <c r="J8" s="8">
        <f>Inputs!$C$18*$E8</f>
        <v>1158.1102489600007</v>
      </c>
      <c r="K8" s="8">
        <f>Inputs!$C$19*$F8</f>
        <v>944.11161600000059</v>
      </c>
      <c r="L8" s="10"/>
      <c r="M8" s="8">
        <f>M7*(1+Inputs!$C$7)</f>
        <v>1215.5062500000001</v>
      </c>
      <c r="N8" s="18">
        <f>VLOOKUP(B8,'Other inputs '!$E$6:$F$15,2,0)</f>
        <v>1500</v>
      </c>
      <c r="O8" s="6">
        <f>IF(B8&lt;=3,Inputs!$C$9,IF(B8&lt;=6,Inputs!$C$10,Inputs!$C$11))</f>
        <v>0.12</v>
      </c>
      <c r="P8" s="19">
        <f>'Other inputs '!$F$17</f>
        <v>0</v>
      </c>
      <c r="Q8" s="8">
        <f t="shared" si="4"/>
        <v>7552.8929280000038</v>
      </c>
      <c r="R8" s="8">
        <f>IF(B8=1,Inputs!$C$13,0)</f>
        <v>0</v>
      </c>
      <c r="S8" s="8">
        <f t="shared" si="5"/>
        <v>300</v>
      </c>
      <c r="T8" s="10"/>
      <c r="U8" s="8">
        <f t="shared" si="6"/>
        <v>250923.88727466678</v>
      </c>
      <c r="V8" s="8">
        <f>D8*10^5/Inputs!$C$25</f>
        <v>130077.60042666673</v>
      </c>
      <c r="W8" s="8">
        <f>E8*10^5/Inputs!$C$26</f>
        <v>57905.51244800003</v>
      </c>
      <c r="X8" s="8">
        <f>F8*10^5/Inputs!$C$27</f>
        <v>62940.774400000031</v>
      </c>
      <c r="Z8" s="18">
        <f t="shared" si="7"/>
        <v>10568.399178000003</v>
      </c>
      <c r="AA8" s="8">
        <f t="shared" si="8"/>
        <v>5478.6015805685638</v>
      </c>
      <c r="AB8" s="8">
        <f t="shared" si="1"/>
        <v>2438.8613487692319</v>
      </c>
      <c r="AC8" s="8">
        <f t="shared" si="1"/>
        <v>2650.9362486622081</v>
      </c>
      <c r="AE8" s="8">
        <f t="shared" si="2"/>
        <v>44996.359618560033</v>
      </c>
      <c r="AF8" s="8">
        <f>'Projection - Scenario 2'!D8*Inputs!K8</f>
        <v>28486.994493440023</v>
      </c>
      <c r="AG8" s="8">
        <f>'Projection - Scenario 2'!E8*Inputs!L8</f>
        <v>10278.228459520009</v>
      </c>
      <c r="AH8" s="8">
        <f>'Projection - Scenario 2'!F8*Inputs!M8</f>
        <v>6231.1366656000055</v>
      </c>
      <c r="AJ8" s="8">
        <f t="shared" si="3"/>
        <v>58837.679065360033</v>
      </c>
      <c r="AK8" s="8">
        <f>'Projection - Scenario 2'!I8+'Projection - Scenario 2'!AA8+AF8</f>
        <v>35136.294477848583</v>
      </c>
      <c r="AL8" s="8">
        <f>'Projection - Scenario 2'!J8+'Projection - Scenario 2'!AB8+AG8</f>
        <v>13875.200057249242</v>
      </c>
      <c r="AM8" s="8">
        <f>'Projection - Scenario 2'!K8+'Projection - Scenario 2'!AC8+AH8</f>
        <v>9826.1845302622132</v>
      </c>
      <c r="AO8" s="8">
        <f>'Projection - Scenario 2'!C8-AJ8</f>
        <v>4103.0953346399983</v>
      </c>
      <c r="AP8" s="8">
        <f>'Projection - Scenario 2'!D8-AK8</f>
        <v>3886.9856501514369</v>
      </c>
      <c r="AQ8" s="8">
        <f>'Projection - Scenario 2'!E8-AL8</f>
        <v>601.17805475076602</v>
      </c>
      <c r="AR8" s="8">
        <f>'Projection - Scenario 2'!F8-AM8</f>
        <v>-385.06837026220819</v>
      </c>
      <c r="AT8" s="32"/>
      <c r="AU8" s="32"/>
      <c r="AV8" s="32"/>
    </row>
    <row r="9" spans="2:48" x14ac:dyDescent="0.35">
      <c r="B9" s="3">
        <v>6</v>
      </c>
      <c r="C9" s="8">
        <f>C8*(1+Inputs!$C$3)</f>
        <v>70493.66732800004</v>
      </c>
      <c r="D9" s="8">
        <f>$C9*Inputs!H9</f>
        <v>43706.073743360022</v>
      </c>
      <c r="E9" s="8">
        <f>$C9*Inputs!I9</f>
        <v>16213.54348544001</v>
      </c>
      <c r="F9" s="8">
        <f>$C9*Inputs!J9</f>
        <v>10574.050099200005</v>
      </c>
      <c r="G9" s="10"/>
      <c r="H9" s="8">
        <f t="shared" si="0"/>
        <v>3665.6707010560021</v>
      </c>
      <c r="I9" s="8">
        <f>Inputs!$C$17*$D9</f>
        <v>1311.1822123008005</v>
      </c>
      <c r="J9" s="8">
        <f>Inputs!$C$18*$E9</f>
        <v>1297.0834788352008</v>
      </c>
      <c r="K9" s="8">
        <f>Inputs!$C$19*$F9</f>
        <v>1057.4050099200006</v>
      </c>
      <c r="L9" s="10"/>
      <c r="M9" s="8">
        <f>M8*(1+Inputs!$C$7)</f>
        <v>1276.2815625000003</v>
      </c>
      <c r="N9" s="18">
        <f>VLOOKUP(B9,'Other inputs '!$E$6:$F$15,2,0)</f>
        <v>1800</v>
      </c>
      <c r="O9" s="6">
        <f>IF(B9&lt;=3,Inputs!$C$9,IF(B9&lt;=6,Inputs!$C$10,Inputs!$C$11))</f>
        <v>0.12</v>
      </c>
      <c r="P9" s="19">
        <f>'Other inputs '!$F$17</f>
        <v>0</v>
      </c>
      <c r="Q9" s="8">
        <f t="shared" si="4"/>
        <v>8459.2400793600045</v>
      </c>
      <c r="R9" s="8">
        <f>IF(B9=1,Inputs!$C$13,0)</f>
        <v>0</v>
      </c>
      <c r="S9" s="8">
        <f t="shared" si="5"/>
        <v>0</v>
      </c>
      <c r="T9" s="10"/>
      <c r="U9" s="8">
        <f t="shared" si="6"/>
        <v>281034.75374762679</v>
      </c>
      <c r="V9" s="8">
        <f>D9*10^5/Inputs!$C$25</f>
        <v>145686.91247786675</v>
      </c>
      <c r="W9" s="8">
        <f>E9*10^5/Inputs!$C$26</f>
        <v>64854.173941760047</v>
      </c>
      <c r="X9" s="8">
        <f>F9*10^5/Inputs!$C$27</f>
        <v>70493.66732800004</v>
      </c>
      <c r="Z9" s="18">
        <f t="shared" si="7"/>
        <v>11535.521641860005</v>
      </c>
      <c r="AA9" s="8">
        <f t="shared" si="8"/>
        <v>5979.9526905963248</v>
      </c>
      <c r="AB9" s="8">
        <f t="shared" si="1"/>
        <v>2662.0434558138481</v>
      </c>
      <c r="AC9" s="8">
        <f t="shared" si="1"/>
        <v>2893.5254954498341</v>
      </c>
      <c r="AE9" s="8">
        <f t="shared" si="2"/>
        <v>50219.68860446725</v>
      </c>
      <c r="AF9" s="8">
        <f>'Projection - Scenario 2'!D9*Inputs!K9</f>
        <v>31796.168648294428</v>
      </c>
      <c r="AG9" s="8">
        <f>'Projection - Scenario 2'!E9*Inputs!L9</f>
        <v>11471.08201594881</v>
      </c>
      <c r="AH9" s="8">
        <f>'Projection - Scenario 2'!F9*Inputs!M9</f>
        <v>6952.4379402240065</v>
      </c>
      <c r="AJ9" s="8">
        <f t="shared" si="3"/>
        <v>65420.880947383252</v>
      </c>
      <c r="AK9" s="8">
        <f>'Projection - Scenario 2'!I9+'Projection - Scenario 2'!AA9+AF9</f>
        <v>39087.303551191551</v>
      </c>
      <c r="AL9" s="8">
        <f>'Projection - Scenario 2'!J9+'Projection - Scenario 2'!AB9+AG9</f>
        <v>15430.208950597858</v>
      </c>
      <c r="AM9" s="8">
        <f>'Projection - Scenario 2'!K9+'Projection - Scenario 2'!AC9+AH9</f>
        <v>10903.368445593842</v>
      </c>
      <c r="AO9" s="8">
        <f>'Projection - Scenario 2'!C9-AJ9</f>
        <v>5072.7863806167879</v>
      </c>
      <c r="AP9" s="8">
        <f>'Projection - Scenario 2'!D9-AK9</f>
        <v>4618.7701921684711</v>
      </c>
      <c r="AQ9" s="8">
        <f>'Projection - Scenario 2'!E9-AL9</f>
        <v>783.3345348421517</v>
      </c>
      <c r="AR9" s="8">
        <f>'Projection - Scenario 2'!F9-AM9</f>
        <v>-329.31834639383669</v>
      </c>
      <c r="AT9" s="32"/>
      <c r="AU9" s="32"/>
      <c r="AV9" s="32"/>
    </row>
    <row r="10" spans="2:48" x14ac:dyDescent="0.35">
      <c r="B10" s="3">
        <v>7</v>
      </c>
      <c r="C10" s="8">
        <f>C9*(1+Inputs!$C$3)</f>
        <v>78952.90740736005</v>
      </c>
      <c r="D10" s="8">
        <f>$C10*Inputs!H10</f>
        <v>48950.802592563232</v>
      </c>
      <c r="E10" s="8">
        <f>$C10*Inputs!I10</f>
        <v>18159.168703692812</v>
      </c>
      <c r="F10" s="8">
        <f>$C10*Inputs!J10</f>
        <v>11842.936111104007</v>
      </c>
      <c r="G10" s="10"/>
      <c r="H10" s="8">
        <f t="shared" si="0"/>
        <v>4105.5511851827232</v>
      </c>
      <c r="I10" s="8">
        <f>Inputs!$C$17*$D10</f>
        <v>1468.524077776897</v>
      </c>
      <c r="J10" s="8">
        <f>Inputs!$C$18*$E10</f>
        <v>1452.7334962954251</v>
      </c>
      <c r="K10" s="8">
        <f>Inputs!$C$19*$F10</f>
        <v>1184.2936111104007</v>
      </c>
      <c r="L10" s="10"/>
      <c r="M10" s="8">
        <f>M9*(1+Inputs!$C$7)</f>
        <v>1340.0956406250004</v>
      </c>
      <c r="N10" s="18">
        <f>VLOOKUP(B10,'Other inputs '!$E$6:$F$15,2,0)</f>
        <v>1800</v>
      </c>
      <c r="O10" s="6">
        <f>IF(B10&lt;=3,Inputs!$C$9,IF(B10&lt;=6,Inputs!$C$10,Inputs!$C$11))</f>
        <v>0.1</v>
      </c>
      <c r="P10" s="19">
        <f>'Other inputs '!$F$17</f>
        <v>0</v>
      </c>
      <c r="Q10" s="8">
        <f t="shared" si="4"/>
        <v>7895.2907407360053</v>
      </c>
      <c r="R10" s="8">
        <f>IF(B10=1,Inputs!$C$13,0)</f>
        <v>0</v>
      </c>
      <c r="S10" s="8">
        <f t="shared" si="5"/>
        <v>0</v>
      </c>
      <c r="T10" s="10"/>
      <c r="U10" s="8">
        <f t="shared" si="6"/>
        <v>314758.92419734207</v>
      </c>
      <c r="V10" s="8">
        <f>D10*10^5/Inputs!$C$25</f>
        <v>163169.34197521076</v>
      </c>
      <c r="W10" s="8">
        <f>E10*10^5/Inputs!$C$26</f>
        <v>72636.67481477125</v>
      </c>
      <c r="X10" s="8">
        <f>F10*10^5/Inputs!$C$27</f>
        <v>78952.90740736005</v>
      </c>
      <c r="Z10" s="18">
        <f t="shared" si="7"/>
        <v>11035.386381361006</v>
      </c>
      <c r="AA10" s="8">
        <f t="shared" si="8"/>
        <v>5720.6852478627279</v>
      </c>
      <c r="AB10" s="8">
        <f t="shared" si="1"/>
        <v>2546.6276264679245</v>
      </c>
      <c r="AC10" s="8">
        <f t="shared" si="1"/>
        <v>2768.0735070303526</v>
      </c>
      <c r="AE10" s="8">
        <f t="shared" si="2"/>
        <v>56048.668968484926</v>
      </c>
      <c r="AF10" s="8">
        <f>'Projection - Scenario 2'!D10*Inputs!K10</f>
        <v>35489.331879608355</v>
      </c>
      <c r="AG10" s="8">
        <f>'Projection - Scenario 2'!E10*Inputs!L10</f>
        <v>12802.213936103439</v>
      </c>
      <c r="AH10" s="8">
        <f>'Projection - Scenario 2'!F10*Inputs!M10</f>
        <v>7757.1231527731288</v>
      </c>
      <c r="AJ10" s="8">
        <f t="shared" si="3"/>
        <v>71189.606535028652</v>
      </c>
      <c r="AK10" s="8">
        <f>'Projection - Scenario 2'!I10+'Projection - Scenario 2'!AA10+AF10</f>
        <v>42678.541205247981</v>
      </c>
      <c r="AL10" s="8">
        <f>'Projection - Scenario 2'!J10+'Projection - Scenario 2'!AB10+AG10</f>
        <v>16801.575058866787</v>
      </c>
      <c r="AM10" s="8">
        <f>'Projection - Scenario 2'!K10+'Projection - Scenario 2'!AC10+AH10</f>
        <v>11709.490270913882</v>
      </c>
      <c r="AO10" s="8">
        <f>'Projection - Scenario 2'!C10-AJ10</f>
        <v>7763.3008723313978</v>
      </c>
      <c r="AP10" s="8">
        <f>'Projection - Scenario 2'!D10-AK10</f>
        <v>6272.2613873152513</v>
      </c>
      <c r="AQ10" s="8">
        <f>'Projection - Scenario 2'!E10-AL10</f>
        <v>1357.5936448260254</v>
      </c>
      <c r="AR10" s="8">
        <f>'Projection - Scenario 2'!F10-AM10</f>
        <v>133.44584019012473</v>
      </c>
      <c r="AT10" s="32"/>
      <c r="AU10" s="32"/>
      <c r="AV10" s="32"/>
    </row>
    <row r="11" spans="2:48" x14ac:dyDescent="0.35">
      <c r="B11" s="3">
        <v>8</v>
      </c>
      <c r="C11" s="8">
        <f>C10*(1+Inputs!$C$3)</f>
        <v>88427.256296243257</v>
      </c>
      <c r="D11" s="8">
        <f>$C11*Inputs!H11</f>
        <v>57477.716592558121</v>
      </c>
      <c r="E11" s="8">
        <f>$C11*Inputs!I11</f>
        <v>20338.268948135948</v>
      </c>
      <c r="F11" s="8">
        <f>$C11*Inputs!J11</f>
        <v>10611.270755549191</v>
      </c>
      <c r="G11" s="10"/>
      <c r="H11" s="8">
        <f t="shared" si="0"/>
        <v>4412.5200891825389</v>
      </c>
      <c r="I11" s="8">
        <f>Inputs!$C$17*$D11</f>
        <v>1724.3314977767436</v>
      </c>
      <c r="J11" s="8">
        <f>Inputs!$C$18*$E11</f>
        <v>1627.0615158508758</v>
      </c>
      <c r="K11" s="8">
        <f>Inputs!$C$19*$F11</f>
        <v>1061.1270755549192</v>
      </c>
      <c r="L11" s="10"/>
      <c r="M11" s="8">
        <f>M10*(1+Inputs!$C$7)</f>
        <v>1407.1004226562504</v>
      </c>
      <c r="N11" s="18">
        <f>VLOOKUP(B11,'Other inputs '!$E$6:$F$15,2,0)</f>
        <v>1800</v>
      </c>
      <c r="O11" s="6">
        <f>IF(B11&lt;=3,Inputs!$C$9,IF(B11&lt;=6,Inputs!$C$10,Inputs!$C$11))</f>
        <v>0.1</v>
      </c>
      <c r="P11" s="19">
        <f>'Other inputs '!$F$17</f>
        <v>0</v>
      </c>
      <c r="Q11" s="8">
        <f t="shared" si="4"/>
        <v>8842.7256296243268</v>
      </c>
      <c r="R11" s="8">
        <f>IF(B11=1,Inputs!$C$13,0)</f>
        <v>0</v>
      </c>
      <c r="S11" s="8">
        <f t="shared" si="5"/>
        <v>0</v>
      </c>
      <c r="T11" s="10"/>
      <c r="U11" s="8">
        <f t="shared" si="6"/>
        <v>343687.26947139879</v>
      </c>
      <c r="V11" s="8">
        <f>D11*10^5/Inputs!$C$25</f>
        <v>191592.38864186039</v>
      </c>
      <c r="W11" s="8">
        <f>E11*10^5/Inputs!$C$26</f>
        <v>81353.075792543794</v>
      </c>
      <c r="X11" s="8">
        <f>F11*10^5/Inputs!$C$27</f>
        <v>70741.805036994614</v>
      </c>
      <c r="Z11" s="18">
        <f t="shared" si="7"/>
        <v>12049.826052280578</v>
      </c>
      <c r="AA11" s="8">
        <f t="shared" si="8"/>
        <v>6717.312979401695</v>
      </c>
      <c r="AB11" s="8">
        <f t="shared" si="1"/>
        <v>2852.2744343305653</v>
      </c>
      <c r="AC11" s="8">
        <f t="shared" si="1"/>
        <v>2480.2386385483182</v>
      </c>
      <c r="AE11" s="8">
        <f t="shared" si="2"/>
        <v>62739.138342184626</v>
      </c>
      <c r="AF11" s="8">
        <f>'Projection - Scenario 2'!D11*Inputs!K11</f>
        <v>41527.650238123264</v>
      </c>
      <c r="AG11" s="8">
        <f>'Projection - Scenario 2'!E11*Inputs!L11</f>
        <v>14287.633936065511</v>
      </c>
      <c r="AH11" s="8">
        <f>'Projection - Scenario 2'!F11*Inputs!M11</f>
        <v>6923.8541679958516</v>
      </c>
      <c r="AJ11" s="8">
        <f t="shared" si="3"/>
        <v>79201.484483647742</v>
      </c>
      <c r="AK11" s="8">
        <f>'Projection - Scenario 2'!I11+'Projection - Scenario 2'!AA11+AF11</f>
        <v>49969.294715301701</v>
      </c>
      <c r="AL11" s="8">
        <f>'Projection - Scenario 2'!J11+'Projection - Scenario 2'!AB11+AG11</f>
        <v>18766.969886246952</v>
      </c>
      <c r="AM11" s="8">
        <f>'Projection - Scenario 2'!K11+'Projection - Scenario 2'!AC11+AH11</f>
        <v>10465.219882099089</v>
      </c>
      <c r="AO11" s="8">
        <f>'Projection - Scenario 2'!C11-AJ11</f>
        <v>9225.7718125955143</v>
      </c>
      <c r="AP11" s="8">
        <f>'Projection - Scenario 2'!D11-AK11</f>
        <v>7508.42187725642</v>
      </c>
      <c r="AQ11" s="8">
        <f>'Projection - Scenario 2'!E11-AL11</f>
        <v>1571.2990618889962</v>
      </c>
      <c r="AR11" s="8">
        <f>'Projection - Scenario 2'!F11-AM11</f>
        <v>146.05087345010179</v>
      </c>
      <c r="AT11" s="32"/>
      <c r="AU11" s="32"/>
      <c r="AV11" s="32"/>
    </row>
    <row r="12" spans="2:48" x14ac:dyDescent="0.35">
      <c r="B12" s="3">
        <v>9</v>
      </c>
      <c r="C12" s="8">
        <f>C11*(1+Inputs!$C$3)</f>
        <v>99038.527051792451</v>
      </c>
      <c r="D12" s="8">
        <f>$C12*Inputs!H12</f>
        <v>64375.042583665097</v>
      </c>
      <c r="E12" s="8">
        <f>$C12*Inputs!I12</f>
        <v>22778.861221912266</v>
      </c>
      <c r="F12" s="8">
        <f>$C12*Inputs!J12</f>
        <v>11884.623246215093</v>
      </c>
      <c r="G12" s="10"/>
      <c r="H12" s="8">
        <f t="shared" si="0"/>
        <v>4942.0224998844433</v>
      </c>
      <c r="I12" s="8">
        <f>Inputs!$C$17*$D12</f>
        <v>1931.2512775099528</v>
      </c>
      <c r="J12" s="8">
        <f>Inputs!$C$18*$E12</f>
        <v>1822.3088977529812</v>
      </c>
      <c r="K12" s="8">
        <f>Inputs!$C$19*$F12</f>
        <v>1188.4623246215094</v>
      </c>
      <c r="L12" s="10"/>
      <c r="M12" s="8">
        <f>M11*(1+Inputs!$C$7)</f>
        <v>1477.4554437890631</v>
      </c>
      <c r="N12" s="18">
        <f>VLOOKUP(B12,'Other inputs '!$E$6:$F$15,2,0)</f>
        <v>1800</v>
      </c>
      <c r="O12" s="6">
        <f>IF(B12&lt;=3,Inputs!$C$9,IF(B12&lt;=6,Inputs!$C$10,Inputs!$C$11))</f>
        <v>0.1</v>
      </c>
      <c r="P12" s="19">
        <f>'Other inputs '!$F$17</f>
        <v>0</v>
      </c>
      <c r="Q12" s="8">
        <f t="shared" si="4"/>
        <v>9903.8527051792462</v>
      </c>
      <c r="R12" s="8">
        <f>IF(B12=1,Inputs!$C$13,0)</f>
        <v>0</v>
      </c>
      <c r="S12" s="8">
        <f t="shared" si="5"/>
        <v>0</v>
      </c>
      <c r="T12" s="10"/>
      <c r="U12" s="8">
        <f t="shared" si="6"/>
        <v>384929.74180796673</v>
      </c>
      <c r="V12" s="8">
        <f>D12*10^5/Inputs!$C$25</f>
        <v>214583.47527888365</v>
      </c>
      <c r="W12" s="8">
        <f>E12*10^5/Inputs!$C$26</f>
        <v>91115.444887649064</v>
      </c>
      <c r="X12" s="8">
        <f>F12*10^5/Inputs!$C$27</f>
        <v>79230.821641433955</v>
      </c>
      <c r="Z12" s="18">
        <f t="shared" si="7"/>
        <v>13181.30814896831</v>
      </c>
      <c r="AA12" s="8">
        <f t="shared" si="8"/>
        <v>7348.0705804711833</v>
      </c>
      <c r="AB12" s="8">
        <f t="shared" si="1"/>
        <v>3120.1038157077646</v>
      </c>
      <c r="AC12" s="8">
        <f t="shared" si="1"/>
        <v>2713.1337527893602</v>
      </c>
      <c r="AE12" s="8">
        <f t="shared" si="2"/>
        <v>70020.238625617305</v>
      </c>
      <c r="AF12" s="8">
        <f>'Projection - Scenario 2'!D12*Inputs!K12</f>
        <v>46350.030660238896</v>
      </c>
      <c r="AG12" s="8">
        <f>'Projection - Scenario 2'!E12*Inputs!L12</f>
        <v>15945.202855338595</v>
      </c>
      <c r="AH12" s="8">
        <f>'Projection - Scenario 2'!F12*Inputs!M12</f>
        <v>7725.0051100398159</v>
      </c>
      <c r="AJ12" s="8">
        <f t="shared" si="3"/>
        <v>88143.56927447005</v>
      </c>
      <c r="AK12" s="8">
        <f>'Projection - Scenario 2'!I12+'Projection - Scenario 2'!AA12+AF12</f>
        <v>55629.352518220032</v>
      </c>
      <c r="AL12" s="8">
        <f>'Projection - Scenario 2'!J12+'Projection - Scenario 2'!AB12+AG12</f>
        <v>20887.615568799341</v>
      </c>
      <c r="AM12" s="8">
        <f>'Projection - Scenario 2'!K12+'Projection - Scenario 2'!AC12+AH12</f>
        <v>11626.601187450686</v>
      </c>
      <c r="AO12" s="8">
        <f>'Projection - Scenario 2'!C12-AJ12</f>
        <v>10894.957777322401</v>
      </c>
      <c r="AP12" s="8">
        <f>'Projection - Scenario 2'!D12-AK12</f>
        <v>8745.6900654450656</v>
      </c>
      <c r="AQ12" s="8">
        <f>'Projection - Scenario 2'!E12-AL12</f>
        <v>1891.2456531129246</v>
      </c>
      <c r="AR12" s="8">
        <f>'Projection - Scenario 2'!F12-AM12</f>
        <v>258.02205876440712</v>
      </c>
      <c r="AT12" s="32"/>
      <c r="AU12" s="32"/>
      <c r="AV12" s="32"/>
    </row>
    <row r="13" spans="2:48" x14ac:dyDescent="0.35">
      <c r="B13" s="3">
        <v>10</v>
      </c>
      <c r="C13" s="8">
        <f>C12*(1+Inputs!$C$3)</f>
        <v>110923.15029800756</v>
      </c>
      <c r="D13" s="8">
        <f>$C13*Inputs!H13</f>
        <v>72100.04769370491</v>
      </c>
      <c r="E13" s="8">
        <f>$C13*Inputs!I13</f>
        <v>25512.324568541739</v>
      </c>
      <c r="F13" s="8">
        <f>$C13*Inputs!J13</f>
        <v>13310.778035760906</v>
      </c>
      <c r="G13" s="10"/>
      <c r="H13" s="8">
        <f t="shared" si="0"/>
        <v>5535.0651998705771</v>
      </c>
      <c r="I13" s="8">
        <f>Inputs!$C$17*$D13</f>
        <v>2163.0014308111472</v>
      </c>
      <c r="J13" s="8">
        <f>Inputs!$C$18*$E13</f>
        <v>2040.9859654833392</v>
      </c>
      <c r="K13" s="8">
        <f>Inputs!$C$19*$F13</f>
        <v>1331.0778035760907</v>
      </c>
      <c r="L13" s="10"/>
      <c r="M13" s="8">
        <f>M12*(1+Inputs!$C$7)</f>
        <v>1551.3282159785163</v>
      </c>
      <c r="N13" s="18">
        <f>VLOOKUP(B13,'Other inputs '!$E$6:$F$15,2,0)</f>
        <v>1800</v>
      </c>
      <c r="O13" s="6">
        <f>IF(B13&lt;=3,Inputs!$C$9,IF(B13&lt;=6,Inputs!$C$10,Inputs!$C$11))</f>
        <v>0.1</v>
      </c>
      <c r="P13" s="19">
        <f>'Other inputs '!$F$17</f>
        <v>0</v>
      </c>
      <c r="Q13" s="8">
        <f t="shared" si="4"/>
        <v>11092.315029800757</v>
      </c>
      <c r="R13" s="8">
        <f>IF(B13=1,Inputs!$C$13,0)</f>
        <v>0</v>
      </c>
      <c r="S13" s="8">
        <f t="shared" si="5"/>
        <v>0</v>
      </c>
      <c r="T13" s="10"/>
      <c r="U13" s="8">
        <f t="shared" si="6"/>
        <v>431121.31082492264</v>
      </c>
      <c r="V13" s="8">
        <f>D13*10^5/Inputs!$C$25</f>
        <v>240333.4923123497</v>
      </c>
      <c r="W13" s="8">
        <f>E13*10^5/Inputs!$C$26</f>
        <v>102049.29827416694</v>
      </c>
      <c r="X13" s="8">
        <f>F13*10^5/Inputs!$C$27</f>
        <v>88738.520238406039</v>
      </c>
      <c r="Z13" s="18">
        <f t="shared" si="7"/>
        <v>14443.643245779273</v>
      </c>
      <c r="AA13" s="8">
        <f t="shared" si="8"/>
        <v>8051.7736790364743</v>
      </c>
      <c r="AB13" s="8">
        <f t="shared" si="1"/>
        <v>3418.9069775601024</v>
      </c>
      <c r="AC13" s="8">
        <f t="shared" si="1"/>
        <v>2972.9625891826981</v>
      </c>
      <c r="AE13" s="8">
        <f t="shared" si="2"/>
        <v>78145.35938494638</v>
      </c>
      <c r="AF13" s="8">
        <f>'Projection - Scenario 2'!D13*Inputs!K13</f>
        <v>51731.784220233305</v>
      </c>
      <c r="AG13" s="8">
        <f>'Projection - Scenario 2'!E13*Inputs!L13</f>
        <v>17794.846386557874</v>
      </c>
      <c r="AH13" s="8">
        <f>'Projection - Scenario 2'!F13*Inputs!M13</f>
        <v>8618.7287781551931</v>
      </c>
      <c r="AJ13" s="8">
        <f t="shared" si="3"/>
        <v>98124.067830596221</v>
      </c>
      <c r="AK13" s="8">
        <f>'Projection - Scenario 2'!I13+'Projection - Scenario 2'!AA13+AF13</f>
        <v>61946.559330080927</v>
      </c>
      <c r="AL13" s="8">
        <f>'Projection - Scenario 2'!J13+'Projection - Scenario 2'!AB13+AG13</f>
        <v>23254.739329601318</v>
      </c>
      <c r="AM13" s="8">
        <f>'Projection - Scenario 2'!K13+'Projection - Scenario 2'!AC13+AH13</f>
        <v>12922.769170913982</v>
      </c>
      <c r="AO13" s="8">
        <f>'Projection - Scenario 2'!C13-AJ13</f>
        <v>12799.082467411339</v>
      </c>
      <c r="AP13" s="8">
        <f>'Projection - Scenario 2'!D13-AK13</f>
        <v>10153.488363623983</v>
      </c>
      <c r="AQ13" s="8">
        <f>'Projection - Scenario 2'!E13-AL13</f>
        <v>2257.5852389404208</v>
      </c>
      <c r="AR13" s="8">
        <f>'Projection - Scenario 2'!F13-AM13</f>
        <v>388.00886484692455</v>
      </c>
      <c r="AT13" s="32"/>
      <c r="AU13" s="32"/>
      <c r="AV13" s="32"/>
    </row>
    <row r="14" spans="2:48" x14ac:dyDescent="0.35">
      <c r="R14" s="28" t="s">
        <v>75</v>
      </c>
      <c r="S14" s="28" t="b">
        <f>SUM(S4:S13)=SUM(R4:R13)</f>
        <v>1</v>
      </c>
    </row>
    <row r="16" spans="2:48" x14ac:dyDescent="0.35">
      <c r="C16" s="12" t="s">
        <v>22</v>
      </c>
      <c r="D16" s="12" t="s">
        <v>17</v>
      </c>
      <c r="E16" s="12" t="s">
        <v>18</v>
      </c>
      <c r="F16" s="12" t="s">
        <v>19</v>
      </c>
    </row>
    <row r="17" spans="2:14" x14ac:dyDescent="0.35">
      <c r="B17" s="3" t="s">
        <v>36</v>
      </c>
      <c r="C17" s="8">
        <f>NPV(Inputs!$C$29,AO4:AO13)</f>
        <v>29713.042205403388</v>
      </c>
      <c r="D17" s="8">
        <f>NPV(Inputs!$C$29,AP4:AP13)</f>
        <v>27357.404316054482</v>
      </c>
      <c r="E17" s="8">
        <f>NPV(Inputs!$C$29,AQ4:AQ13)</f>
        <v>4494.4817272637511</v>
      </c>
      <c r="F17" s="8">
        <f>NPV(Inputs!$C$29,AR4:AR13)</f>
        <v>-2138.8438379148392</v>
      </c>
      <c r="M17" s="13"/>
      <c r="N17" s="13"/>
    </row>
    <row r="18" spans="2:14" x14ac:dyDescent="0.35">
      <c r="B18" s="3" t="s">
        <v>37</v>
      </c>
      <c r="C18" s="8">
        <f>NPV(Inputs!$C$29,C4:C13)</f>
        <v>415925.13037627732</v>
      </c>
      <c r="D18" s="8">
        <f>NPV(Inputs!$C$29,D4:D13)</f>
        <v>259715.60557899222</v>
      </c>
      <c r="E18" s="8">
        <f>NPV(Inputs!$C$29,E4:E13)</f>
        <v>97925.771780549956</v>
      </c>
      <c r="F18" s="8">
        <f>NPV(Inputs!$C$29,F4:F13)</f>
        <v>58283.753016735165</v>
      </c>
      <c r="M18" s="13"/>
      <c r="N18" s="13"/>
    </row>
    <row r="19" spans="2:14" x14ac:dyDescent="0.35">
      <c r="B19" s="3" t="s">
        <v>44</v>
      </c>
      <c r="C19" s="6">
        <f>C17/C18</f>
        <v>7.1438439361725323E-2</v>
      </c>
      <c r="D19" s="6">
        <f>D17/D18</f>
        <v>0.10533600495459546</v>
      </c>
      <c r="E19" s="6">
        <f>E17/E18</f>
        <v>4.5896822108645832E-2</v>
      </c>
      <c r="F19" s="6">
        <f>F17/F18</f>
        <v>-3.6697084988688143E-2</v>
      </c>
      <c r="M19" s="13"/>
      <c r="N19" s="13"/>
    </row>
    <row r="20" spans="2:14" x14ac:dyDescent="0.35">
      <c r="M20" s="13"/>
      <c r="N20" s="13"/>
    </row>
    <row r="21" spans="2:14" x14ac:dyDescent="0.35">
      <c r="M21" s="13"/>
      <c r="N21" s="13"/>
    </row>
    <row r="22" spans="2:14" x14ac:dyDescent="0.35">
      <c r="M22" s="13"/>
      <c r="N22" s="13"/>
    </row>
    <row r="23" spans="2:14" x14ac:dyDescent="0.35">
      <c r="M23" s="13"/>
      <c r="N23" s="13"/>
    </row>
    <row r="24" spans="2:14" x14ac:dyDescent="0.35">
      <c r="M24" s="13"/>
      <c r="N24" s="13"/>
    </row>
    <row r="25" spans="2:14" x14ac:dyDescent="0.35">
      <c r="M25" s="13"/>
      <c r="N25" s="13"/>
    </row>
    <row r="26" spans="2:14" x14ac:dyDescent="0.35">
      <c r="M26" s="13"/>
      <c r="N26" s="13"/>
    </row>
    <row r="27" spans="2:14" x14ac:dyDescent="0.35">
      <c r="M27" s="13"/>
      <c r="N27" s="13"/>
    </row>
    <row r="28" spans="2:14" x14ac:dyDescent="0.35">
      <c r="M28" s="13"/>
      <c r="N28" s="13"/>
    </row>
    <row r="29" spans="2:14" x14ac:dyDescent="0.35">
      <c r="M29" s="13"/>
      <c r="N29" s="13"/>
    </row>
    <row r="30" spans="2:14" x14ac:dyDescent="0.35">
      <c r="M30" s="13"/>
      <c r="N30" s="13"/>
    </row>
    <row r="31" spans="2:14" x14ac:dyDescent="0.35">
      <c r="M31" s="13"/>
      <c r="N31" s="13"/>
    </row>
  </sheetData>
  <mergeCells count="8">
    <mergeCell ref="AJ2:AM2"/>
    <mergeCell ref="AO2:AR2"/>
    <mergeCell ref="C2:F2"/>
    <mergeCell ref="H2:K2"/>
    <mergeCell ref="M2:S2"/>
    <mergeCell ref="U2:X2"/>
    <mergeCell ref="Z2:AC2"/>
    <mergeCell ref="AE2:AH2"/>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90CC2-99B3-455D-8B11-8208AF2450B4}">
  <sheetPr codeName="Sheet7"/>
  <dimension ref="B2:AQ31"/>
  <sheetViews>
    <sheetView showGridLines="0" topLeftCell="C1" zoomScale="55" zoomScaleNormal="55" workbookViewId="0">
      <selection activeCell="C17" sqref="C17"/>
    </sheetView>
  </sheetViews>
  <sheetFormatPr defaultColWidth="8.81640625" defaultRowHeight="14.5" x14ac:dyDescent="0.35"/>
  <cols>
    <col min="2" max="2" width="20.6328125" bestFit="1" customWidth="1"/>
    <col min="3" max="3" width="11.1796875" bestFit="1" customWidth="1"/>
    <col min="4" max="6" width="9.6328125" bestFit="1" customWidth="1"/>
    <col min="7" max="7" width="2" customWidth="1"/>
    <col min="12" max="12" width="2" customWidth="1"/>
    <col min="13" max="13" width="15" bestFit="1" customWidth="1"/>
    <col min="14" max="14" width="13.453125" bestFit="1" customWidth="1"/>
    <col min="15" max="15" width="13.453125" customWidth="1"/>
    <col min="16" max="16" width="19.1796875" bestFit="1" customWidth="1"/>
    <col min="17" max="17" width="15.36328125" bestFit="1" customWidth="1"/>
    <col min="18" max="18" width="19" bestFit="1" customWidth="1"/>
    <col min="19" max="19" width="3.81640625" customWidth="1"/>
    <col min="20" max="22" width="9" bestFit="1" customWidth="1"/>
    <col min="23" max="23" width="8.6328125" bestFit="1" customWidth="1"/>
    <col min="24" max="24" width="1.6328125" customWidth="1"/>
    <col min="29" max="29" width="2.453125" customWidth="1"/>
    <col min="34" max="34" width="2.453125" customWidth="1"/>
    <col min="39" max="39" width="1.6328125" customWidth="1"/>
    <col min="44" max="44" width="2" customWidth="1"/>
  </cols>
  <sheetData>
    <row r="2" spans="2:43" ht="14.5" customHeight="1" x14ac:dyDescent="0.35">
      <c r="B2" s="3"/>
      <c r="C2" s="35" t="s">
        <v>32</v>
      </c>
      <c r="D2" s="35"/>
      <c r="E2" s="35"/>
      <c r="F2" s="35"/>
      <c r="G2" s="9"/>
      <c r="H2" s="35" t="s">
        <v>31</v>
      </c>
      <c r="I2" s="35"/>
      <c r="J2" s="35"/>
      <c r="K2" s="35"/>
      <c r="L2" s="9"/>
      <c r="M2" s="35" t="s">
        <v>30</v>
      </c>
      <c r="N2" s="35"/>
      <c r="O2" s="35"/>
      <c r="P2" s="35"/>
      <c r="Q2" s="35"/>
      <c r="R2" s="35"/>
      <c r="S2" s="9"/>
      <c r="T2" s="35" t="s">
        <v>29</v>
      </c>
      <c r="U2" s="35"/>
      <c r="V2" s="35"/>
      <c r="W2" s="35"/>
      <c r="Y2" s="35" t="s">
        <v>86</v>
      </c>
      <c r="Z2" s="35"/>
      <c r="AA2" s="35"/>
      <c r="AB2" s="35"/>
      <c r="AD2" s="35" t="s">
        <v>33</v>
      </c>
      <c r="AE2" s="35"/>
      <c r="AF2" s="35"/>
      <c r="AG2" s="35"/>
      <c r="AI2" s="35" t="s">
        <v>34</v>
      </c>
      <c r="AJ2" s="35"/>
      <c r="AK2" s="35"/>
      <c r="AL2" s="35"/>
      <c r="AN2" s="35" t="s">
        <v>35</v>
      </c>
      <c r="AO2" s="35"/>
      <c r="AP2" s="35"/>
      <c r="AQ2" s="35"/>
    </row>
    <row r="3" spans="2:43" x14ac:dyDescent="0.35">
      <c r="B3" s="3" t="s">
        <v>20</v>
      </c>
      <c r="C3" s="3" t="s">
        <v>22</v>
      </c>
      <c r="D3" s="3" t="s">
        <v>17</v>
      </c>
      <c r="E3" s="3" t="s">
        <v>18</v>
      </c>
      <c r="F3" s="3" t="s">
        <v>19</v>
      </c>
      <c r="H3" s="3" t="s">
        <v>22</v>
      </c>
      <c r="I3" s="3" t="s">
        <v>17</v>
      </c>
      <c r="J3" s="3" t="s">
        <v>18</v>
      </c>
      <c r="K3" s="3" t="s">
        <v>19</v>
      </c>
      <c r="M3" s="3" t="s">
        <v>23</v>
      </c>
      <c r="N3" s="3" t="s">
        <v>42</v>
      </c>
      <c r="O3" s="3" t="s">
        <v>43</v>
      </c>
      <c r="P3" s="3" t="s">
        <v>24</v>
      </c>
      <c r="Q3" s="3" t="s">
        <v>25</v>
      </c>
      <c r="R3" s="3" t="s">
        <v>26</v>
      </c>
      <c r="T3" s="3" t="s">
        <v>22</v>
      </c>
      <c r="U3" s="3" t="s">
        <v>17</v>
      </c>
      <c r="V3" s="3" t="s">
        <v>18</v>
      </c>
      <c r="W3" s="3" t="s">
        <v>19</v>
      </c>
      <c r="Y3" s="3" t="s">
        <v>22</v>
      </c>
      <c r="Z3" s="3" t="s">
        <v>17</v>
      </c>
      <c r="AA3" s="3" t="s">
        <v>18</v>
      </c>
      <c r="AB3" s="3" t="s">
        <v>19</v>
      </c>
      <c r="AD3" s="3" t="s">
        <v>22</v>
      </c>
      <c r="AE3" s="3" t="s">
        <v>17</v>
      </c>
      <c r="AF3" s="3" t="s">
        <v>18</v>
      </c>
      <c r="AG3" s="3" t="s">
        <v>19</v>
      </c>
      <c r="AI3" s="3" t="s">
        <v>22</v>
      </c>
      <c r="AJ3" s="3" t="s">
        <v>17</v>
      </c>
      <c r="AK3" s="3" t="s">
        <v>18</v>
      </c>
      <c r="AL3" s="3" t="s">
        <v>19</v>
      </c>
      <c r="AN3" s="3" t="s">
        <v>22</v>
      </c>
      <c r="AO3" s="3" t="s">
        <v>17</v>
      </c>
      <c r="AP3" s="3" t="s">
        <v>18</v>
      </c>
      <c r="AQ3" s="3" t="s">
        <v>19</v>
      </c>
    </row>
    <row r="4" spans="2:43" x14ac:dyDescent="0.35">
      <c r="B4" s="3">
        <v>1</v>
      </c>
      <c r="C4" s="8">
        <f>Inputs!$C$2</f>
        <v>40000</v>
      </c>
      <c r="D4" s="18">
        <f>$C4*'Other inputs '!I6</f>
        <v>28000</v>
      </c>
      <c r="E4" s="18">
        <f>$C4*'Other inputs '!J6</f>
        <v>8000</v>
      </c>
      <c r="F4" s="18">
        <f>$C4*'Other inputs '!K6</f>
        <v>3999.9999999999995</v>
      </c>
      <c r="G4" s="10"/>
      <c r="H4" s="8">
        <f t="shared" ref="H4:H13" si="0">SUM(I4:K4)</f>
        <v>1880</v>
      </c>
      <c r="I4" s="8">
        <f>Inputs!$C$17*$D4</f>
        <v>840</v>
      </c>
      <c r="J4" s="8">
        <f>Inputs!$C$18*$E4</f>
        <v>640</v>
      </c>
      <c r="K4" s="8">
        <f>Inputs!$C$19*$F4</f>
        <v>400</v>
      </c>
      <c r="L4" s="10"/>
      <c r="M4" s="8">
        <f>Inputs!$C$6</f>
        <v>1000</v>
      </c>
      <c r="N4" s="6">
        <f>IF(B4&lt;=3,Inputs!$C$9,IF(B4&lt;=6,Inputs!$C$10,Inputs!$C$11))</f>
        <v>0.14000000000000001</v>
      </c>
      <c r="O4" s="6">
        <f>Inputs!$C$22</f>
        <v>0.05</v>
      </c>
      <c r="P4" s="8">
        <f>(N4+O4)*C4</f>
        <v>7600</v>
      </c>
      <c r="Q4" s="8">
        <f>IF(B4=1,Inputs!$C$13,0)</f>
        <v>1500</v>
      </c>
      <c r="R4" s="8">
        <f>IF(B4&lt;=5,$Q$4/5,0)</f>
        <v>300</v>
      </c>
      <c r="S4" s="10"/>
      <c r="T4" s="8">
        <f>SUM(U4:W4)</f>
        <v>152000</v>
      </c>
      <c r="U4" s="8">
        <f>D4*10^5/Inputs!$C$25</f>
        <v>93333.333333333328</v>
      </c>
      <c r="V4" s="8">
        <f>E4*10^5/Inputs!$C$26</f>
        <v>32000</v>
      </c>
      <c r="W4" s="8">
        <f>F4*10^5/Inputs!$C$27</f>
        <v>26666.666666666664</v>
      </c>
      <c r="Y4" s="8">
        <f t="shared" ref="Y4:Y13" si="1">M4+P4+R4</f>
        <v>8900</v>
      </c>
      <c r="Z4" s="8">
        <f>$Y4*U4/$T4</f>
        <v>5464.9122807017538</v>
      </c>
      <c r="AA4" s="8">
        <f t="shared" ref="AA4:AB13" si="2">$Y4*V4/$T4</f>
        <v>1873.6842105263158</v>
      </c>
      <c r="AB4" s="8">
        <f t="shared" si="2"/>
        <v>1561.4035087719296</v>
      </c>
      <c r="AD4" s="8">
        <f t="shared" ref="AD4:AD13" si="3">SUM(AE4:AG4)</f>
        <v>29160</v>
      </c>
      <c r="AE4" s="8">
        <f>'Projection - Scenario 3'!D4*Inputs!K4</f>
        <v>20720</v>
      </c>
      <c r="AF4" s="8">
        <f>'Projection - Scenario 3'!E4*Inputs!L4</f>
        <v>5760</v>
      </c>
      <c r="AG4" s="8">
        <f>'Projection - Scenario 3'!F4*Inputs!M4</f>
        <v>2680</v>
      </c>
      <c r="AI4" s="8">
        <f t="shared" ref="AI4:AI13" si="4">SUM(AJ4:AL4)</f>
        <v>39940.000000000007</v>
      </c>
      <c r="AJ4" s="8">
        <f>'Projection - Scenario 3'!I4+'Projection - Scenario 3'!Z4+AE4</f>
        <v>27024.912280701756</v>
      </c>
      <c r="AK4" s="8">
        <f>'Projection - Scenario 3'!J4+'Projection - Scenario 3'!AA4+AF4</f>
        <v>8273.6842105263167</v>
      </c>
      <c r="AL4" s="8">
        <f>'Projection - Scenario 3'!K4+'Projection - Scenario 3'!AB4+AG4</f>
        <v>4641.4035087719294</v>
      </c>
      <c r="AN4" s="8">
        <f>'Projection - Scenario 3'!C4-AI4</f>
        <v>59.999999999992724</v>
      </c>
      <c r="AO4" s="8">
        <f>'Projection - Scenario 3'!D4-AJ4</f>
        <v>975.08771929824434</v>
      </c>
      <c r="AP4" s="8">
        <f>'Projection - Scenario 3'!E4-AK4</f>
        <v>-273.68421052631675</v>
      </c>
      <c r="AQ4" s="8">
        <f>'Projection - Scenario 3'!F4-AL4</f>
        <v>-641.40350877192986</v>
      </c>
    </row>
    <row r="5" spans="2:43" x14ac:dyDescent="0.35">
      <c r="B5" s="3">
        <v>2</v>
      </c>
      <c r="C5" s="8">
        <f>C4*(1+Inputs!$C$3)</f>
        <v>44800.000000000007</v>
      </c>
      <c r="D5" s="18">
        <f>$C5*'Other inputs '!I7</f>
        <v>31360.000000000004</v>
      </c>
      <c r="E5" s="18">
        <f>$C5*'Other inputs '!J7</f>
        <v>8960.0000000000018</v>
      </c>
      <c r="F5" s="18">
        <f>$C5*'Other inputs '!K7</f>
        <v>4480</v>
      </c>
      <c r="G5" s="10"/>
      <c r="H5" s="8">
        <f t="shared" si="0"/>
        <v>2105.6000000000004</v>
      </c>
      <c r="I5" s="8">
        <f>Inputs!$C$17*$D5</f>
        <v>940.80000000000007</v>
      </c>
      <c r="J5" s="8">
        <f>Inputs!$C$18*$E5</f>
        <v>716.80000000000018</v>
      </c>
      <c r="K5" s="8">
        <f>Inputs!$C$19*$F5</f>
        <v>448</v>
      </c>
      <c r="L5" s="10"/>
      <c r="M5" s="8">
        <f>M4*(1+Inputs!$C$7)</f>
        <v>1050</v>
      </c>
      <c r="N5" s="6">
        <f>IF(B5&lt;=3,Inputs!$C$9,IF(B5&lt;=6,Inputs!$C$10,Inputs!$C$11))</f>
        <v>0.14000000000000001</v>
      </c>
      <c r="O5" s="6">
        <f>Inputs!$C$22</f>
        <v>0.05</v>
      </c>
      <c r="P5" s="8">
        <f t="shared" ref="P5:P13" si="5">(N5+O5)*C5</f>
        <v>8512.0000000000018</v>
      </c>
      <c r="Q5" s="8">
        <f>IF(B5=1,Inputs!$C$13,0)</f>
        <v>0</v>
      </c>
      <c r="R5" s="8">
        <f t="shared" ref="R5:R13" si="6">IF(B5&lt;=5,$Q$4/5,0)</f>
        <v>300</v>
      </c>
      <c r="S5" s="10"/>
      <c r="T5" s="8">
        <f t="shared" ref="T5:T13" si="7">SUM(U5:W5)</f>
        <v>170240</v>
      </c>
      <c r="U5" s="8">
        <f>D5*10^5/Inputs!$C$25</f>
        <v>104533.33333333334</v>
      </c>
      <c r="V5" s="8">
        <f>E5*10^5/Inputs!$C$26</f>
        <v>35840.000000000007</v>
      </c>
      <c r="W5" s="8">
        <f>F5*10^5/Inputs!$C$27</f>
        <v>29866.666666666668</v>
      </c>
      <c r="Y5" s="8">
        <f t="shared" si="1"/>
        <v>9862.0000000000018</v>
      </c>
      <c r="Z5" s="8">
        <f t="shared" ref="Z5:Z13" si="8">$Y5*U5/$T5</f>
        <v>6055.6140350877213</v>
      </c>
      <c r="AA5" s="8">
        <f t="shared" si="2"/>
        <v>2076.21052631579</v>
      </c>
      <c r="AB5" s="8">
        <f t="shared" si="2"/>
        <v>1730.1754385964916</v>
      </c>
      <c r="AD5" s="8">
        <f t="shared" si="3"/>
        <v>32547.200000000004</v>
      </c>
      <c r="AE5" s="8">
        <f>'Projection - Scenario 3'!D5*Inputs!K5</f>
        <v>23128.000000000004</v>
      </c>
      <c r="AF5" s="8">
        <f>'Projection - Scenario 3'!E5*Inputs!L5</f>
        <v>6428.8000000000011</v>
      </c>
      <c r="AG5" s="8">
        <f>'Projection - Scenario 3'!F5*Inputs!M5</f>
        <v>2990.4000000000005</v>
      </c>
      <c r="AI5" s="8">
        <f t="shared" si="4"/>
        <v>44514.80000000001</v>
      </c>
      <c r="AJ5" s="8">
        <f>'Projection - Scenario 3'!I5+'Projection - Scenario 3'!Z5+AE5</f>
        <v>30124.414035087724</v>
      </c>
      <c r="AK5" s="8">
        <f>'Projection - Scenario 3'!J5+'Projection - Scenario 3'!AA5+AF5</f>
        <v>9221.8105263157922</v>
      </c>
      <c r="AL5" s="8">
        <f>'Projection - Scenario 3'!K5+'Projection - Scenario 3'!AB5+AG5</f>
        <v>5168.5754385964919</v>
      </c>
      <c r="AN5" s="8">
        <f>'Projection - Scenario 3'!C5-AI5</f>
        <v>285.19999999999709</v>
      </c>
      <c r="AO5" s="8">
        <f>'Projection - Scenario 3'!D5-AJ5</f>
        <v>1235.5859649122795</v>
      </c>
      <c r="AP5" s="8">
        <f>'Projection - Scenario 3'!E5-AK5</f>
        <v>-261.81052631579041</v>
      </c>
      <c r="AQ5" s="8">
        <f>'Projection - Scenario 3'!F5-AL5</f>
        <v>-688.57543859649195</v>
      </c>
    </row>
    <row r="6" spans="2:43" x14ac:dyDescent="0.35">
      <c r="B6" s="3">
        <v>3</v>
      </c>
      <c r="C6" s="8">
        <f>C5*(1+Inputs!$C$3)</f>
        <v>50176.000000000015</v>
      </c>
      <c r="D6" s="18">
        <f>$C6*'Other inputs '!I8</f>
        <v>35123.200000000004</v>
      </c>
      <c r="E6" s="18">
        <f>$C6*'Other inputs '!J8</f>
        <v>10035.200000000004</v>
      </c>
      <c r="F6" s="18">
        <f>$C6*'Other inputs '!K8</f>
        <v>5017.6000000000013</v>
      </c>
      <c r="G6" s="10"/>
      <c r="H6" s="8">
        <f t="shared" si="0"/>
        <v>2358.2720000000008</v>
      </c>
      <c r="I6" s="8">
        <f>Inputs!$C$17*$D6</f>
        <v>1053.6960000000001</v>
      </c>
      <c r="J6" s="8">
        <f>Inputs!$C$18*$E6</f>
        <v>802.81600000000037</v>
      </c>
      <c r="K6" s="8">
        <f>Inputs!$C$19*$F6</f>
        <v>501.76000000000016</v>
      </c>
      <c r="L6" s="10"/>
      <c r="M6" s="8">
        <f>M5*(1+Inputs!$C$7)</f>
        <v>1102.5</v>
      </c>
      <c r="N6" s="6">
        <f>IF(B6&lt;=3,Inputs!$C$9,IF(B6&lt;=6,Inputs!$C$10,Inputs!$C$11))</f>
        <v>0.14000000000000001</v>
      </c>
      <c r="O6" s="6">
        <f>Inputs!$C$22</f>
        <v>0.05</v>
      </c>
      <c r="P6" s="8">
        <f t="shared" si="5"/>
        <v>9533.4400000000023</v>
      </c>
      <c r="Q6" s="8">
        <f>IF(B6=1,Inputs!$C$13,0)</f>
        <v>0</v>
      </c>
      <c r="R6" s="8">
        <f t="shared" si="6"/>
        <v>300</v>
      </c>
      <c r="S6" s="10"/>
      <c r="T6" s="8">
        <f t="shared" si="7"/>
        <v>190668.80000000005</v>
      </c>
      <c r="U6" s="8">
        <f>D6*10^5/Inputs!$C$25</f>
        <v>117077.33333333334</v>
      </c>
      <c r="V6" s="8">
        <f>E6*10^5/Inputs!$C$26</f>
        <v>40140.800000000017</v>
      </c>
      <c r="W6" s="8">
        <f>F6*10^5/Inputs!$C$27</f>
        <v>33450.666666666672</v>
      </c>
      <c r="Y6" s="8">
        <f t="shared" si="1"/>
        <v>10935.940000000002</v>
      </c>
      <c r="Z6" s="8">
        <f t="shared" si="8"/>
        <v>6715.0508771929826</v>
      </c>
      <c r="AA6" s="8">
        <f t="shared" si="2"/>
        <v>2302.303157894738</v>
      </c>
      <c r="AB6" s="8">
        <f t="shared" si="2"/>
        <v>1918.5859649122808</v>
      </c>
      <c r="AD6" s="8">
        <f t="shared" si="3"/>
        <v>36327.424000000014</v>
      </c>
      <c r="AE6" s="8">
        <f>'Projection - Scenario 3'!D6*Inputs!K6</f>
        <v>25815.552000000007</v>
      </c>
      <c r="AF6" s="8">
        <f>'Projection - Scenario 3'!E6*Inputs!L6</f>
        <v>7175.1680000000042</v>
      </c>
      <c r="AG6" s="8">
        <f>'Projection - Scenario 3'!F6*Inputs!M6</f>
        <v>3336.7040000000015</v>
      </c>
      <c r="AI6" s="8">
        <f t="shared" si="4"/>
        <v>49621.636000000013</v>
      </c>
      <c r="AJ6" s="8">
        <f>'Projection - Scenario 3'!I6+'Projection - Scenario 3'!Z6+AE6</f>
        <v>33584.298877192989</v>
      </c>
      <c r="AK6" s="8">
        <f>'Projection - Scenario 3'!J6+'Projection - Scenario 3'!AA6+AF6</f>
        <v>10280.287157894742</v>
      </c>
      <c r="AL6" s="8">
        <f>'Projection - Scenario 3'!K6+'Projection - Scenario 3'!AB6+AG6</f>
        <v>5757.049964912283</v>
      </c>
      <c r="AN6" s="8">
        <f>'Projection - Scenario 3'!C6-AI6</f>
        <v>554.3640000000014</v>
      </c>
      <c r="AO6" s="8">
        <f>'Projection - Scenario 3'!D6-AJ6</f>
        <v>1538.9011228070158</v>
      </c>
      <c r="AP6" s="8">
        <f>'Projection - Scenario 3'!E6-AK6</f>
        <v>-245.08715789473717</v>
      </c>
      <c r="AQ6" s="8">
        <f>'Projection - Scenario 3'!F6-AL6</f>
        <v>-739.44996491228176</v>
      </c>
    </row>
    <row r="7" spans="2:43" x14ac:dyDescent="0.35">
      <c r="B7" s="3">
        <v>4</v>
      </c>
      <c r="C7" s="8">
        <f>C6*(1+Inputs!$C$3)</f>
        <v>56197.120000000024</v>
      </c>
      <c r="D7" s="18">
        <f>$C7*'Other inputs '!I9</f>
        <v>42147.840000000018</v>
      </c>
      <c r="E7" s="18">
        <f>$C7*'Other inputs '!J9</f>
        <v>10115.481600000005</v>
      </c>
      <c r="F7" s="18">
        <f>$C7*'Other inputs '!K9</f>
        <v>3933.7984000000015</v>
      </c>
      <c r="G7" s="10"/>
      <c r="H7" s="8">
        <f t="shared" si="0"/>
        <v>2467.0535680000012</v>
      </c>
      <c r="I7" s="8">
        <f>Inputs!$C$17*$D7</f>
        <v>1264.4352000000006</v>
      </c>
      <c r="J7" s="8">
        <f>Inputs!$C$18*$E7</f>
        <v>809.23852800000043</v>
      </c>
      <c r="K7" s="8">
        <f>Inputs!$C$19*$F7</f>
        <v>393.37984000000017</v>
      </c>
      <c r="L7" s="10"/>
      <c r="M7" s="8">
        <f>M6*(1+Inputs!$C$7)</f>
        <v>1157.625</v>
      </c>
      <c r="N7" s="6">
        <f>IF(B7&lt;=3,Inputs!$C$9,IF(B7&lt;=6,Inputs!$C$10,Inputs!$C$11))</f>
        <v>0.12</v>
      </c>
      <c r="O7" s="6">
        <f>Inputs!$C$22</f>
        <v>0.05</v>
      </c>
      <c r="P7" s="8">
        <f t="shared" si="5"/>
        <v>9553.5104000000028</v>
      </c>
      <c r="Q7" s="8">
        <f>IF(B7=1,Inputs!$C$13,0)</f>
        <v>0</v>
      </c>
      <c r="R7" s="8">
        <f t="shared" si="6"/>
        <v>300</v>
      </c>
      <c r="S7" s="10"/>
      <c r="T7" s="8">
        <f t="shared" si="7"/>
        <v>207180.04906666678</v>
      </c>
      <c r="U7" s="8">
        <f>D7*10^5/Inputs!$C$25</f>
        <v>140492.80000000008</v>
      </c>
      <c r="V7" s="8">
        <f>E7*10^5/Inputs!$C$26</f>
        <v>40461.926400000018</v>
      </c>
      <c r="W7" s="8">
        <f>F7*10^5/Inputs!$C$27</f>
        <v>26225.322666666678</v>
      </c>
      <c r="Y7" s="8">
        <f t="shared" si="1"/>
        <v>11011.135400000003</v>
      </c>
      <c r="Z7" s="8">
        <f t="shared" si="8"/>
        <v>7466.8639692585912</v>
      </c>
      <c r="AA7" s="8">
        <f t="shared" si="2"/>
        <v>2150.4568231464741</v>
      </c>
      <c r="AB7" s="8">
        <f t="shared" si="2"/>
        <v>1393.8146075949369</v>
      </c>
      <c r="AD7" s="8">
        <f t="shared" si="3"/>
        <v>40686.714880000021</v>
      </c>
      <c r="AE7" s="8">
        <f>'Projection - Scenario 3'!D7*Inputs!K7</f>
        <v>30873.292800000021</v>
      </c>
      <c r="AF7" s="8">
        <f>'Projection - Scenario 3'!E7*Inputs!L7</f>
        <v>7207.2806400000045</v>
      </c>
      <c r="AG7" s="8">
        <f>'Projection - Scenario 3'!F7*Inputs!M7</f>
        <v>2606.1414400000017</v>
      </c>
      <c r="AI7" s="8">
        <f t="shared" si="4"/>
        <v>54164.903848000031</v>
      </c>
      <c r="AJ7" s="8">
        <f>'Projection - Scenario 3'!I7+'Projection - Scenario 3'!Z7+AE7</f>
        <v>39604.59196925861</v>
      </c>
      <c r="AK7" s="8">
        <f>'Projection - Scenario 3'!J7+'Projection - Scenario 3'!AA7+AF7</f>
        <v>10166.975991146479</v>
      </c>
      <c r="AL7" s="8">
        <f>'Projection - Scenario 3'!K7+'Projection - Scenario 3'!AB7+AG7</f>
        <v>4393.3358875949389</v>
      </c>
      <c r="AN7" s="8">
        <f>'Projection - Scenario 3'!C7-AI7</f>
        <v>2032.2161519999936</v>
      </c>
      <c r="AO7" s="8">
        <f>'Projection - Scenario 3'!D7-AJ7</f>
        <v>2543.248030741408</v>
      </c>
      <c r="AP7" s="8">
        <f>'Projection - Scenario 3'!E7-AK7</f>
        <v>-51.4943911464743</v>
      </c>
      <c r="AQ7" s="8">
        <f>'Projection - Scenario 3'!F7-AL7</f>
        <v>-459.53748759493737</v>
      </c>
    </row>
    <row r="8" spans="2:43" x14ac:dyDescent="0.35">
      <c r="B8" s="3">
        <v>5</v>
      </c>
      <c r="C8" s="8">
        <f>C7*(1+Inputs!$C$3)</f>
        <v>62940.774400000031</v>
      </c>
      <c r="D8" s="18">
        <f>$C8*'Other inputs '!I10</f>
        <v>47205.580800000025</v>
      </c>
      <c r="E8" s="18">
        <f>$C8*'Other inputs '!J10</f>
        <v>11329.339392000005</v>
      </c>
      <c r="F8" s="18">
        <f>$C8*'Other inputs '!K10</f>
        <v>4405.8542080000016</v>
      </c>
      <c r="G8" s="10"/>
      <c r="H8" s="8">
        <f t="shared" si="0"/>
        <v>2763.099996160001</v>
      </c>
      <c r="I8" s="8">
        <f>Inputs!$C$17*$D8</f>
        <v>1416.1674240000007</v>
      </c>
      <c r="J8" s="8">
        <f>Inputs!$C$18*$E8</f>
        <v>906.34715136000045</v>
      </c>
      <c r="K8" s="8">
        <f>Inputs!$C$19*$F8</f>
        <v>440.58542080000018</v>
      </c>
      <c r="L8" s="10"/>
      <c r="M8" s="8">
        <f>M7*(1+Inputs!$C$7)</f>
        <v>1215.5062500000001</v>
      </c>
      <c r="N8" s="6">
        <f>IF(B8&lt;=3,Inputs!$C$9,IF(B8&lt;=6,Inputs!$C$10,Inputs!$C$11))</f>
        <v>0.12</v>
      </c>
      <c r="O8" s="6">
        <f>Inputs!$C$22</f>
        <v>0.05</v>
      </c>
      <c r="P8" s="8">
        <f t="shared" si="5"/>
        <v>10699.931648000005</v>
      </c>
      <c r="Q8" s="8">
        <f>IF(B8=1,Inputs!$C$13,0)</f>
        <v>0</v>
      </c>
      <c r="R8" s="8">
        <f t="shared" si="6"/>
        <v>300</v>
      </c>
      <c r="S8" s="10"/>
      <c r="T8" s="8">
        <f t="shared" si="7"/>
        <v>232041.65495466682</v>
      </c>
      <c r="U8" s="8">
        <f>D8*10^5/Inputs!$C$25</f>
        <v>157351.9360000001</v>
      </c>
      <c r="V8" s="8">
        <f>E8*10^5/Inputs!$C$26</f>
        <v>45317.357568000021</v>
      </c>
      <c r="W8" s="8">
        <f>F8*10^5/Inputs!$C$27</f>
        <v>29372.361386666675</v>
      </c>
      <c r="Y8" s="8">
        <f t="shared" si="1"/>
        <v>12215.437898000006</v>
      </c>
      <c r="Z8" s="8">
        <f t="shared" si="8"/>
        <v>8283.5247952079608</v>
      </c>
      <c r="AA8" s="8">
        <f t="shared" si="2"/>
        <v>2385.6551410198922</v>
      </c>
      <c r="AB8" s="8">
        <f t="shared" si="2"/>
        <v>1546.2579617721522</v>
      </c>
      <c r="AD8" s="8">
        <f t="shared" si="3"/>
        <v>45411.768729600037</v>
      </c>
      <c r="AE8" s="8">
        <f>'Projection - Scenario 3'!D8*Inputs!K8</f>
        <v>34460.073984000031</v>
      </c>
      <c r="AF8" s="8">
        <f>'Projection - Scenario 3'!E8*Inputs!L8</f>
        <v>8043.8309683200059</v>
      </c>
      <c r="AG8" s="8">
        <f>'Projection - Scenario 3'!F8*Inputs!M8</f>
        <v>2907.8637772800021</v>
      </c>
      <c r="AI8" s="8">
        <f t="shared" si="4"/>
        <v>60390.306623760058</v>
      </c>
      <c r="AJ8" s="8">
        <f>'Projection - Scenario 3'!I8+'Projection - Scenario 3'!Z8+AE8</f>
        <v>44159.766203207997</v>
      </c>
      <c r="AK8" s="8">
        <f>'Projection - Scenario 3'!J8+'Projection - Scenario 3'!AA8+AF8</f>
        <v>11335.833260699899</v>
      </c>
      <c r="AL8" s="8">
        <f>'Projection - Scenario 3'!K8+'Projection - Scenario 3'!AB8+AG8</f>
        <v>4894.7071598521543</v>
      </c>
      <c r="AN8" s="8">
        <f>'Projection - Scenario 3'!C8-AI8</f>
        <v>2550.4677762399733</v>
      </c>
      <c r="AO8" s="8">
        <f>'Projection - Scenario 3'!D8-AJ8</f>
        <v>3045.8145967920282</v>
      </c>
      <c r="AP8" s="8">
        <f>'Projection - Scenario 3'!E8-AK8</f>
        <v>-6.4938686998939374</v>
      </c>
      <c r="AQ8" s="8">
        <f>'Projection - Scenario 3'!F8-AL8</f>
        <v>-488.85295185215273</v>
      </c>
    </row>
    <row r="9" spans="2:43" x14ac:dyDescent="0.35">
      <c r="B9" s="3">
        <v>6</v>
      </c>
      <c r="C9" s="8">
        <f>C8*(1+Inputs!$C$3)</f>
        <v>70493.66732800004</v>
      </c>
      <c r="D9" s="18">
        <f>$C9*'Other inputs '!I11</f>
        <v>52870.25049600003</v>
      </c>
      <c r="E9" s="18">
        <f>$C9*'Other inputs '!J11</f>
        <v>12688.860119040006</v>
      </c>
      <c r="F9" s="18">
        <f>$C9*'Other inputs '!K11</f>
        <v>4934.5567129600022</v>
      </c>
      <c r="G9" s="10"/>
      <c r="H9" s="8">
        <f t="shared" si="0"/>
        <v>3094.6719956992015</v>
      </c>
      <c r="I9" s="8">
        <f>Inputs!$C$17*$D9</f>
        <v>1586.1075148800007</v>
      </c>
      <c r="J9" s="8">
        <f>Inputs!$C$18*$E9</f>
        <v>1015.1088095232005</v>
      </c>
      <c r="K9" s="8">
        <f>Inputs!$C$19*$F9</f>
        <v>493.45567129600022</v>
      </c>
      <c r="L9" s="10"/>
      <c r="M9" s="8">
        <f>M8*(1+Inputs!$C$7)</f>
        <v>1276.2815625000003</v>
      </c>
      <c r="N9" s="6">
        <f>IF(B9&lt;=3,Inputs!$C$9,IF(B9&lt;=6,Inputs!$C$10,Inputs!$C$11))</f>
        <v>0.12</v>
      </c>
      <c r="O9" s="6">
        <f>Inputs!$C$22</f>
        <v>0.05</v>
      </c>
      <c r="P9" s="8">
        <f t="shared" si="5"/>
        <v>11983.923445760005</v>
      </c>
      <c r="Q9" s="8">
        <f>IF(B9=1,Inputs!$C$13,0)</f>
        <v>0</v>
      </c>
      <c r="R9" s="8">
        <f t="shared" si="6"/>
        <v>0</v>
      </c>
      <c r="S9" s="10"/>
      <c r="T9" s="8">
        <f t="shared" si="7"/>
        <v>259886.65354922682</v>
      </c>
      <c r="U9" s="8">
        <f>D9*10^5/Inputs!$C$25</f>
        <v>176234.16832000011</v>
      </c>
      <c r="V9" s="8">
        <f>E9*10^5/Inputs!$C$26</f>
        <v>50755.440476160024</v>
      </c>
      <c r="W9" s="8">
        <f>F9*10^5/Inputs!$C$27</f>
        <v>32897.044753066686</v>
      </c>
      <c r="Y9" s="8">
        <f t="shared" si="1"/>
        <v>13260.205008260005</v>
      </c>
      <c r="Z9" s="8">
        <f t="shared" si="8"/>
        <v>8992.0015878797512</v>
      </c>
      <c r="AA9" s="8">
        <f t="shared" si="2"/>
        <v>2589.6964573093678</v>
      </c>
      <c r="AB9" s="8">
        <f t="shared" si="2"/>
        <v>1678.5069630708867</v>
      </c>
      <c r="AD9" s="8">
        <f t="shared" si="3"/>
        <v>50684.946808832043</v>
      </c>
      <c r="AE9" s="8">
        <f>'Projection - Scenario 3'!D9*Inputs!K9</f>
        <v>38463.107235840034</v>
      </c>
      <c r="AF9" s="8">
        <f>'Projection - Scenario 3'!E9*Inputs!L9</f>
        <v>8977.3685342208064</v>
      </c>
      <c r="AG9" s="8">
        <f>'Projection - Scenario 3'!F9*Inputs!M9</f>
        <v>3244.471038771203</v>
      </c>
      <c r="AI9" s="8">
        <f t="shared" si="4"/>
        <v>67039.823812791248</v>
      </c>
      <c r="AJ9" s="8">
        <f>'Projection - Scenario 3'!I9+'Projection - Scenario 3'!Z9+AE9</f>
        <v>49041.216338599785</v>
      </c>
      <c r="AK9" s="8">
        <f>'Projection - Scenario 3'!J9+'Projection - Scenario 3'!AA9+AF9</f>
        <v>12582.173801053374</v>
      </c>
      <c r="AL9" s="8">
        <f>'Projection - Scenario 3'!K9+'Projection - Scenario 3'!AB9+AG9</f>
        <v>5416.4336731380899</v>
      </c>
      <c r="AN9" s="8">
        <f>'Projection - Scenario 3'!C9-AI9</f>
        <v>3453.8435152087914</v>
      </c>
      <c r="AO9" s="8">
        <f>'Projection - Scenario 3'!D9-AJ9</f>
        <v>3829.034157400245</v>
      </c>
      <c r="AP9" s="8">
        <f>'Projection - Scenario 3'!E9-AK9</f>
        <v>106.68631798663228</v>
      </c>
      <c r="AQ9" s="8">
        <f>'Projection - Scenario 3'!F9-AL9</f>
        <v>-481.87696017808776</v>
      </c>
    </row>
    <row r="10" spans="2:43" x14ac:dyDescent="0.35">
      <c r="B10" s="3">
        <v>7</v>
      </c>
      <c r="C10" s="8">
        <f>C9*(1+Inputs!$C$3)</f>
        <v>78952.90740736005</v>
      </c>
      <c r="D10" s="18">
        <f>$C10*'Other inputs '!I12</f>
        <v>59214.680555520041</v>
      </c>
      <c r="E10" s="18">
        <f>$C10*'Other inputs '!J12</f>
        <v>14211.523333324809</v>
      </c>
      <c r="F10" s="18">
        <f>$C10*'Other inputs '!K12</f>
        <v>5526.7035185152026</v>
      </c>
      <c r="G10" s="10"/>
      <c r="H10" s="8">
        <f t="shared" si="0"/>
        <v>3466.0326351831063</v>
      </c>
      <c r="I10" s="8">
        <f>Inputs!$C$17*$D10</f>
        <v>1776.4404166656011</v>
      </c>
      <c r="J10" s="8">
        <f>Inputs!$C$18*$E10</f>
        <v>1136.9218666659847</v>
      </c>
      <c r="K10" s="8">
        <f>Inputs!$C$19*$F10</f>
        <v>552.67035185152031</v>
      </c>
      <c r="L10" s="10"/>
      <c r="M10" s="8">
        <f>M9*(1+Inputs!$C$7)</f>
        <v>1340.0956406250004</v>
      </c>
      <c r="N10" s="6">
        <f>IF(B10&lt;=3,Inputs!$C$9,IF(B10&lt;=6,Inputs!$C$10,Inputs!$C$11))</f>
        <v>0.1</v>
      </c>
      <c r="O10" s="6">
        <f>Inputs!$C$22</f>
        <v>0.05</v>
      </c>
      <c r="P10" s="8">
        <f t="shared" si="5"/>
        <v>11842.936111104009</v>
      </c>
      <c r="Q10" s="8">
        <f>IF(B10=1,Inputs!$C$13,0)</f>
        <v>0</v>
      </c>
      <c r="R10" s="8">
        <f t="shared" si="6"/>
        <v>0</v>
      </c>
      <c r="S10" s="10"/>
      <c r="T10" s="8">
        <f t="shared" si="7"/>
        <v>291073.05197513406</v>
      </c>
      <c r="U10" s="8">
        <f>D10*10^5/Inputs!$C$25</f>
        <v>197382.26851840012</v>
      </c>
      <c r="V10" s="8">
        <f>E10*10^5/Inputs!$C$26</f>
        <v>56846.093333299235</v>
      </c>
      <c r="W10" s="8">
        <f>F10*10^5/Inputs!$C$27</f>
        <v>36844.690123434688</v>
      </c>
      <c r="Y10" s="8">
        <f t="shared" si="1"/>
        <v>13183.03175172901</v>
      </c>
      <c r="Z10" s="8">
        <f t="shared" si="8"/>
        <v>8939.6689094003214</v>
      </c>
      <c r="AA10" s="8">
        <f t="shared" si="2"/>
        <v>2574.6246459072931</v>
      </c>
      <c r="AB10" s="8">
        <f t="shared" si="2"/>
        <v>1668.7381964213935</v>
      </c>
      <c r="AD10" s="8">
        <f t="shared" si="3"/>
        <v>56569.758157373501</v>
      </c>
      <c r="AE10" s="8">
        <f>'Projection - Scenario 3'!D10*Inputs!K10</f>
        <v>42930.643402752044</v>
      </c>
      <c r="AF10" s="8">
        <f>'Projection - Scenario 3'!E10*Inputs!L10</f>
        <v>10019.123949993995</v>
      </c>
      <c r="AG10" s="8">
        <f>'Projection - Scenario 3'!F10*Inputs!M10</f>
        <v>3619.9908046274595</v>
      </c>
      <c r="AI10" s="8">
        <f t="shared" si="4"/>
        <v>73218.82254428562</v>
      </c>
      <c r="AJ10" s="8">
        <f>'Projection - Scenario 3'!I10+'Projection - Scenario 3'!Z10+AE10</f>
        <v>53646.75272881797</v>
      </c>
      <c r="AK10" s="8">
        <f>'Projection - Scenario 3'!J10+'Projection - Scenario 3'!AA10+AF10</f>
        <v>13730.670462567272</v>
      </c>
      <c r="AL10" s="8">
        <f>'Projection - Scenario 3'!K10+'Projection - Scenario 3'!AB10+AG10</f>
        <v>5841.3993529003728</v>
      </c>
      <c r="AN10" s="8">
        <f>'Projection - Scenario 3'!C10-AI10</f>
        <v>5734.0848630744294</v>
      </c>
      <c r="AO10" s="8">
        <f>'Projection - Scenario 3'!D10-AJ10</f>
        <v>5567.9278267020709</v>
      </c>
      <c r="AP10" s="8">
        <f>'Projection - Scenario 3'!E10-AK10</f>
        <v>480.85287075753695</v>
      </c>
      <c r="AQ10" s="8">
        <f>'Projection - Scenario 3'!F10-AL10</f>
        <v>-314.6958343851702</v>
      </c>
    </row>
    <row r="11" spans="2:43" x14ac:dyDescent="0.35">
      <c r="B11" s="3">
        <v>8</v>
      </c>
      <c r="C11" s="8">
        <f>C10*(1+Inputs!$C$3)</f>
        <v>88427.256296243257</v>
      </c>
      <c r="D11" s="18">
        <f>$C11*'Other inputs '!I13</f>
        <v>70741.805036994614</v>
      </c>
      <c r="E11" s="18">
        <f>$C11*'Other inputs '!J13</f>
        <v>15916.906133323786</v>
      </c>
      <c r="F11" s="18">
        <f>$C11*'Other inputs '!K13</f>
        <v>1768.5451259248655</v>
      </c>
      <c r="G11" s="10"/>
      <c r="H11" s="8">
        <f t="shared" si="0"/>
        <v>3572.4611543682277</v>
      </c>
      <c r="I11" s="8">
        <f>Inputs!$C$17*$D11</f>
        <v>2122.2541511098384</v>
      </c>
      <c r="J11" s="8">
        <f>Inputs!$C$18*$E11</f>
        <v>1273.3524906659029</v>
      </c>
      <c r="K11" s="8">
        <f>Inputs!$C$19*$F11</f>
        <v>176.85451259248657</v>
      </c>
      <c r="L11" s="10"/>
      <c r="M11" s="8">
        <f>M10*(1+Inputs!$C$7)</f>
        <v>1407.1004226562504</v>
      </c>
      <c r="N11" s="6">
        <f>IF(B11&lt;=3,Inputs!$C$9,IF(B11&lt;=6,Inputs!$C$10,Inputs!$C$11))</f>
        <v>0.1</v>
      </c>
      <c r="O11" s="6">
        <f>Inputs!$C$22</f>
        <v>0.05</v>
      </c>
      <c r="P11" s="8">
        <f t="shared" si="5"/>
        <v>13264.088444436491</v>
      </c>
      <c r="Q11" s="8">
        <f>IF(B11=1,Inputs!$C$13,0)</f>
        <v>0</v>
      </c>
      <c r="R11" s="8">
        <f t="shared" si="6"/>
        <v>0</v>
      </c>
      <c r="S11" s="10"/>
      <c r="T11" s="8">
        <f t="shared" si="7"/>
        <v>311263.94216277631</v>
      </c>
      <c r="U11" s="8">
        <f>D11*10^5/Inputs!$C$25</f>
        <v>235806.01678998204</v>
      </c>
      <c r="V11" s="8">
        <f>E11*10^5/Inputs!$C$26</f>
        <v>63667.624533295144</v>
      </c>
      <c r="W11" s="8">
        <f>F11*10^5/Inputs!$C$27</f>
        <v>11790.300839499105</v>
      </c>
      <c r="Y11" s="8">
        <f t="shared" si="1"/>
        <v>14671.188867092742</v>
      </c>
      <c r="Z11" s="8">
        <f t="shared" si="8"/>
        <v>11114.537020524804</v>
      </c>
      <c r="AA11" s="8">
        <f t="shared" si="2"/>
        <v>3000.9249955416967</v>
      </c>
      <c r="AB11" s="8">
        <f t="shared" si="2"/>
        <v>555.7268510262403</v>
      </c>
      <c r="AD11" s="8">
        <f t="shared" si="3"/>
        <v>63446.556392554572</v>
      </c>
      <c r="AE11" s="8">
        <f>'Projection - Scenario 3'!D11*Inputs!K11</f>
        <v>51110.954139228634</v>
      </c>
      <c r="AF11" s="8">
        <f>'Projection - Scenario 3'!E11*Inputs!L11</f>
        <v>11181.626558659966</v>
      </c>
      <c r="AG11" s="8">
        <f>'Projection - Scenario 3'!F11*Inputs!M11</f>
        <v>1153.9756946659754</v>
      </c>
      <c r="AI11" s="8">
        <f t="shared" si="4"/>
        <v>81690.206414015542</v>
      </c>
      <c r="AJ11" s="8">
        <f>'Projection - Scenario 3'!I11+'Projection - Scenario 3'!Z11+AE11</f>
        <v>64347.745310863276</v>
      </c>
      <c r="AK11" s="8">
        <f>'Projection - Scenario 3'!J11+'Projection - Scenario 3'!AA11+AF11</f>
        <v>15455.904044867566</v>
      </c>
      <c r="AL11" s="8">
        <f>'Projection - Scenario 3'!K11+'Projection - Scenario 3'!AB11+AG11</f>
        <v>1886.5570582847022</v>
      </c>
      <c r="AN11" s="8">
        <f>'Projection - Scenario 3'!C11-AI11</f>
        <v>6737.049882227715</v>
      </c>
      <c r="AO11" s="8">
        <f>'Projection - Scenario 3'!D11-AJ11</f>
        <v>6394.0597261313378</v>
      </c>
      <c r="AP11" s="8">
        <f>'Projection - Scenario 3'!E11-AK11</f>
        <v>461.00208845622001</v>
      </c>
      <c r="AQ11" s="8">
        <f>'Projection - Scenario 3'!F11-AL11</f>
        <v>-118.01193235983669</v>
      </c>
    </row>
    <row r="12" spans="2:43" x14ac:dyDescent="0.35">
      <c r="B12" s="3">
        <v>9</v>
      </c>
      <c r="C12" s="8">
        <f>C11*(1+Inputs!$C$3)</f>
        <v>99038.527051792451</v>
      </c>
      <c r="D12" s="18">
        <f>$C12*'Other inputs '!I14</f>
        <v>79230.821641433969</v>
      </c>
      <c r="E12" s="18">
        <f>$C12*'Other inputs '!J14</f>
        <v>17826.934869322642</v>
      </c>
      <c r="F12" s="18">
        <f>$C12*'Other inputs '!K14</f>
        <v>1980.7705410358494</v>
      </c>
      <c r="G12" s="10"/>
      <c r="H12" s="8">
        <f t="shared" si="0"/>
        <v>4001.1564928924149</v>
      </c>
      <c r="I12" s="8">
        <f>Inputs!$C$17*$D12</f>
        <v>2376.9246492430188</v>
      </c>
      <c r="J12" s="8">
        <f>Inputs!$C$18*$E12</f>
        <v>1426.1547895458114</v>
      </c>
      <c r="K12" s="8">
        <f>Inputs!$C$19*$F12</f>
        <v>198.07705410358494</v>
      </c>
      <c r="L12" s="10"/>
      <c r="M12" s="8">
        <f>M11*(1+Inputs!$C$7)</f>
        <v>1477.4554437890631</v>
      </c>
      <c r="N12" s="6">
        <f>IF(B12&lt;=3,Inputs!$C$9,IF(B12&lt;=6,Inputs!$C$10,Inputs!$C$11))</f>
        <v>0.1</v>
      </c>
      <c r="O12" s="6">
        <f>Inputs!$C$22</f>
        <v>0.05</v>
      </c>
      <c r="P12" s="8">
        <f t="shared" si="5"/>
        <v>14855.77905776887</v>
      </c>
      <c r="Q12" s="8">
        <f>IF(B12=1,Inputs!$C$13,0)</f>
        <v>0</v>
      </c>
      <c r="R12" s="8">
        <f t="shared" si="6"/>
        <v>0</v>
      </c>
      <c r="S12" s="10"/>
      <c r="T12" s="8">
        <f t="shared" si="7"/>
        <v>348615.61522230948</v>
      </c>
      <c r="U12" s="8">
        <f>D12*10^5/Inputs!$C$25</f>
        <v>264102.73880477989</v>
      </c>
      <c r="V12" s="8">
        <f>E12*10^5/Inputs!$C$26</f>
        <v>71307.739477290568</v>
      </c>
      <c r="W12" s="8">
        <f>F12*10^5/Inputs!$C$27</f>
        <v>13205.136940238996</v>
      </c>
      <c r="Y12" s="8">
        <f t="shared" si="1"/>
        <v>16333.234501557934</v>
      </c>
      <c r="Z12" s="8">
        <f t="shared" si="8"/>
        <v>12373.662501180252</v>
      </c>
      <c r="AA12" s="8">
        <f t="shared" si="2"/>
        <v>3340.8888753186679</v>
      </c>
      <c r="AB12" s="8">
        <f t="shared" si="2"/>
        <v>618.6831250590127</v>
      </c>
      <c r="AD12" s="8">
        <f t="shared" si="3"/>
        <v>70812.546842031661</v>
      </c>
      <c r="AE12" s="8">
        <f>'Projection - Scenario 3'!D12*Inputs!K12</f>
        <v>57046.191581832492</v>
      </c>
      <c r="AF12" s="8">
        <f>'Projection - Scenario 3'!E12*Inputs!L12</f>
        <v>12478.854408525856</v>
      </c>
      <c r="AG12" s="8">
        <f>'Projection - Scenario 3'!F12*Inputs!M12</f>
        <v>1287.500851673303</v>
      </c>
      <c r="AI12" s="8">
        <f t="shared" si="4"/>
        <v>91146.937836482</v>
      </c>
      <c r="AJ12" s="8">
        <f>'Projection - Scenario 3'!I12+'Projection - Scenario 3'!Z12+AE12</f>
        <v>71796.778732255771</v>
      </c>
      <c r="AK12" s="8">
        <f>'Projection - Scenario 3'!J12+'Projection - Scenario 3'!AA12+AF12</f>
        <v>17245.898073390337</v>
      </c>
      <c r="AL12" s="8">
        <f>'Projection - Scenario 3'!K12+'Projection - Scenario 3'!AB12+AG12</f>
        <v>2104.2610308359008</v>
      </c>
      <c r="AN12" s="8">
        <f>'Projection - Scenario 3'!C12-AI12</f>
        <v>7891.5892153104505</v>
      </c>
      <c r="AO12" s="8">
        <f>'Projection - Scenario 3'!D12-AJ12</f>
        <v>7434.0429091781989</v>
      </c>
      <c r="AP12" s="8">
        <f>'Projection - Scenario 3'!E12-AK12</f>
        <v>581.03679593230481</v>
      </c>
      <c r="AQ12" s="8">
        <f>'Projection - Scenario 3'!F12-AL12</f>
        <v>-123.49048980005136</v>
      </c>
    </row>
    <row r="13" spans="2:43" x14ac:dyDescent="0.35">
      <c r="B13" s="3">
        <v>10</v>
      </c>
      <c r="C13" s="8">
        <f>C12*(1+Inputs!$C$3)</f>
        <v>110923.15029800756</v>
      </c>
      <c r="D13" s="18">
        <f>$C13*'Other inputs '!I15</f>
        <v>88738.520238406054</v>
      </c>
      <c r="E13" s="18">
        <f>$C13*'Other inputs '!J15</f>
        <v>19966.167053641359</v>
      </c>
      <c r="F13" s="18">
        <f>$C13*'Other inputs '!K15</f>
        <v>2218.4630059601518</v>
      </c>
      <c r="G13" s="10"/>
      <c r="H13" s="8">
        <f t="shared" si="0"/>
        <v>4481.2952720395051</v>
      </c>
      <c r="I13" s="8">
        <f>Inputs!$C$17*$D13</f>
        <v>2662.1556071521813</v>
      </c>
      <c r="J13" s="8">
        <f>Inputs!$C$18*$E13</f>
        <v>1597.2933642913088</v>
      </c>
      <c r="K13" s="8">
        <f>Inputs!$C$19*$F13</f>
        <v>221.8463005960152</v>
      </c>
      <c r="L13" s="10"/>
      <c r="M13" s="8">
        <f>M12*(1+Inputs!$C$7)</f>
        <v>1551.3282159785163</v>
      </c>
      <c r="N13" s="6">
        <f>IF(B13&lt;=3,Inputs!$C$9,IF(B13&lt;=6,Inputs!$C$10,Inputs!$C$11))</f>
        <v>0.1</v>
      </c>
      <c r="O13" s="6">
        <f>Inputs!$C$22</f>
        <v>0.05</v>
      </c>
      <c r="P13" s="8">
        <f t="shared" si="5"/>
        <v>16638.472544701137</v>
      </c>
      <c r="Q13" s="8">
        <f>IF(B13=1,Inputs!$C$13,0)</f>
        <v>0</v>
      </c>
      <c r="R13" s="8">
        <f t="shared" si="6"/>
        <v>0</v>
      </c>
      <c r="S13" s="10"/>
      <c r="T13" s="8">
        <f t="shared" si="7"/>
        <v>390449.48904898658</v>
      </c>
      <c r="U13" s="8">
        <f>D13*10^5/Inputs!$C$25</f>
        <v>295795.06746135349</v>
      </c>
      <c r="V13" s="8">
        <f>E13*10^5/Inputs!$C$26</f>
        <v>79864.668214565434</v>
      </c>
      <c r="W13" s="8">
        <f>F13*10^5/Inputs!$C$27</f>
        <v>14789.753373067679</v>
      </c>
      <c r="Y13" s="8">
        <f t="shared" si="1"/>
        <v>18189.800760679653</v>
      </c>
      <c r="Z13" s="8">
        <f t="shared" si="8"/>
        <v>13780.152091423981</v>
      </c>
      <c r="AA13" s="8">
        <f t="shared" si="2"/>
        <v>3720.6410646844743</v>
      </c>
      <c r="AB13" s="8">
        <f t="shared" si="2"/>
        <v>689.00760457119918</v>
      </c>
      <c r="AD13" s="8">
        <f t="shared" si="3"/>
        <v>79032.744587330439</v>
      </c>
      <c r="AE13" s="8">
        <f>'Projection - Scenario 3'!D13*Inputs!K13</f>
        <v>63669.888271056385</v>
      </c>
      <c r="AF13" s="8">
        <f>'Projection - Scenario 3'!E13*Inputs!L13</f>
        <v>13926.401519914856</v>
      </c>
      <c r="AG13" s="8">
        <f>'Projection - Scenario 3'!F13*Inputs!M13</f>
        <v>1436.4547963591995</v>
      </c>
      <c r="AI13" s="8">
        <f t="shared" si="4"/>
        <v>101703.84062004961</v>
      </c>
      <c r="AJ13" s="8">
        <f>'Projection - Scenario 3'!I13+'Projection - Scenario 3'!Z13+AE13</f>
        <v>80112.19596963255</v>
      </c>
      <c r="AK13" s="8">
        <f>'Projection - Scenario 3'!J13+'Projection - Scenario 3'!AA13+AF13</f>
        <v>19244.335948890639</v>
      </c>
      <c r="AL13" s="8">
        <f>'Projection - Scenario 3'!K13+'Projection - Scenario 3'!AB13+AG13</f>
        <v>2347.3087015264136</v>
      </c>
      <c r="AN13" s="8">
        <f>'Projection - Scenario 3'!C13-AI13</f>
        <v>9219.30967795795</v>
      </c>
      <c r="AO13" s="8">
        <f>'Projection - Scenario 3'!D13-AJ13</f>
        <v>8626.3242687735037</v>
      </c>
      <c r="AP13" s="8">
        <f>'Projection - Scenario 3'!E13-AK13</f>
        <v>721.83110475071953</v>
      </c>
      <c r="AQ13" s="8">
        <f>'Projection - Scenario 3'!F13-AL13</f>
        <v>-128.84569556626184</v>
      </c>
    </row>
    <row r="14" spans="2:43" x14ac:dyDescent="0.35">
      <c r="Q14" s="28" t="s">
        <v>75</v>
      </c>
      <c r="R14" s="28" t="b">
        <f>SUM(Q4:Q13)=SUM(R4:R13)</f>
        <v>1</v>
      </c>
    </row>
    <row r="16" spans="2:43" x14ac:dyDescent="0.35">
      <c r="C16" s="12" t="s">
        <v>22</v>
      </c>
      <c r="D16" s="12" t="s">
        <v>17</v>
      </c>
      <c r="E16" s="12" t="s">
        <v>18</v>
      </c>
      <c r="F16" s="12" t="s">
        <v>19</v>
      </c>
    </row>
    <row r="17" spans="2:13" x14ac:dyDescent="0.35">
      <c r="B17" s="3" t="s">
        <v>36</v>
      </c>
      <c r="C17" s="8">
        <f>NPV(Inputs!$C$29,AN4:AN13)</f>
        <v>19925.561865234609</v>
      </c>
      <c r="D17" s="8">
        <f>NPV(Inputs!$C$29,AO4:AO13)</f>
        <v>22508.760013402607</v>
      </c>
      <c r="E17" s="8">
        <f>NPV(Inputs!$C$29,AP4:AP13)</f>
        <v>429.05283469278146</v>
      </c>
      <c r="F17" s="8">
        <f>NPV(Inputs!$C$29,AQ4:AQ13)</f>
        <v>-3012.2509828607513</v>
      </c>
      <c r="M17" s="13"/>
    </row>
    <row r="18" spans="2:13" x14ac:dyDescent="0.35">
      <c r="B18" s="3" t="s">
        <v>37</v>
      </c>
      <c r="C18" s="8">
        <f>NPV(Inputs!$C$29,C4:C13)</f>
        <v>415925.13037627732</v>
      </c>
      <c r="D18" s="8">
        <f>NPV(Inputs!$C$29,D4:D13)</f>
        <v>313128.06253003667</v>
      </c>
      <c r="E18" s="8">
        <f>NPV(Inputs!$C$29,E4:E13)</f>
        <v>77129.515261736073</v>
      </c>
      <c r="F18" s="8">
        <f>NPV(Inputs!$C$29,F4:F13)</f>
        <v>25667.552584504596</v>
      </c>
      <c r="M18" s="13"/>
    </row>
    <row r="19" spans="2:13" x14ac:dyDescent="0.35">
      <c r="B19" s="3" t="s">
        <v>44</v>
      </c>
      <c r="C19" s="6">
        <f>C17/C18</f>
        <v>4.7906607247339056E-2</v>
      </c>
      <c r="D19" s="6">
        <f>D17/D18</f>
        <v>7.1883560456174264E-2</v>
      </c>
      <c r="E19" s="6">
        <f>E17/E18</f>
        <v>5.5627580860168379E-3</v>
      </c>
      <c r="F19" s="6">
        <f>F17/F18</f>
        <v>-0.1173563771981609</v>
      </c>
      <c r="M19" s="13"/>
    </row>
    <row r="20" spans="2:13" x14ac:dyDescent="0.35">
      <c r="M20" s="13"/>
    </row>
    <row r="21" spans="2:13" x14ac:dyDescent="0.35">
      <c r="M21" s="13"/>
    </row>
    <row r="22" spans="2:13" x14ac:dyDescent="0.35">
      <c r="M22" s="13"/>
    </row>
    <row r="23" spans="2:13" x14ac:dyDescent="0.35">
      <c r="M23" s="13"/>
    </row>
    <row r="24" spans="2:13" x14ac:dyDescent="0.35">
      <c r="M24" s="13"/>
    </row>
    <row r="25" spans="2:13" x14ac:dyDescent="0.35">
      <c r="M25" s="13"/>
    </row>
    <row r="26" spans="2:13" x14ac:dyDescent="0.35">
      <c r="M26" s="13"/>
    </row>
    <row r="27" spans="2:13" x14ac:dyDescent="0.35">
      <c r="M27" s="13"/>
    </row>
    <row r="28" spans="2:13" x14ac:dyDescent="0.35">
      <c r="M28" s="13"/>
    </row>
    <row r="29" spans="2:13" x14ac:dyDescent="0.35">
      <c r="M29" s="13"/>
    </row>
    <row r="30" spans="2:13" x14ac:dyDescent="0.35">
      <c r="M30" s="13"/>
    </row>
    <row r="31" spans="2:13" x14ac:dyDescent="0.35">
      <c r="M31" s="13"/>
    </row>
  </sheetData>
  <mergeCells count="8">
    <mergeCell ref="AI2:AL2"/>
    <mergeCell ref="AN2:AQ2"/>
    <mergeCell ref="C2:F2"/>
    <mergeCell ref="H2:K2"/>
    <mergeCell ref="M2:R2"/>
    <mergeCell ref="T2:W2"/>
    <mergeCell ref="Y2:AB2"/>
    <mergeCell ref="AD2:AG2"/>
  </mergeCell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6E02A-D870-4D22-BB55-EB4828DB7D1B}">
  <sheetPr codeName="Sheet8"/>
  <dimension ref="B2:AT31"/>
  <sheetViews>
    <sheetView showGridLines="0" zoomScale="70" zoomScaleNormal="70" workbookViewId="0"/>
  </sheetViews>
  <sheetFormatPr defaultColWidth="8.81640625" defaultRowHeight="14.5" x14ac:dyDescent="0.35"/>
  <cols>
    <col min="2" max="2" width="20.6328125" bestFit="1" customWidth="1"/>
    <col min="3" max="3" width="11.1796875" bestFit="1" customWidth="1"/>
    <col min="4" max="6" width="9.6328125" bestFit="1" customWidth="1"/>
    <col min="7" max="7" width="2" customWidth="1"/>
    <col min="12" max="12" width="2" customWidth="1"/>
    <col min="13" max="13" width="15" bestFit="1" customWidth="1"/>
    <col min="14" max="14" width="13.453125" bestFit="1" customWidth="1"/>
    <col min="15" max="15" width="13.453125" customWidth="1"/>
    <col min="16" max="16" width="19.1796875" bestFit="1" customWidth="1"/>
    <col min="17" max="17" width="15.36328125" bestFit="1" customWidth="1"/>
    <col min="18" max="18" width="19" bestFit="1" customWidth="1"/>
    <col min="19" max="19" width="3.81640625" customWidth="1"/>
    <col min="20" max="23" width="8.6328125" bestFit="1" customWidth="1"/>
    <col min="24" max="24" width="1.6328125" customWidth="1"/>
    <col min="29" max="29" width="2.453125" customWidth="1"/>
    <col min="34" max="34" width="2.453125" customWidth="1"/>
    <col min="39" max="39" width="1.6328125" customWidth="1"/>
    <col min="44" max="44" width="2" customWidth="1"/>
  </cols>
  <sheetData>
    <row r="2" spans="2:46" ht="14.5" customHeight="1" x14ac:dyDescent="0.35">
      <c r="B2" s="3"/>
      <c r="C2" s="35" t="s">
        <v>32</v>
      </c>
      <c r="D2" s="35"/>
      <c r="E2" s="35"/>
      <c r="F2" s="35"/>
      <c r="G2" s="9"/>
      <c r="H2" s="35" t="s">
        <v>31</v>
      </c>
      <c r="I2" s="35"/>
      <c r="J2" s="35"/>
      <c r="K2" s="35"/>
      <c r="L2" s="9"/>
      <c r="M2" s="35" t="s">
        <v>30</v>
      </c>
      <c r="N2" s="35"/>
      <c r="O2" s="35"/>
      <c r="P2" s="35"/>
      <c r="Q2" s="35"/>
      <c r="R2" s="35"/>
      <c r="S2" s="9"/>
      <c r="T2" s="35" t="s">
        <v>29</v>
      </c>
      <c r="U2" s="35"/>
      <c r="V2" s="35"/>
      <c r="W2" s="35"/>
      <c r="Y2" s="35" t="s">
        <v>86</v>
      </c>
      <c r="Z2" s="35"/>
      <c r="AA2" s="35"/>
      <c r="AB2" s="35"/>
      <c r="AD2" s="35" t="s">
        <v>33</v>
      </c>
      <c r="AE2" s="35"/>
      <c r="AF2" s="35"/>
      <c r="AG2" s="35"/>
      <c r="AI2" s="35" t="s">
        <v>34</v>
      </c>
      <c r="AJ2" s="35"/>
      <c r="AK2" s="35"/>
      <c r="AL2" s="35"/>
      <c r="AN2" s="35" t="s">
        <v>35</v>
      </c>
      <c r="AO2" s="35"/>
      <c r="AP2" s="35"/>
      <c r="AQ2" s="35"/>
    </row>
    <row r="3" spans="2:46" x14ac:dyDescent="0.35">
      <c r="B3" s="3" t="s">
        <v>20</v>
      </c>
      <c r="C3" s="3" t="s">
        <v>22</v>
      </c>
      <c r="D3" s="3" t="s">
        <v>17</v>
      </c>
      <c r="E3" s="3" t="s">
        <v>18</v>
      </c>
      <c r="F3" s="3" t="s">
        <v>19</v>
      </c>
      <c r="H3" s="3" t="s">
        <v>22</v>
      </c>
      <c r="I3" s="3" t="s">
        <v>17</v>
      </c>
      <c r="J3" s="3" t="s">
        <v>18</v>
      </c>
      <c r="K3" s="3" t="s">
        <v>19</v>
      </c>
      <c r="M3" s="3" t="s">
        <v>23</v>
      </c>
      <c r="N3" s="3" t="s">
        <v>42</v>
      </c>
      <c r="O3" s="3" t="s">
        <v>43</v>
      </c>
      <c r="P3" s="3" t="s">
        <v>24</v>
      </c>
      <c r="Q3" s="3" t="s">
        <v>25</v>
      </c>
      <c r="R3" s="3" t="s">
        <v>26</v>
      </c>
      <c r="T3" s="3" t="s">
        <v>22</v>
      </c>
      <c r="U3" s="3" t="s">
        <v>17</v>
      </c>
      <c r="V3" s="3" t="s">
        <v>18</v>
      </c>
      <c r="W3" s="3" t="s">
        <v>19</v>
      </c>
      <c r="Y3" s="3" t="s">
        <v>22</v>
      </c>
      <c r="Z3" s="3" t="s">
        <v>17</v>
      </c>
      <c r="AA3" s="3" t="s">
        <v>18</v>
      </c>
      <c r="AB3" s="3" t="s">
        <v>19</v>
      </c>
      <c r="AD3" s="3" t="s">
        <v>22</v>
      </c>
      <c r="AE3" s="3" t="s">
        <v>17</v>
      </c>
      <c r="AF3" s="3" t="s">
        <v>18</v>
      </c>
      <c r="AG3" s="3" t="s">
        <v>19</v>
      </c>
      <c r="AI3" s="3" t="s">
        <v>22</v>
      </c>
      <c r="AJ3" s="3" t="s">
        <v>17</v>
      </c>
      <c r="AK3" s="3" t="s">
        <v>18</v>
      </c>
      <c r="AL3" s="3" t="s">
        <v>19</v>
      </c>
      <c r="AN3" s="3" t="s">
        <v>22</v>
      </c>
      <c r="AO3" s="3" t="s">
        <v>17</v>
      </c>
      <c r="AP3" s="3" t="s">
        <v>18</v>
      </c>
      <c r="AQ3" s="3" t="s">
        <v>19</v>
      </c>
      <c r="AS3" s="20" t="s">
        <v>53</v>
      </c>
      <c r="AT3" s="20" t="s">
        <v>54</v>
      </c>
    </row>
    <row r="4" spans="2:46" x14ac:dyDescent="0.35">
      <c r="B4" s="3">
        <v>1</v>
      </c>
      <c r="C4" s="8">
        <f>Inputs!$C$2</f>
        <v>40000</v>
      </c>
      <c r="D4" s="8">
        <f>$C4*Inputs!H4</f>
        <v>24000</v>
      </c>
      <c r="E4" s="8">
        <f>$C4*Inputs!I4</f>
        <v>10000</v>
      </c>
      <c r="F4" s="8">
        <f>$C4*Inputs!J4</f>
        <v>6000</v>
      </c>
      <c r="G4" s="10"/>
      <c r="H4" s="8">
        <f t="shared" ref="H4:H13" si="0">SUM(I4:K4)</f>
        <v>2120</v>
      </c>
      <c r="I4" s="8">
        <f>Inputs!$C$17*$D4</f>
        <v>720</v>
      </c>
      <c r="J4" s="8">
        <f>Inputs!$C$18*$E4</f>
        <v>800</v>
      </c>
      <c r="K4" s="8">
        <f>Inputs!$C$19*$F4</f>
        <v>600</v>
      </c>
      <c r="L4" s="10"/>
      <c r="M4" s="8">
        <f>Inputs!$C$6</f>
        <v>1000</v>
      </c>
      <c r="N4" s="6">
        <f>IF(B4&lt;=3,Inputs!$C$9,IF(B4&lt;=6,Inputs!$C$10,Inputs!$C$11))</f>
        <v>0.14000000000000001</v>
      </c>
      <c r="O4" s="6">
        <f>Inputs!$C$22</f>
        <v>0.05</v>
      </c>
      <c r="P4" s="8">
        <f>(N4+O4)*C4</f>
        <v>7600</v>
      </c>
      <c r="Q4" s="8">
        <f>IF(B4=1,Inputs!$C$13,0)</f>
        <v>1500</v>
      </c>
      <c r="R4" s="8">
        <f>IF(B4&lt;=5,$Q$4/5,0)</f>
        <v>300</v>
      </c>
      <c r="S4" s="10"/>
      <c r="T4" s="8">
        <f>SUM(U4:W4)</f>
        <v>160000</v>
      </c>
      <c r="U4" s="8">
        <f>D4*10^5/Inputs!$C$25</f>
        <v>80000</v>
      </c>
      <c r="V4" s="8">
        <f>E4*10^5/Inputs!$C$26</f>
        <v>40000</v>
      </c>
      <c r="W4" s="8">
        <f>F4*10^5/Inputs!$C$27</f>
        <v>40000</v>
      </c>
      <c r="Y4" s="8">
        <f t="shared" ref="Y4:Y13" si="1">M4+P4+R4</f>
        <v>8900</v>
      </c>
      <c r="Z4" s="8">
        <f>$Y4*U4/$T4</f>
        <v>4450</v>
      </c>
      <c r="AA4" s="8">
        <f t="shared" ref="AA4:AB13" si="2">$Y4*V4/$T4</f>
        <v>2225</v>
      </c>
      <c r="AB4" s="8">
        <f t="shared" si="2"/>
        <v>2225</v>
      </c>
      <c r="AD4" s="8">
        <f t="shared" ref="AD4:AD13" si="3">SUM(AE4:AG4)</f>
        <v>28980</v>
      </c>
      <c r="AE4" s="8">
        <f>'Projection - Scenario 4'!D4*Inputs!K4</f>
        <v>17760</v>
      </c>
      <c r="AF4" s="8">
        <f>'Projection - Scenario 4'!E4*Inputs!L4</f>
        <v>7200</v>
      </c>
      <c r="AG4" s="8">
        <f>'Projection - Scenario 4'!F4*Inputs!M4</f>
        <v>4020.0000000000005</v>
      </c>
      <c r="AI4" s="8">
        <f t="shared" ref="AI4:AI13" si="4">SUM(AJ4:AL4)</f>
        <v>40000</v>
      </c>
      <c r="AJ4" s="8">
        <f>'Projection - Scenario 4'!I4+'Projection - Scenario 4'!Z4+AE4</f>
        <v>22930</v>
      </c>
      <c r="AK4" s="8">
        <f>'Projection - Scenario 4'!J4+'Projection - Scenario 4'!AA4+AF4</f>
        <v>10225</v>
      </c>
      <c r="AL4" s="8">
        <f>'Projection - Scenario 4'!K4+'Projection - Scenario 4'!AB4+AG4</f>
        <v>6845</v>
      </c>
      <c r="AN4" s="8">
        <f>'Projection - Scenario 4'!C4-AI4</f>
        <v>0</v>
      </c>
      <c r="AO4" s="8">
        <f>'Projection - Scenario 4'!D4-AJ4</f>
        <v>1070</v>
      </c>
      <c r="AP4" s="8">
        <f>'Projection - Scenario 4'!E4-AK4</f>
        <v>-225</v>
      </c>
      <c r="AQ4" s="8">
        <f>'Projection - Scenario 4'!F4-AL4</f>
        <v>-845</v>
      </c>
      <c r="AS4" s="29">
        <f>VLOOKUP(B4,'Other inputs '!$M$5:$N$14,2,0)</f>
        <v>7.6700000000000004E-2</v>
      </c>
      <c r="AT4" s="20">
        <f>1/(1+$AS$4)</f>
        <v>0.92876381536175356</v>
      </c>
    </row>
    <row r="5" spans="2:46" x14ac:dyDescent="0.35">
      <c r="B5" s="3">
        <v>2</v>
      </c>
      <c r="C5" s="8">
        <f>C4*(1+Inputs!$C$3)</f>
        <v>44800.000000000007</v>
      </c>
      <c r="D5" s="8">
        <f>$C5*Inputs!H5</f>
        <v>26880.000000000004</v>
      </c>
      <c r="E5" s="8">
        <f>$C5*Inputs!I5</f>
        <v>11200.000000000002</v>
      </c>
      <c r="F5" s="8">
        <f>$C5*Inputs!J5</f>
        <v>6720.0000000000009</v>
      </c>
      <c r="G5" s="10"/>
      <c r="H5" s="8">
        <f t="shared" si="0"/>
        <v>2374.4</v>
      </c>
      <c r="I5" s="8">
        <f>Inputs!$C$17*$D5</f>
        <v>806.40000000000009</v>
      </c>
      <c r="J5" s="8">
        <f>Inputs!$C$18*$E5</f>
        <v>896.00000000000011</v>
      </c>
      <c r="K5" s="8">
        <f>Inputs!$C$19*$F5</f>
        <v>672.00000000000011</v>
      </c>
      <c r="L5" s="10"/>
      <c r="M5" s="8">
        <f>M4*(1+Inputs!$C$7)</f>
        <v>1050</v>
      </c>
      <c r="N5" s="6">
        <f>IF(B5&lt;=3,Inputs!$C$9,IF(B5&lt;=6,Inputs!$C$10,Inputs!$C$11))</f>
        <v>0.14000000000000001</v>
      </c>
      <c r="O5" s="6">
        <f>Inputs!$C$22</f>
        <v>0.05</v>
      </c>
      <c r="P5" s="8">
        <f t="shared" ref="P5:P13" si="5">(N5+O5)*C5</f>
        <v>8512.0000000000018</v>
      </c>
      <c r="Q5" s="8">
        <f>IF(B5=1,Inputs!$C$13,0)</f>
        <v>0</v>
      </c>
      <c r="R5" s="8">
        <f t="shared" ref="R5:R13" si="6">IF(B5&lt;=5,$Q$4/5,0)</f>
        <v>300</v>
      </c>
      <c r="S5" s="10"/>
      <c r="T5" s="8">
        <f t="shared" ref="T5:T13" si="7">SUM(U5:W5)</f>
        <v>179200.00000000003</v>
      </c>
      <c r="U5" s="8">
        <f>D5*10^5/Inputs!$C$25</f>
        <v>89600.000000000015</v>
      </c>
      <c r="V5" s="8">
        <f>E5*10^5/Inputs!$C$26</f>
        <v>44800.000000000007</v>
      </c>
      <c r="W5" s="8">
        <f>F5*10^5/Inputs!$C$27</f>
        <v>44800.000000000007</v>
      </c>
      <c r="Y5" s="8">
        <f t="shared" si="1"/>
        <v>9862.0000000000018</v>
      </c>
      <c r="Z5" s="8">
        <f t="shared" ref="Z5:Z13" si="8">$Y5*U5/$T5</f>
        <v>4931.0000000000009</v>
      </c>
      <c r="AA5" s="8">
        <f t="shared" si="2"/>
        <v>2465.5000000000005</v>
      </c>
      <c r="AB5" s="8">
        <f t="shared" si="2"/>
        <v>2465.5000000000005</v>
      </c>
      <c r="AD5" s="8">
        <f t="shared" si="3"/>
        <v>32345.600000000009</v>
      </c>
      <c r="AE5" s="8">
        <f>'Projection - Scenario 4'!D5*Inputs!K5</f>
        <v>19824.000000000004</v>
      </c>
      <c r="AF5" s="8">
        <f>'Projection - Scenario 4'!E5*Inputs!L5</f>
        <v>8036.0000000000018</v>
      </c>
      <c r="AG5" s="8">
        <f>'Projection - Scenario 4'!F5*Inputs!M5</f>
        <v>4485.6000000000013</v>
      </c>
      <c r="AI5" s="8">
        <f t="shared" si="4"/>
        <v>44582.000000000015</v>
      </c>
      <c r="AJ5" s="8">
        <f>'Projection - Scenario 4'!I5+'Projection - Scenario 4'!Z5+AE5</f>
        <v>25561.400000000005</v>
      </c>
      <c r="AK5" s="8">
        <f>'Projection - Scenario 4'!J5+'Projection - Scenario 4'!AA5+AF5</f>
        <v>11397.500000000002</v>
      </c>
      <c r="AL5" s="8">
        <f>'Projection - Scenario 4'!K5+'Projection - Scenario 4'!AB5+AG5</f>
        <v>7623.1000000000022</v>
      </c>
      <c r="AN5" s="8">
        <f>'Projection - Scenario 4'!C5-AI5</f>
        <v>217.99999999999272</v>
      </c>
      <c r="AO5" s="8">
        <f>'Projection - Scenario 4'!D5-AJ5</f>
        <v>1318.5999999999985</v>
      </c>
      <c r="AP5" s="8">
        <f>'Projection - Scenario 4'!E5-AK5</f>
        <v>-197.5</v>
      </c>
      <c r="AQ5" s="8">
        <f>'Projection - Scenario 4'!F5-AL5</f>
        <v>-903.10000000000127</v>
      </c>
      <c r="AS5" s="29">
        <f>VLOOKUP(B5,'Other inputs '!$M$5:$N$14,2,0)</f>
        <v>7.9100000000000004E-2</v>
      </c>
      <c r="AT5" s="20">
        <f>AT4/(1+AS5)</f>
        <v>0.86068373214878469</v>
      </c>
    </row>
    <row r="6" spans="2:46" x14ac:dyDescent="0.35">
      <c r="B6" s="3">
        <v>3</v>
      </c>
      <c r="C6" s="8">
        <f>C5*(1+Inputs!$C$3)</f>
        <v>50176.000000000015</v>
      </c>
      <c r="D6" s="8">
        <f>$C6*Inputs!H6</f>
        <v>30105.600000000006</v>
      </c>
      <c r="E6" s="8">
        <f>$C6*Inputs!I6</f>
        <v>12544.000000000004</v>
      </c>
      <c r="F6" s="8">
        <f>$C6*Inputs!J6</f>
        <v>7526.4000000000015</v>
      </c>
      <c r="G6" s="10"/>
      <c r="H6" s="8">
        <f t="shared" si="0"/>
        <v>2659.3280000000009</v>
      </c>
      <c r="I6" s="8">
        <f>Inputs!$C$17*$D6</f>
        <v>903.16800000000012</v>
      </c>
      <c r="J6" s="8">
        <f>Inputs!$C$18*$E6</f>
        <v>1003.5200000000003</v>
      </c>
      <c r="K6" s="8">
        <f>Inputs!$C$19*$F6</f>
        <v>752.64000000000021</v>
      </c>
      <c r="L6" s="10"/>
      <c r="M6" s="8">
        <f>M5*(1+Inputs!$C$7)</f>
        <v>1102.5</v>
      </c>
      <c r="N6" s="6">
        <f>IF(B6&lt;=3,Inputs!$C$9,IF(B6&lt;=6,Inputs!$C$10,Inputs!$C$11))</f>
        <v>0.14000000000000001</v>
      </c>
      <c r="O6" s="6">
        <f>Inputs!$C$22</f>
        <v>0.05</v>
      </c>
      <c r="P6" s="8">
        <f t="shared" si="5"/>
        <v>9533.4400000000023</v>
      </c>
      <c r="Q6" s="8">
        <f>IF(B6=1,Inputs!$C$13,0)</f>
        <v>0</v>
      </c>
      <c r="R6" s="8">
        <f t="shared" si="6"/>
        <v>300</v>
      </c>
      <c r="S6" s="10"/>
      <c r="T6" s="8">
        <f t="shared" si="7"/>
        <v>200704.00000000003</v>
      </c>
      <c r="U6" s="8">
        <f>D6*10^5/Inputs!$C$25</f>
        <v>100352.00000000001</v>
      </c>
      <c r="V6" s="8">
        <f>E6*10^5/Inputs!$C$26</f>
        <v>50176.000000000022</v>
      </c>
      <c r="W6" s="8">
        <f>F6*10^5/Inputs!$C$27</f>
        <v>50176.000000000007</v>
      </c>
      <c r="Y6" s="8">
        <f t="shared" si="1"/>
        <v>10935.940000000002</v>
      </c>
      <c r="Z6" s="8">
        <f t="shared" si="8"/>
        <v>5467.9700000000012</v>
      </c>
      <c r="AA6" s="8">
        <f t="shared" si="2"/>
        <v>2733.9850000000015</v>
      </c>
      <c r="AB6" s="8">
        <f t="shared" si="2"/>
        <v>2733.9850000000006</v>
      </c>
      <c r="AD6" s="8">
        <f t="shared" si="3"/>
        <v>36101.632000000012</v>
      </c>
      <c r="AE6" s="8">
        <f>'Projection - Scenario 4'!D6*Inputs!K6</f>
        <v>22127.616000000005</v>
      </c>
      <c r="AF6" s="8">
        <f>'Projection - Scenario 4'!E6*Inputs!L6</f>
        <v>8968.9600000000028</v>
      </c>
      <c r="AG6" s="8">
        <f>'Projection - Scenario 4'!F6*Inputs!M6</f>
        <v>5005.0560000000023</v>
      </c>
      <c r="AI6" s="8">
        <f t="shared" si="4"/>
        <v>49696.900000000016</v>
      </c>
      <c r="AJ6" s="8">
        <f>'Projection - Scenario 4'!I6+'Projection - Scenario 4'!Z6+AE6</f>
        <v>28498.754000000008</v>
      </c>
      <c r="AK6" s="8">
        <f>'Projection - Scenario 4'!J6+'Projection - Scenario 4'!AA6+AF6</f>
        <v>12706.465000000004</v>
      </c>
      <c r="AL6" s="8">
        <f>'Projection - Scenario 4'!K6+'Projection - Scenario 4'!AB6+AG6</f>
        <v>8491.6810000000041</v>
      </c>
      <c r="AN6" s="8">
        <f>'Projection - Scenario 4'!C6-AI6</f>
        <v>479.09999999999854</v>
      </c>
      <c r="AO6" s="8">
        <f>'Projection - Scenario 4'!D6-AJ6</f>
        <v>1606.8459999999977</v>
      </c>
      <c r="AP6" s="8">
        <f>'Projection - Scenario 4'!E6-AK6</f>
        <v>-162.46500000000015</v>
      </c>
      <c r="AQ6" s="8">
        <f>'Projection - Scenario 4'!F6-AL6</f>
        <v>-965.28100000000268</v>
      </c>
      <c r="AS6" s="29">
        <f>VLOOKUP(B6,'Other inputs '!$M$5:$N$14,2,0)</f>
        <v>8.0199999999999994E-2</v>
      </c>
      <c r="AT6" s="20">
        <f t="shared" ref="AT6:AT13" si="9">AT5/(1+AS6)</f>
        <v>0.79678182942861009</v>
      </c>
    </row>
    <row r="7" spans="2:46" x14ac:dyDescent="0.35">
      <c r="B7" s="3">
        <v>4</v>
      </c>
      <c r="C7" s="8">
        <f>C6*(1+Inputs!$C$3)</f>
        <v>56197.120000000024</v>
      </c>
      <c r="D7" s="8">
        <f>$C7*Inputs!H7</f>
        <v>34842.214400000012</v>
      </c>
      <c r="E7" s="8">
        <f>$C7*Inputs!I7</f>
        <v>12925.337600000006</v>
      </c>
      <c r="F7" s="8">
        <f>$C7*Inputs!J7</f>
        <v>8429.5680000000029</v>
      </c>
      <c r="G7" s="10"/>
      <c r="H7" s="8">
        <f t="shared" si="0"/>
        <v>2922.2502400000012</v>
      </c>
      <c r="I7" s="8">
        <f>Inputs!$C$17*$D7</f>
        <v>1045.2664320000003</v>
      </c>
      <c r="J7" s="8">
        <f>Inputs!$C$18*$E7</f>
        <v>1034.0270080000005</v>
      </c>
      <c r="K7" s="8">
        <f>Inputs!$C$19*$F7</f>
        <v>842.95680000000038</v>
      </c>
      <c r="L7" s="10"/>
      <c r="M7" s="8">
        <f>M6*(1+Inputs!$C$7)</f>
        <v>1157.625</v>
      </c>
      <c r="N7" s="6">
        <f>IF(B7&lt;=3,Inputs!$C$9,IF(B7&lt;=6,Inputs!$C$10,Inputs!$C$11))</f>
        <v>0.12</v>
      </c>
      <c r="O7" s="6">
        <f>Inputs!$C$22</f>
        <v>0.05</v>
      </c>
      <c r="P7" s="8">
        <f t="shared" si="5"/>
        <v>9553.5104000000028</v>
      </c>
      <c r="Q7" s="8">
        <f>IF(B7=1,Inputs!$C$13,0)</f>
        <v>0</v>
      </c>
      <c r="R7" s="8">
        <f t="shared" si="6"/>
        <v>300</v>
      </c>
      <c r="S7" s="10"/>
      <c r="T7" s="8">
        <f t="shared" si="7"/>
        <v>224039.18506666675</v>
      </c>
      <c r="U7" s="8">
        <f>D7*10^5/Inputs!$C$25</f>
        <v>116140.7146666667</v>
      </c>
      <c r="V7" s="8">
        <f>E7*10^5/Inputs!$C$26</f>
        <v>51701.350400000032</v>
      </c>
      <c r="W7" s="8">
        <f>F7*10^5/Inputs!$C$27</f>
        <v>56197.120000000017</v>
      </c>
      <c r="Y7" s="8">
        <f t="shared" si="1"/>
        <v>11011.135400000003</v>
      </c>
      <c r="Z7" s="8">
        <f t="shared" si="8"/>
        <v>5708.1136688963225</v>
      </c>
      <c r="AA7" s="8">
        <f t="shared" si="2"/>
        <v>2541.0312461538474</v>
      </c>
      <c r="AB7" s="8">
        <f t="shared" si="2"/>
        <v>2761.9904849498334</v>
      </c>
      <c r="AD7" s="8">
        <f t="shared" si="3"/>
        <v>40315.813888000026</v>
      </c>
      <c r="AE7" s="8">
        <f>'Projection - Scenario 4'!D7*Inputs!K7</f>
        <v>25521.922048000015</v>
      </c>
      <c r="AF7" s="8">
        <f>'Projection - Scenario 4'!E7*Inputs!L7</f>
        <v>9209.3030400000061</v>
      </c>
      <c r="AG7" s="8">
        <f>'Projection - Scenario 4'!F7*Inputs!M7</f>
        <v>5584.5888000000041</v>
      </c>
      <c r="AI7" s="8">
        <f t="shared" si="4"/>
        <v>54249.199528000034</v>
      </c>
      <c r="AJ7" s="8">
        <f>'Projection - Scenario 4'!I7+'Projection - Scenario 4'!Z7+AE7</f>
        <v>32275.302148896339</v>
      </c>
      <c r="AK7" s="8">
        <f>'Projection - Scenario 4'!J7+'Projection - Scenario 4'!AA7+AF7</f>
        <v>12784.361294153854</v>
      </c>
      <c r="AL7" s="8">
        <f>'Projection - Scenario 4'!K7+'Projection - Scenario 4'!AB7+AG7</f>
        <v>9189.5360849498375</v>
      </c>
      <c r="AN7" s="8">
        <f>'Projection - Scenario 4'!C7-AI7</f>
        <v>1947.9204719999907</v>
      </c>
      <c r="AO7" s="8">
        <f>'Projection - Scenario 4'!D7-AJ7</f>
        <v>2566.912251103673</v>
      </c>
      <c r="AP7" s="8">
        <f>'Projection - Scenario 4'!E7-AK7</f>
        <v>140.97630584615217</v>
      </c>
      <c r="AQ7" s="8">
        <f>'Projection - Scenario 4'!F7-AL7</f>
        <v>-759.96808494983452</v>
      </c>
      <c r="AS7" s="29">
        <f>VLOOKUP(B7,'Other inputs '!$M$5:$N$14,2,0)</f>
        <v>8.5900000000000004E-2</v>
      </c>
      <c r="AT7" s="20">
        <f t="shared" si="9"/>
        <v>0.7337524904950824</v>
      </c>
    </row>
    <row r="8" spans="2:46" x14ac:dyDescent="0.35">
      <c r="B8" s="3">
        <v>5</v>
      </c>
      <c r="C8" s="8">
        <f>C7*(1+Inputs!$C$3)</f>
        <v>62940.774400000031</v>
      </c>
      <c r="D8" s="8">
        <f>$C8*Inputs!H8</f>
        <v>39023.28012800002</v>
      </c>
      <c r="E8" s="8">
        <f>$C8*Inputs!I8</f>
        <v>14476.378112000008</v>
      </c>
      <c r="F8" s="8">
        <f>$C8*Inputs!J8</f>
        <v>9441.116160000005</v>
      </c>
      <c r="G8" s="10"/>
      <c r="H8" s="8">
        <f t="shared" si="0"/>
        <v>3272.9202688000018</v>
      </c>
      <c r="I8" s="8">
        <f>Inputs!$C$17*$D8</f>
        <v>1170.6984038400005</v>
      </c>
      <c r="J8" s="8">
        <f>Inputs!$C$18*$E8</f>
        <v>1158.1102489600007</v>
      </c>
      <c r="K8" s="8">
        <f>Inputs!$C$19*$F8</f>
        <v>944.11161600000059</v>
      </c>
      <c r="L8" s="10"/>
      <c r="M8" s="8">
        <f>M7*(1+Inputs!$C$7)</f>
        <v>1215.5062500000001</v>
      </c>
      <c r="N8" s="6">
        <f>IF(B8&lt;=3,Inputs!$C$9,IF(B8&lt;=6,Inputs!$C$10,Inputs!$C$11))</f>
        <v>0.12</v>
      </c>
      <c r="O8" s="6">
        <f>Inputs!$C$22</f>
        <v>0.05</v>
      </c>
      <c r="P8" s="8">
        <f t="shared" si="5"/>
        <v>10699.931648000005</v>
      </c>
      <c r="Q8" s="8">
        <f>IF(B8=1,Inputs!$C$13,0)</f>
        <v>0</v>
      </c>
      <c r="R8" s="8">
        <f t="shared" si="6"/>
        <v>300</v>
      </c>
      <c r="S8" s="10"/>
      <c r="T8" s="8">
        <f t="shared" si="7"/>
        <v>250923.88727466678</v>
      </c>
      <c r="U8" s="8">
        <f>D8*10^5/Inputs!$C$25</f>
        <v>130077.60042666673</v>
      </c>
      <c r="V8" s="8">
        <f>E8*10^5/Inputs!$C$26</f>
        <v>57905.51244800003</v>
      </c>
      <c r="W8" s="8">
        <f>F8*10^5/Inputs!$C$27</f>
        <v>62940.774400000031</v>
      </c>
      <c r="Y8" s="8">
        <f t="shared" si="1"/>
        <v>12215.437898000006</v>
      </c>
      <c r="Z8" s="8">
        <f t="shared" si="8"/>
        <v>6332.4176394314418</v>
      </c>
      <c r="AA8" s="8">
        <f t="shared" si="2"/>
        <v>2818.9472072307708</v>
      </c>
      <c r="AB8" s="8">
        <f t="shared" si="2"/>
        <v>3064.0730513377944</v>
      </c>
      <c r="AD8" s="8">
        <f t="shared" si="3"/>
        <v>44996.359618560033</v>
      </c>
      <c r="AE8" s="8">
        <f>'Projection - Scenario 4'!D8*Inputs!K8</f>
        <v>28486.994493440023</v>
      </c>
      <c r="AF8" s="8">
        <f>'Projection - Scenario 4'!E8*Inputs!L8</f>
        <v>10278.228459520009</v>
      </c>
      <c r="AG8" s="8">
        <f>'Projection - Scenario 4'!F8*Inputs!M8</f>
        <v>6231.1366656000055</v>
      </c>
      <c r="AI8" s="8">
        <f t="shared" si="4"/>
        <v>60484.717785360044</v>
      </c>
      <c r="AJ8" s="8">
        <f>'Projection - Scenario 4'!I8+'Projection - Scenario 4'!Z8+AE8</f>
        <v>35990.110536711465</v>
      </c>
      <c r="AK8" s="8">
        <f>'Projection - Scenario 4'!J8+'Projection - Scenario 4'!AA8+AF8</f>
        <v>14255.285915710781</v>
      </c>
      <c r="AL8" s="8">
        <f>'Projection - Scenario 4'!K8+'Projection - Scenario 4'!AB8+AG8</f>
        <v>10239.321332937801</v>
      </c>
      <c r="AN8" s="8">
        <f>'Projection - Scenario 4'!C8-AI8</f>
        <v>2456.0566146399869</v>
      </c>
      <c r="AO8" s="8">
        <f>'Projection - Scenario 4'!D8-AJ8</f>
        <v>3033.1695912885552</v>
      </c>
      <c r="AP8" s="8">
        <f>'Projection - Scenario 4'!E8-AK8</f>
        <v>221.09219628922619</v>
      </c>
      <c r="AQ8" s="8">
        <f>'Projection - Scenario 4'!F8-AL8</f>
        <v>-798.20517293779631</v>
      </c>
      <c r="AS8" s="29">
        <f>VLOOKUP(B8,'Other inputs '!$M$5:$N$14,2,0)</f>
        <v>9.01E-2</v>
      </c>
      <c r="AT8" s="20">
        <f t="shared" si="9"/>
        <v>0.67310566965882246</v>
      </c>
    </row>
    <row r="9" spans="2:46" x14ac:dyDescent="0.35">
      <c r="B9" s="3">
        <v>6</v>
      </c>
      <c r="C9" s="8">
        <f>C8*(1+Inputs!$C$3)</f>
        <v>70493.66732800004</v>
      </c>
      <c r="D9" s="8">
        <f>$C9*Inputs!H9</f>
        <v>43706.073743360022</v>
      </c>
      <c r="E9" s="8">
        <f>$C9*Inputs!I9</f>
        <v>16213.54348544001</v>
      </c>
      <c r="F9" s="8">
        <f>$C9*Inputs!J9</f>
        <v>10574.050099200005</v>
      </c>
      <c r="G9" s="10"/>
      <c r="H9" s="8">
        <f t="shared" si="0"/>
        <v>3665.6707010560021</v>
      </c>
      <c r="I9" s="8">
        <f>Inputs!$C$17*$D9</f>
        <v>1311.1822123008005</v>
      </c>
      <c r="J9" s="8">
        <f>Inputs!$C$18*$E9</f>
        <v>1297.0834788352008</v>
      </c>
      <c r="K9" s="8">
        <f>Inputs!$C$19*$F9</f>
        <v>1057.4050099200006</v>
      </c>
      <c r="L9" s="10"/>
      <c r="M9" s="8">
        <f>M8*(1+Inputs!$C$7)</f>
        <v>1276.2815625000003</v>
      </c>
      <c r="N9" s="6">
        <f>IF(B9&lt;=3,Inputs!$C$9,IF(B9&lt;=6,Inputs!$C$10,Inputs!$C$11))</f>
        <v>0.12</v>
      </c>
      <c r="O9" s="6">
        <f>Inputs!$C$22</f>
        <v>0.05</v>
      </c>
      <c r="P9" s="8">
        <f t="shared" si="5"/>
        <v>11983.923445760005</v>
      </c>
      <c r="Q9" s="8">
        <f>IF(B9=1,Inputs!$C$13,0)</f>
        <v>0</v>
      </c>
      <c r="R9" s="8">
        <f t="shared" si="6"/>
        <v>0</v>
      </c>
      <c r="S9" s="10"/>
      <c r="T9" s="8">
        <f t="shared" si="7"/>
        <v>281034.75374762679</v>
      </c>
      <c r="U9" s="8">
        <f>D9*10^5/Inputs!$C$25</f>
        <v>145686.91247786675</v>
      </c>
      <c r="V9" s="8">
        <f>E9*10^5/Inputs!$C$26</f>
        <v>64854.173941760047</v>
      </c>
      <c r="W9" s="8">
        <f>F9*10^5/Inputs!$C$27</f>
        <v>70493.66732800004</v>
      </c>
      <c r="Y9" s="8">
        <f t="shared" si="1"/>
        <v>13260.205008260005</v>
      </c>
      <c r="Z9" s="8">
        <f t="shared" si="8"/>
        <v>6874.0193186632141</v>
      </c>
      <c r="AA9" s="8">
        <f t="shared" si="2"/>
        <v>3060.0473095984635</v>
      </c>
      <c r="AB9" s="8">
        <f t="shared" si="2"/>
        <v>3326.1383799983296</v>
      </c>
      <c r="AD9" s="8">
        <f t="shared" si="3"/>
        <v>50219.68860446725</v>
      </c>
      <c r="AE9" s="8">
        <f>'Projection - Scenario 4'!D9*Inputs!K9</f>
        <v>31796.168648294428</v>
      </c>
      <c r="AF9" s="8">
        <f>'Projection - Scenario 4'!E9*Inputs!L9</f>
        <v>11471.08201594881</v>
      </c>
      <c r="AG9" s="8">
        <f>'Projection - Scenario 4'!F9*Inputs!M9</f>
        <v>6952.4379402240065</v>
      </c>
      <c r="AI9" s="8">
        <f t="shared" si="4"/>
        <v>67145.564313783252</v>
      </c>
      <c r="AJ9" s="8">
        <f>'Projection - Scenario 4'!I9+'Projection - Scenario 4'!Z9+AE9</f>
        <v>39981.37017925844</v>
      </c>
      <c r="AK9" s="8">
        <f>'Projection - Scenario 4'!J9+'Projection - Scenario 4'!AA9+AF9</f>
        <v>15828.212804382474</v>
      </c>
      <c r="AL9" s="8">
        <f>'Projection - Scenario 4'!K9+'Projection - Scenario 4'!AB9+AG9</f>
        <v>11335.981330142336</v>
      </c>
      <c r="AN9" s="8">
        <f>'Projection - Scenario 4'!C9-AI9</f>
        <v>3348.1030142167874</v>
      </c>
      <c r="AO9" s="8">
        <f>'Projection - Scenario 4'!D9-AJ9</f>
        <v>3724.7035641015827</v>
      </c>
      <c r="AP9" s="8">
        <f>'Projection - Scenario 4'!E9-AK9</f>
        <v>385.33068105753591</v>
      </c>
      <c r="AQ9" s="8">
        <f>'Projection - Scenario 4'!F9-AL9</f>
        <v>-761.93123094233124</v>
      </c>
      <c r="AS9" s="29">
        <f>VLOOKUP(B9,'Other inputs '!$M$5:$N$14,2,0)</f>
        <v>8.72E-2</v>
      </c>
      <c r="AT9" s="20">
        <f t="shared" si="9"/>
        <v>0.61911853353460489</v>
      </c>
    </row>
    <row r="10" spans="2:46" x14ac:dyDescent="0.35">
      <c r="B10" s="3">
        <v>7</v>
      </c>
      <c r="C10" s="8">
        <f>C9*(1+Inputs!$C$3)</f>
        <v>78952.90740736005</v>
      </c>
      <c r="D10" s="8">
        <f>$C10*Inputs!H10</f>
        <v>48950.802592563232</v>
      </c>
      <c r="E10" s="8">
        <f>$C10*Inputs!I10</f>
        <v>18159.168703692812</v>
      </c>
      <c r="F10" s="8">
        <f>$C10*Inputs!J10</f>
        <v>11842.936111104007</v>
      </c>
      <c r="G10" s="10"/>
      <c r="H10" s="8">
        <f t="shared" si="0"/>
        <v>4105.5511851827232</v>
      </c>
      <c r="I10" s="8">
        <f>Inputs!$C$17*$D10</f>
        <v>1468.524077776897</v>
      </c>
      <c r="J10" s="8">
        <f>Inputs!$C$18*$E10</f>
        <v>1452.7334962954251</v>
      </c>
      <c r="K10" s="8">
        <f>Inputs!$C$19*$F10</f>
        <v>1184.2936111104007</v>
      </c>
      <c r="L10" s="10"/>
      <c r="M10" s="8">
        <f>M9*(1+Inputs!$C$7)</f>
        <v>1340.0956406250004</v>
      </c>
      <c r="N10" s="6">
        <f>IF(B10&lt;=3,Inputs!$C$9,IF(B10&lt;=6,Inputs!$C$10,Inputs!$C$11))</f>
        <v>0.1</v>
      </c>
      <c r="O10" s="6">
        <f>Inputs!$C$22</f>
        <v>0.05</v>
      </c>
      <c r="P10" s="8">
        <f t="shared" si="5"/>
        <v>11842.936111104009</v>
      </c>
      <c r="Q10" s="8">
        <f>IF(B10=1,Inputs!$C$13,0)</f>
        <v>0</v>
      </c>
      <c r="R10" s="8">
        <f t="shared" si="6"/>
        <v>0</v>
      </c>
      <c r="S10" s="10"/>
      <c r="T10" s="8">
        <f t="shared" si="7"/>
        <v>314758.92419734207</v>
      </c>
      <c r="U10" s="8">
        <f>D10*10^5/Inputs!$C$25</f>
        <v>163169.34197521076</v>
      </c>
      <c r="V10" s="8">
        <f>E10*10^5/Inputs!$C$26</f>
        <v>72636.67481477125</v>
      </c>
      <c r="W10" s="8">
        <f>F10*10^5/Inputs!$C$27</f>
        <v>78952.90740736005</v>
      </c>
      <c r="Y10" s="8">
        <f t="shared" si="1"/>
        <v>13183.03175172901</v>
      </c>
      <c r="Z10" s="8">
        <f t="shared" si="8"/>
        <v>6834.0131154448036</v>
      </c>
      <c r="AA10" s="8">
        <f t="shared" si="2"/>
        <v>3042.2380965528482</v>
      </c>
      <c r="AB10" s="8">
        <f t="shared" si="2"/>
        <v>3306.7805397313568</v>
      </c>
      <c r="AD10" s="8">
        <f t="shared" si="3"/>
        <v>56048.668968484926</v>
      </c>
      <c r="AE10" s="8">
        <f>'Projection - Scenario 4'!D10*Inputs!K10</f>
        <v>35489.331879608355</v>
      </c>
      <c r="AF10" s="8">
        <f>'Projection - Scenario 4'!E10*Inputs!L10</f>
        <v>12802.213936103439</v>
      </c>
      <c r="AG10" s="8">
        <f>'Projection - Scenario 4'!F10*Inputs!M10</f>
        <v>7757.1231527731288</v>
      </c>
      <c r="AI10" s="8">
        <f t="shared" si="4"/>
        <v>73337.251905396653</v>
      </c>
      <c r="AJ10" s="8">
        <f>'Projection - Scenario 4'!I10+'Projection - Scenario 4'!Z10+AE10</f>
        <v>43791.869072830057</v>
      </c>
      <c r="AK10" s="8">
        <f>'Projection - Scenario 4'!J10+'Projection - Scenario 4'!AA10+AF10</f>
        <v>17297.185528951712</v>
      </c>
      <c r="AL10" s="8">
        <f>'Projection - Scenario 4'!K10+'Projection - Scenario 4'!AB10+AG10</f>
        <v>12248.197303614887</v>
      </c>
      <c r="AN10" s="8">
        <f>'Projection - Scenario 4'!C10-AI10</f>
        <v>5615.6555019633961</v>
      </c>
      <c r="AO10" s="8">
        <f>'Projection - Scenario 4'!D10-AJ10</f>
        <v>5158.9335197331748</v>
      </c>
      <c r="AP10" s="8">
        <f>'Projection - Scenario 4'!E10-AK10</f>
        <v>861.98317474110081</v>
      </c>
      <c r="AQ10" s="8">
        <f>'Projection - Scenario 4'!F10-AL10</f>
        <v>-405.26119251087948</v>
      </c>
      <c r="AS10" s="29">
        <f>VLOOKUP(B10,'Other inputs '!$M$5:$N$14,2,0)</f>
        <v>8.7999999999999995E-2</v>
      </c>
      <c r="AT10" s="20">
        <f t="shared" si="9"/>
        <v>0.5690427697928353</v>
      </c>
    </row>
    <row r="11" spans="2:46" x14ac:dyDescent="0.35">
      <c r="B11" s="3">
        <v>8</v>
      </c>
      <c r="C11" s="8">
        <f>C10*(1+Inputs!$C$3)</f>
        <v>88427.256296243257</v>
      </c>
      <c r="D11" s="8">
        <f>$C11*Inputs!H11</f>
        <v>57477.716592558121</v>
      </c>
      <c r="E11" s="8">
        <f>$C11*Inputs!I11</f>
        <v>20338.268948135948</v>
      </c>
      <c r="F11" s="8">
        <f>$C11*Inputs!J11</f>
        <v>10611.270755549191</v>
      </c>
      <c r="G11" s="10"/>
      <c r="H11" s="8">
        <f t="shared" si="0"/>
        <v>4412.5200891825389</v>
      </c>
      <c r="I11" s="8">
        <f>Inputs!$C$17*$D11</f>
        <v>1724.3314977767436</v>
      </c>
      <c r="J11" s="8">
        <f>Inputs!$C$18*$E11</f>
        <v>1627.0615158508758</v>
      </c>
      <c r="K11" s="8">
        <f>Inputs!$C$19*$F11</f>
        <v>1061.1270755549192</v>
      </c>
      <c r="L11" s="10"/>
      <c r="M11" s="8">
        <f>M10*(1+Inputs!$C$7)</f>
        <v>1407.1004226562504</v>
      </c>
      <c r="N11" s="6">
        <f>IF(B11&lt;=3,Inputs!$C$9,IF(B11&lt;=6,Inputs!$C$10,Inputs!$C$11))</f>
        <v>0.1</v>
      </c>
      <c r="O11" s="6">
        <f>Inputs!$C$22</f>
        <v>0.05</v>
      </c>
      <c r="P11" s="8">
        <f t="shared" si="5"/>
        <v>13264.088444436491</v>
      </c>
      <c r="Q11" s="8">
        <f>IF(B11=1,Inputs!$C$13,0)</f>
        <v>0</v>
      </c>
      <c r="R11" s="8">
        <f t="shared" si="6"/>
        <v>0</v>
      </c>
      <c r="S11" s="10"/>
      <c r="T11" s="8">
        <f t="shared" si="7"/>
        <v>343687.26947139879</v>
      </c>
      <c r="U11" s="8">
        <f>D11*10^5/Inputs!$C$25</f>
        <v>191592.38864186039</v>
      </c>
      <c r="V11" s="8">
        <f>E11*10^5/Inputs!$C$26</f>
        <v>81353.075792543794</v>
      </c>
      <c r="W11" s="8">
        <f>F11*10^5/Inputs!$C$27</f>
        <v>70741.805036994614</v>
      </c>
      <c r="Y11" s="8">
        <f t="shared" si="1"/>
        <v>14671.188867092742</v>
      </c>
      <c r="Z11" s="8">
        <f t="shared" si="8"/>
        <v>8178.6215811408938</v>
      </c>
      <c r="AA11" s="8">
        <f t="shared" si="2"/>
        <v>3472.7685482998254</v>
      </c>
      <c r="AB11" s="8">
        <f t="shared" si="2"/>
        <v>3019.7987376520227</v>
      </c>
      <c r="AD11" s="8">
        <f t="shared" si="3"/>
        <v>62739.138342184626</v>
      </c>
      <c r="AE11" s="8">
        <f>'Projection - Scenario 4'!D11*Inputs!K11</f>
        <v>41527.650238123264</v>
      </c>
      <c r="AF11" s="8">
        <f>'Projection - Scenario 4'!E11*Inputs!L11</f>
        <v>14287.633936065511</v>
      </c>
      <c r="AG11" s="8">
        <f>'Projection - Scenario 4'!F11*Inputs!M11</f>
        <v>6923.8541679958516</v>
      </c>
      <c r="AI11" s="8">
        <f t="shared" si="4"/>
        <v>81822.847298459907</v>
      </c>
      <c r="AJ11" s="8">
        <f>'Projection - Scenario 4'!I11+'Projection - Scenario 4'!Z11+AE11</f>
        <v>51430.603317040899</v>
      </c>
      <c r="AK11" s="8">
        <f>'Projection - Scenario 4'!J11+'Projection - Scenario 4'!AA11+AF11</f>
        <v>19387.464000216212</v>
      </c>
      <c r="AL11" s="8">
        <f>'Projection - Scenario 4'!K11+'Projection - Scenario 4'!AB11+AG11</f>
        <v>11004.779981202793</v>
      </c>
      <c r="AN11" s="8">
        <f>'Projection - Scenario 4'!C11-AI11</f>
        <v>6604.4089977833501</v>
      </c>
      <c r="AO11" s="8">
        <f>'Projection - Scenario 4'!D11-AJ11</f>
        <v>6047.1132755172221</v>
      </c>
      <c r="AP11" s="8">
        <f>'Projection - Scenario 4'!E11-AK11</f>
        <v>950.80494791973615</v>
      </c>
      <c r="AQ11" s="8">
        <f>'Projection - Scenario 4'!F11-AL11</f>
        <v>-393.5092256536027</v>
      </c>
      <c r="AS11" s="29">
        <f>VLOOKUP(B11,'Other inputs '!$M$5:$N$14,2,0)</f>
        <v>9.2299999999999993E-2</v>
      </c>
      <c r="AT11" s="20">
        <f t="shared" si="9"/>
        <v>0.52095831712243457</v>
      </c>
    </row>
    <row r="12" spans="2:46" x14ac:dyDescent="0.35">
      <c r="B12" s="3">
        <v>9</v>
      </c>
      <c r="C12" s="8">
        <f>C11*(1+Inputs!$C$3)</f>
        <v>99038.527051792451</v>
      </c>
      <c r="D12" s="8">
        <f>$C12*Inputs!H12</f>
        <v>64375.042583665097</v>
      </c>
      <c r="E12" s="8">
        <f>$C12*Inputs!I12</f>
        <v>22778.861221912266</v>
      </c>
      <c r="F12" s="8">
        <f>$C12*Inputs!J12</f>
        <v>11884.623246215093</v>
      </c>
      <c r="G12" s="10"/>
      <c r="H12" s="8">
        <f t="shared" si="0"/>
        <v>4942.0224998844433</v>
      </c>
      <c r="I12" s="8">
        <f>Inputs!$C$17*$D12</f>
        <v>1931.2512775099528</v>
      </c>
      <c r="J12" s="8">
        <f>Inputs!$C$18*$E12</f>
        <v>1822.3088977529812</v>
      </c>
      <c r="K12" s="8">
        <f>Inputs!$C$19*$F12</f>
        <v>1188.4623246215094</v>
      </c>
      <c r="L12" s="10"/>
      <c r="M12" s="8">
        <f>M11*(1+Inputs!$C$7)</f>
        <v>1477.4554437890631</v>
      </c>
      <c r="N12" s="6">
        <f>IF(B12&lt;=3,Inputs!$C$9,IF(B12&lt;=6,Inputs!$C$10,Inputs!$C$11))</f>
        <v>0.1</v>
      </c>
      <c r="O12" s="6">
        <f>Inputs!$C$22</f>
        <v>0.05</v>
      </c>
      <c r="P12" s="8">
        <f t="shared" si="5"/>
        <v>14855.77905776887</v>
      </c>
      <c r="Q12" s="8">
        <f>IF(B12=1,Inputs!$C$13,0)</f>
        <v>0</v>
      </c>
      <c r="R12" s="8">
        <f t="shared" si="6"/>
        <v>0</v>
      </c>
      <c r="S12" s="10"/>
      <c r="T12" s="8">
        <f t="shared" si="7"/>
        <v>384929.74180796673</v>
      </c>
      <c r="U12" s="8">
        <f>D12*10^5/Inputs!$C$25</f>
        <v>214583.47527888365</v>
      </c>
      <c r="V12" s="8">
        <f>E12*10^5/Inputs!$C$26</f>
        <v>91115.444887649064</v>
      </c>
      <c r="W12" s="8">
        <f>F12*10^5/Inputs!$C$27</f>
        <v>79230.821641433955</v>
      </c>
      <c r="Y12" s="8">
        <f t="shared" si="1"/>
        <v>16333.234501557934</v>
      </c>
      <c r="Z12" s="8">
        <f t="shared" si="8"/>
        <v>9105.1478782269769</v>
      </c>
      <c r="AA12" s="8">
        <f t="shared" si="2"/>
        <v>3866.1858682933016</v>
      </c>
      <c r="AB12" s="8">
        <f t="shared" si="2"/>
        <v>3361.9007550376532</v>
      </c>
      <c r="AD12" s="8">
        <f t="shared" si="3"/>
        <v>70020.238625617305</v>
      </c>
      <c r="AE12" s="8">
        <f>'Projection - Scenario 4'!D12*Inputs!K12</f>
        <v>46350.030660238896</v>
      </c>
      <c r="AF12" s="8">
        <f>'Projection - Scenario 4'!E12*Inputs!L12</f>
        <v>15945.202855338595</v>
      </c>
      <c r="AG12" s="8">
        <f>'Projection - Scenario 4'!F12*Inputs!M12</f>
        <v>7725.0051100398159</v>
      </c>
      <c r="AI12" s="8">
        <f t="shared" si="4"/>
        <v>91295.495627059674</v>
      </c>
      <c r="AJ12" s="8">
        <f>'Projection - Scenario 4'!I12+'Projection - Scenario 4'!Z12+AE12</f>
        <v>57386.429815975825</v>
      </c>
      <c r="AK12" s="8">
        <f>'Projection - Scenario 4'!J12+'Projection - Scenario 4'!AA12+AF12</f>
        <v>21633.697621384879</v>
      </c>
      <c r="AL12" s="8">
        <f>'Projection - Scenario 4'!K12+'Projection - Scenario 4'!AB12+AG12</f>
        <v>12275.368189698978</v>
      </c>
      <c r="AN12" s="8">
        <f>'Projection - Scenario 4'!C12-AI12</f>
        <v>7743.0314247327769</v>
      </c>
      <c r="AO12" s="8">
        <f>'Projection - Scenario 4'!D12-AJ12</f>
        <v>6988.612767689272</v>
      </c>
      <c r="AP12" s="8">
        <f>'Projection - Scenario 4'!E12-AK12</f>
        <v>1145.1636005273867</v>
      </c>
      <c r="AQ12" s="8">
        <f>'Projection - Scenario 4'!F12-AL12</f>
        <v>-390.74494348388544</v>
      </c>
      <c r="AS12" s="29">
        <f>VLOOKUP(B12,'Other inputs '!$M$5:$N$14,2,0)</f>
        <v>9.0999999999999998E-2</v>
      </c>
      <c r="AT12" s="20">
        <f t="shared" si="9"/>
        <v>0.47750533191790523</v>
      </c>
    </row>
    <row r="13" spans="2:46" x14ac:dyDescent="0.35">
      <c r="B13" s="3">
        <v>10</v>
      </c>
      <c r="C13" s="8">
        <f>C12*(1+Inputs!$C$3)</f>
        <v>110923.15029800756</v>
      </c>
      <c r="D13" s="8">
        <f>$C13*Inputs!H13</f>
        <v>72100.04769370491</v>
      </c>
      <c r="E13" s="8">
        <f>$C13*Inputs!I13</f>
        <v>25512.324568541739</v>
      </c>
      <c r="F13" s="8">
        <f>$C13*Inputs!J13</f>
        <v>13310.778035760906</v>
      </c>
      <c r="G13" s="10"/>
      <c r="H13" s="8">
        <f t="shared" si="0"/>
        <v>5535.0651998705771</v>
      </c>
      <c r="I13" s="8">
        <f>Inputs!$C$17*$D13</f>
        <v>2163.0014308111472</v>
      </c>
      <c r="J13" s="8">
        <f>Inputs!$C$18*$E13</f>
        <v>2040.9859654833392</v>
      </c>
      <c r="K13" s="8">
        <f>Inputs!$C$19*$F13</f>
        <v>1331.0778035760907</v>
      </c>
      <c r="L13" s="10"/>
      <c r="M13" s="8">
        <f>M12*(1+Inputs!$C$7)</f>
        <v>1551.3282159785163</v>
      </c>
      <c r="N13" s="6">
        <f>IF(B13&lt;=3,Inputs!$C$9,IF(B13&lt;=6,Inputs!$C$10,Inputs!$C$11))</f>
        <v>0.1</v>
      </c>
      <c r="O13" s="6">
        <f>Inputs!$C$22</f>
        <v>0.05</v>
      </c>
      <c r="P13" s="8">
        <f t="shared" si="5"/>
        <v>16638.472544701137</v>
      </c>
      <c r="Q13" s="8">
        <f>IF(B13=1,Inputs!$C$13,0)</f>
        <v>0</v>
      </c>
      <c r="R13" s="8">
        <f t="shared" si="6"/>
        <v>0</v>
      </c>
      <c r="S13" s="10"/>
      <c r="T13" s="8">
        <f t="shared" si="7"/>
        <v>431121.31082492264</v>
      </c>
      <c r="U13" s="8">
        <f>D13*10^5/Inputs!$C$25</f>
        <v>240333.4923123497</v>
      </c>
      <c r="V13" s="8">
        <f>E13*10^5/Inputs!$C$26</f>
        <v>102049.29827416694</v>
      </c>
      <c r="W13" s="8">
        <f>F13*10^5/Inputs!$C$27</f>
        <v>88738.520238406039</v>
      </c>
      <c r="Y13" s="8">
        <f t="shared" si="1"/>
        <v>18189.800760679653</v>
      </c>
      <c r="Z13" s="8">
        <f t="shared" si="8"/>
        <v>10140.111916330854</v>
      </c>
      <c r="AA13" s="8">
        <f t="shared" si="2"/>
        <v>4305.6475213958702</v>
      </c>
      <c r="AB13" s="8">
        <f t="shared" si="2"/>
        <v>3744.0413229529308</v>
      </c>
      <c r="AD13" s="8">
        <f t="shared" si="3"/>
        <v>78145.35938494638</v>
      </c>
      <c r="AE13" s="8">
        <f>'Projection - Scenario 4'!D13*Inputs!K13</f>
        <v>51731.784220233305</v>
      </c>
      <c r="AF13" s="8">
        <f>'Projection - Scenario 4'!E13*Inputs!L13</f>
        <v>17794.846386557874</v>
      </c>
      <c r="AG13" s="8">
        <f>'Projection - Scenario 4'!F13*Inputs!M13</f>
        <v>8618.7287781551931</v>
      </c>
      <c r="AI13" s="8">
        <f t="shared" si="4"/>
        <v>101870.2253454966</v>
      </c>
      <c r="AJ13" s="8">
        <f>'Projection - Scenario 4'!I13+'Projection - Scenario 4'!Z13+AE13</f>
        <v>64034.897567375308</v>
      </c>
      <c r="AK13" s="8">
        <f>'Projection - Scenario 4'!J13+'Projection - Scenario 4'!AA13+AF13</f>
        <v>24141.479873437085</v>
      </c>
      <c r="AL13" s="8">
        <f>'Projection - Scenario 4'!K13+'Projection - Scenario 4'!AB13+AG13</f>
        <v>13693.847904684215</v>
      </c>
      <c r="AN13" s="8">
        <f>'Projection - Scenario 4'!C13-AI13</f>
        <v>9052.9249525109626</v>
      </c>
      <c r="AO13" s="8">
        <f>'Projection - Scenario 4'!D13-AJ13</f>
        <v>8065.1501263296013</v>
      </c>
      <c r="AP13" s="8">
        <f>'Projection - Scenario 4'!E13-AK13</f>
        <v>1370.8446951046535</v>
      </c>
      <c r="AQ13" s="8">
        <f>'Projection - Scenario 4'!F13-AL13</f>
        <v>-383.0698689233086</v>
      </c>
      <c r="AS13" s="29">
        <f>VLOOKUP(B13,'Other inputs '!$M$5:$N$14,2,0)</f>
        <v>9.0999999999999998E-2</v>
      </c>
      <c r="AT13" s="20">
        <f t="shared" si="9"/>
        <v>0.43767674786242461</v>
      </c>
    </row>
    <row r="14" spans="2:46" x14ac:dyDescent="0.35">
      <c r="Q14" s="28" t="s">
        <v>75</v>
      </c>
      <c r="R14" s="28" t="b">
        <f>SUM(Q4:Q13)=SUM(R4:R13)</f>
        <v>1</v>
      </c>
    </row>
    <row r="16" spans="2:46" x14ac:dyDescent="0.35">
      <c r="C16" s="12" t="s">
        <v>22</v>
      </c>
      <c r="D16" s="12" t="s">
        <v>17</v>
      </c>
      <c r="E16" s="12" t="s">
        <v>18</v>
      </c>
      <c r="F16" s="12" t="s">
        <v>19</v>
      </c>
    </row>
    <row r="17" spans="2:13" x14ac:dyDescent="0.35">
      <c r="B17" s="3" t="s">
        <v>36</v>
      </c>
      <c r="C17" s="18">
        <f>SUMPRODUCT(AN4:AN13,$AT$4:$AT$13)</f>
        <v>20020.480486794433</v>
      </c>
      <c r="D17" s="18">
        <f>SUMPRODUCT(AO4:AO13,$AT$4:$AT$13)</f>
        <v>22593.111773962501</v>
      </c>
      <c r="E17" s="18">
        <f>SUMPRODUCT(AP4:AP13,$AT$4:$AT$13)</f>
        <v>2115.0630490607859</v>
      </c>
      <c r="F17" s="18">
        <f>SUMPRODUCT(AQ4:AQ13,$AT$4:$AT$13)</f>
        <v>-4687.6943362288612</v>
      </c>
      <c r="M17" s="13"/>
    </row>
    <row r="18" spans="2:13" x14ac:dyDescent="0.35">
      <c r="B18" s="3" t="s">
        <v>37</v>
      </c>
      <c r="C18" s="18">
        <f>SUMPRODUCT(C4:C13,$AT$4:$AT$13)</f>
        <v>429767.41784748127</v>
      </c>
      <c r="D18" s="18">
        <f>SUMPRODUCT(D4:D13,$AT$4:$AT$13)</f>
        <v>268399.23357903922</v>
      </c>
      <c r="E18" s="18">
        <f>SUMPRODUCT(E4:E13,$AT$4:$AT$13)</f>
        <v>101160.27628268361</v>
      </c>
      <c r="F18" s="18">
        <f>SUMPRODUCT(F4:F13,$AT$4:$AT$13)</f>
        <v>60207.907985758429</v>
      </c>
      <c r="M18" s="13"/>
    </row>
    <row r="19" spans="2:13" x14ac:dyDescent="0.35">
      <c r="B19" s="3" t="s">
        <v>44</v>
      </c>
      <c r="C19" s="6">
        <f>C17/C18</f>
        <v>4.6584453952019773E-2</v>
      </c>
      <c r="D19" s="6">
        <f>D17/D18</f>
        <v>8.4177258901557916E-2</v>
      </c>
      <c r="E19" s="6">
        <f>E17/E18</f>
        <v>2.0908039467492416E-2</v>
      </c>
      <c r="F19" s="6">
        <f>F17/F18</f>
        <v>-7.785844904854837E-2</v>
      </c>
      <c r="M19" s="13"/>
    </row>
    <row r="20" spans="2:13" x14ac:dyDescent="0.35">
      <c r="M20" s="13"/>
    </row>
    <row r="21" spans="2:13" x14ac:dyDescent="0.35">
      <c r="M21" s="13"/>
    </row>
    <row r="22" spans="2:13" x14ac:dyDescent="0.35">
      <c r="M22" s="13"/>
    </row>
    <row r="23" spans="2:13" x14ac:dyDescent="0.35">
      <c r="M23" s="13"/>
    </row>
    <row r="24" spans="2:13" x14ac:dyDescent="0.35">
      <c r="M24" s="13"/>
    </row>
    <row r="25" spans="2:13" x14ac:dyDescent="0.35">
      <c r="M25" s="13"/>
    </row>
    <row r="26" spans="2:13" x14ac:dyDescent="0.35">
      <c r="M26" s="13"/>
    </row>
    <row r="27" spans="2:13" x14ac:dyDescent="0.35">
      <c r="M27" s="13"/>
    </row>
    <row r="28" spans="2:13" x14ac:dyDescent="0.35">
      <c r="M28" s="13"/>
    </row>
    <row r="29" spans="2:13" x14ac:dyDescent="0.35">
      <c r="M29" s="13"/>
    </row>
    <row r="30" spans="2:13" x14ac:dyDescent="0.35">
      <c r="M30" s="13"/>
    </row>
    <row r="31" spans="2:13" x14ac:dyDescent="0.35">
      <c r="M31" s="13"/>
    </row>
  </sheetData>
  <mergeCells count="8">
    <mergeCell ref="AI2:AL2"/>
    <mergeCell ref="AN2:AQ2"/>
    <mergeCell ref="C2:F2"/>
    <mergeCell ref="H2:K2"/>
    <mergeCell ref="M2:R2"/>
    <mergeCell ref="T2:W2"/>
    <mergeCell ref="Y2:AB2"/>
    <mergeCell ref="AD2:AG2"/>
  </mergeCells>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7B74-0629-4C6A-8278-BF1770EDCD6D}">
  <sheetPr codeName="Sheet9"/>
  <dimension ref="B2:Q8"/>
  <sheetViews>
    <sheetView showGridLines="0" zoomScale="60" zoomScaleNormal="60" workbookViewId="0">
      <selection activeCell="C33" sqref="C33"/>
    </sheetView>
  </sheetViews>
  <sheetFormatPr defaultColWidth="8.81640625" defaultRowHeight="14.5" x14ac:dyDescent="0.35"/>
  <cols>
    <col min="2" max="2" width="15.1796875" bestFit="1" customWidth="1"/>
    <col min="3" max="3" width="48.6328125" customWidth="1"/>
    <col min="4" max="6" width="9.6328125" customWidth="1"/>
    <col min="7" max="7" width="10.36328125" customWidth="1"/>
    <col min="8" max="8" width="1.6328125" customWidth="1"/>
    <col min="9" max="11" width="9.1796875" customWidth="1"/>
    <col min="12" max="12" width="7.6328125" customWidth="1"/>
    <col min="13" max="13" width="1.08984375" customWidth="1"/>
  </cols>
  <sheetData>
    <row r="2" spans="2:17" x14ac:dyDescent="0.35">
      <c r="D2" s="37" t="s">
        <v>64</v>
      </c>
      <c r="E2" s="38"/>
      <c r="F2" s="38"/>
      <c r="G2" s="39"/>
      <c r="I2" s="37" t="s">
        <v>65</v>
      </c>
      <c r="J2" s="38"/>
      <c r="K2" s="38"/>
      <c r="L2" s="39"/>
      <c r="N2" s="37" t="s">
        <v>66</v>
      </c>
      <c r="O2" s="38"/>
      <c r="P2" s="38"/>
      <c r="Q2" s="39"/>
    </row>
    <row r="3" spans="2:17" x14ac:dyDescent="0.35">
      <c r="B3" s="3" t="s">
        <v>58</v>
      </c>
      <c r="C3" s="21" t="s">
        <v>59</v>
      </c>
      <c r="D3" s="12" t="s">
        <v>22</v>
      </c>
      <c r="E3" s="12" t="s">
        <v>17</v>
      </c>
      <c r="F3" s="12" t="s">
        <v>18</v>
      </c>
      <c r="G3" s="12" t="s">
        <v>19</v>
      </c>
      <c r="I3" s="12" t="s">
        <v>22</v>
      </c>
      <c r="J3" s="12" t="s">
        <v>17</v>
      </c>
      <c r="K3" s="12" t="s">
        <v>18</v>
      </c>
      <c r="L3" s="12" t="s">
        <v>19</v>
      </c>
      <c r="N3" s="12" t="s">
        <v>22</v>
      </c>
      <c r="O3" s="12" t="s">
        <v>17</v>
      </c>
      <c r="P3" s="12" t="s">
        <v>18</v>
      </c>
      <c r="Q3" s="12" t="s">
        <v>19</v>
      </c>
    </row>
    <row r="4" spans="2:17" x14ac:dyDescent="0.35">
      <c r="B4" s="3" t="s">
        <v>55</v>
      </c>
      <c r="C4" s="21" t="s">
        <v>55</v>
      </c>
      <c r="D4" s="8">
        <f>'Projection - base'!C$17</f>
        <v>19301.674169670223</v>
      </c>
      <c r="E4" s="8">
        <f>'Projection - base'!D$17</f>
        <v>21824.520635304667</v>
      </c>
      <c r="F4" s="8">
        <f>'Projection - base'!E$17</f>
        <v>2030.2554204407186</v>
      </c>
      <c r="G4" s="8">
        <f>'Projection - base'!F$17</f>
        <v>-4553.1018860751747</v>
      </c>
      <c r="I4" s="8">
        <f>'Projection - base'!C$18</f>
        <v>415925.13037627732</v>
      </c>
      <c r="J4" s="8">
        <f>'Projection - base'!D$18</f>
        <v>259715.60557899222</v>
      </c>
      <c r="K4" s="8">
        <f>'Projection - base'!E$18</f>
        <v>97925.771780549956</v>
      </c>
      <c r="L4" s="8">
        <f>'Projection - base'!F$18</f>
        <v>58283.753016735165</v>
      </c>
      <c r="N4" s="7">
        <f t="shared" ref="N4:Q8" si="0">D4/I4</f>
        <v>4.6406607247339131E-2</v>
      </c>
      <c r="O4" s="7">
        <f t="shared" si="0"/>
        <v>8.4032380675202675E-2</v>
      </c>
      <c r="P4" s="7">
        <f t="shared" si="0"/>
        <v>2.0732595551970604E-2</v>
      </c>
      <c r="Q4" s="7">
        <f t="shared" si="0"/>
        <v>-7.8119572786739228E-2</v>
      </c>
    </row>
    <row r="5" spans="2:17" x14ac:dyDescent="0.35">
      <c r="B5" s="3" t="s">
        <v>56</v>
      </c>
      <c r="C5" s="21" t="s">
        <v>60</v>
      </c>
      <c r="D5" s="8">
        <f>'Projection - Scenario 1'!C$17</f>
        <v>23966.50470861814</v>
      </c>
      <c r="E5" s="8">
        <f>'Projection - Scenario 1'!D$17</f>
        <v>25914.212638520268</v>
      </c>
      <c r="F5" s="8">
        <f>'Projection - Scenario 1'!E$17</f>
        <v>2768.2144186968571</v>
      </c>
      <c r="G5" s="8">
        <f>'Projection - Scenario 1'!F$17</f>
        <v>-4715.9223485989723</v>
      </c>
      <c r="I5" s="8">
        <f>'Projection - Scenario 1'!C$18</f>
        <v>472591.53832231666</v>
      </c>
      <c r="J5" s="8">
        <f>'Projection - Scenario 1'!D$18</f>
        <v>295756.79990805883</v>
      </c>
      <c r="K5" s="8">
        <f>'Projection - Scenario 1'!E$18</f>
        <v>111021.31448397113</v>
      </c>
      <c r="L5" s="8">
        <f>'Projection - Scenario 1'!F$18</f>
        <v>65813.423930286677</v>
      </c>
      <c r="N5" s="7">
        <f t="shared" si="0"/>
        <v>5.0712936574570058E-2</v>
      </c>
      <c r="O5" s="7">
        <f t="shared" si="0"/>
        <v>8.7620006189464292E-2</v>
      </c>
      <c r="P5" s="7">
        <f t="shared" si="0"/>
        <v>2.493408073542961E-2</v>
      </c>
      <c r="Q5" s="7">
        <f t="shared" si="0"/>
        <v>-7.1655933804543367E-2</v>
      </c>
    </row>
    <row r="6" spans="2:17" x14ac:dyDescent="0.35">
      <c r="B6" s="3" t="s">
        <v>57</v>
      </c>
      <c r="C6" s="21" t="s">
        <v>61</v>
      </c>
      <c r="D6" s="8">
        <f>'Projection - Scenario 2'!C$17</f>
        <v>29713.042205403388</v>
      </c>
      <c r="E6" s="8">
        <f>'Projection - Scenario 2'!D$17</f>
        <v>27357.404316054482</v>
      </c>
      <c r="F6" s="8">
        <f>'Projection - Scenario 2'!E$17</f>
        <v>4494.4817272637511</v>
      </c>
      <c r="G6" s="8">
        <f>'Projection - Scenario 2'!F$17</f>
        <v>-2138.8438379148392</v>
      </c>
      <c r="I6" s="8">
        <f>'Projection - Scenario 2'!C$18</f>
        <v>415925.13037627732</v>
      </c>
      <c r="J6" s="8">
        <f>'Projection - Scenario 2'!D$18</f>
        <v>259715.60557899222</v>
      </c>
      <c r="K6" s="8">
        <f>'Projection - Scenario 2'!E$18</f>
        <v>97925.771780549956</v>
      </c>
      <c r="L6" s="8">
        <f>'Projection - Scenario 2'!F$18</f>
        <v>58283.753016735165</v>
      </c>
      <c r="N6" s="7">
        <f t="shared" si="0"/>
        <v>7.1438439361725323E-2</v>
      </c>
      <c r="O6" s="7">
        <f t="shared" si="0"/>
        <v>0.10533600495459546</v>
      </c>
      <c r="P6" s="7">
        <f t="shared" si="0"/>
        <v>4.5896822108645832E-2</v>
      </c>
      <c r="Q6" s="7">
        <f t="shared" si="0"/>
        <v>-3.6697084988688143E-2</v>
      </c>
    </row>
    <row r="7" spans="2:17" x14ac:dyDescent="0.35">
      <c r="B7" s="3" t="s">
        <v>49</v>
      </c>
      <c r="C7" s="21" t="s">
        <v>62</v>
      </c>
      <c r="D7" s="8">
        <f>'Projection - Scenario 3'!C$17</f>
        <v>19925.561865234609</v>
      </c>
      <c r="E7" s="8">
        <f>'Projection - Scenario 3'!D$17</f>
        <v>22508.760013402607</v>
      </c>
      <c r="F7" s="8">
        <f>'Projection - Scenario 3'!E$17</f>
        <v>429.05283469278146</v>
      </c>
      <c r="G7" s="8">
        <f>'Projection - Scenario 3'!F$17</f>
        <v>-3012.2509828607513</v>
      </c>
      <c r="I7" s="8">
        <f>'Projection - Scenario 3'!C$18</f>
        <v>415925.13037627732</v>
      </c>
      <c r="J7" s="8">
        <f>'Projection - Scenario 3'!D$18</f>
        <v>313128.06253003667</v>
      </c>
      <c r="K7" s="8">
        <f>'Projection - Scenario 3'!E$18</f>
        <v>77129.515261736073</v>
      </c>
      <c r="L7" s="8">
        <f>'Projection - Scenario 3'!F$18</f>
        <v>25667.552584504596</v>
      </c>
      <c r="N7" s="7">
        <f t="shared" si="0"/>
        <v>4.7906607247339056E-2</v>
      </c>
      <c r="O7" s="7">
        <f t="shared" si="0"/>
        <v>7.1883560456174264E-2</v>
      </c>
      <c r="P7" s="7">
        <f t="shared" si="0"/>
        <v>5.5627580860168379E-3</v>
      </c>
      <c r="Q7" s="7">
        <f t="shared" si="0"/>
        <v>-0.1173563771981609</v>
      </c>
    </row>
    <row r="8" spans="2:17" x14ac:dyDescent="0.35">
      <c r="B8" s="3" t="s">
        <v>47</v>
      </c>
      <c r="C8" s="21" t="s">
        <v>63</v>
      </c>
      <c r="D8" s="8">
        <f>'Projection - Scenario 4'!C$17</f>
        <v>20020.480486794433</v>
      </c>
      <c r="E8" s="8">
        <f>'Projection - Scenario 4'!D$17</f>
        <v>22593.111773962501</v>
      </c>
      <c r="F8" s="8">
        <f>'Projection - Scenario 4'!E$17</f>
        <v>2115.0630490607859</v>
      </c>
      <c r="G8" s="8">
        <f>'Projection - Scenario 4'!F$17</f>
        <v>-4687.6943362288612</v>
      </c>
      <c r="I8" s="8">
        <f>'Projection - Scenario 4'!C$18</f>
        <v>429767.41784748127</v>
      </c>
      <c r="J8" s="8">
        <f>'Projection - Scenario 4'!D$18</f>
        <v>268399.23357903922</v>
      </c>
      <c r="K8" s="8">
        <f>'Projection - Scenario 4'!E$18</f>
        <v>101160.27628268361</v>
      </c>
      <c r="L8" s="8">
        <f>'Projection - Scenario 4'!F$18</f>
        <v>60207.907985758429</v>
      </c>
      <c r="N8" s="7">
        <f t="shared" si="0"/>
        <v>4.6584453952019773E-2</v>
      </c>
      <c r="O8" s="7">
        <f t="shared" si="0"/>
        <v>8.4177258901557916E-2</v>
      </c>
      <c r="P8" s="7">
        <f t="shared" si="0"/>
        <v>2.0908039467492416E-2</v>
      </c>
      <c r="Q8" s="7">
        <f t="shared" si="0"/>
        <v>-7.785844904854837E-2</v>
      </c>
    </row>
  </sheetData>
  <mergeCells count="3">
    <mergeCell ref="D2:G2"/>
    <mergeCell ref="I2:L2"/>
    <mergeCell ref="N2:Q2"/>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74D6C390916B4A8494C33A5D3CA82B" ma:contentTypeVersion="16" ma:contentTypeDescription="Create a new document." ma:contentTypeScope="" ma:versionID="5fec736d704c56b3a5e34d7901886388">
  <xsd:schema xmlns:xsd="http://www.w3.org/2001/XMLSchema" xmlns:xs="http://www.w3.org/2001/XMLSchema" xmlns:p="http://schemas.microsoft.com/office/2006/metadata/properties" xmlns:ns1="http://schemas.microsoft.com/sharepoint/v3" xmlns:ns2="307a12b3-3a39-4e5f-afa6-4629bb16037e" xmlns:ns3="1f0d55de-41a8-442a-939a-8c7a93a15acc" targetNamespace="http://schemas.microsoft.com/office/2006/metadata/properties" ma:root="true" ma:fieldsID="005e28bcc4fde7b9fbbbb684eaded443" ns1:_="" ns2:_="" ns3:_="">
    <xsd:import namespace="http://schemas.microsoft.com/sharepoint/v3"/>
    <xsd:import namespace="307a12b3-3a39-4e5f-afa6-4629bb16037e"/>
    <xsd:import namespace="1f0d55de-41a8-442a-939a-8c7a93a15a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7a12b3-3a39-4e5f-afa6-4629bb160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790f828-4d96-4d10-bc53-6c3febba0be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0d55de-41a8-442a-939a-8c7a93a15ac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438ea2c-1d97-4ed9-8a85-6ab57bb76901}" ma:internalName="TaxCatchAll" ma:showField="CatchAllData" ma:web="1f0d55de-41a8-442a-939a-8c7a93a15ac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AF377D-7BA4-4A53-A63F-AD86569D94C4}">
  <ds:schemaRefs>
    <ds:schemaRef ds:uri="http://schemas.microsoft.com/sharepoint/v3/contenttype/forms"/>
  </ds:schemaRefs>
</ds:datastoreItem>
</file>

<file path=customXml/itemProps2.xml><?xml version="1.0" encoding="utf-8"?>
<ds:datastoreItem xmlns:ds="http://schemas.openxmlformats.org/officeDocument/2006/customXml" ds:itemID="{6BBAC94C-CA7B-49DD-BB1E-7A0247EF0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7a12b3-3a39-4e5f-afa6-4629bb16037e"/>
    <ds:schemaRef ds:uri="1f0d55de-41a8-442a-939a-8c7a93a15a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Projection - base</vt:lpstr>
      <vt:lpstr>Other inputs </vt:lpstr>
      <vt:lpstr>Not to be part of QP---&gt;</vt:lpstr>
      <vt:lpstr>Projection - Scenario 1</vt:lpstr>
      <vt:lpstr>Projection - Scenario 2</vt:lpstr>
      <vt:lpstr>Projection - Scenario 3</vt:lpstr>
      <vt:lpstr>Projection - Scenario 4</vt:lpstr>
      <vt:lpstr>Summary - results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2023-08-29T02:39:12Z</dcterms:created>
  <dcterms:modified xsi:type="dcterms:W3CDTF">2023-12-08T11:13:56Z</dcterms:modified>
</cp:coreProperties>
</file>