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1Harshal\IAI Seminar\"/>
    </mc:Choice>
  </mc:AlternateContent>
  <xr:revisionPtr revIDLastSave="0" documentId="13_ncr:1_{4C67B4D1-7436-40B6-B806-8BCC3A62569E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Year 1" sheetId="1" r:id="rId1"/>
    <sheet name="Year 2" sheetId="3" r:id="rId2"/>
    <sheet name="Inputs" sheetId="13" r:id="rId3"/>
    <sheet name="Working Tabs Council---&gt;" sheetId="14" state="hidden" r:id="rId4"/>
    <sheet name="Rollforward" sheetId="15" state="hidden" r:id="rId5"/>
    <sheet name="Internal Working Tabs----&gt;" sheetId="12" r:id="rId6"/>
    <sheet name="NewBusiness" sheetId="5" r:id="rId7"/>
    <sheet name="Inforce" sheetId="7" r:id="rId8"/>
    <sheet name="Inforce 2" sheetId="11" r:id="rId9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5" l="1"/>
  <c r="AD18" i="5"/>
  <c r="AD19" i="5"/>
  <c r="AD20" i="5"/>
  <c r="AD21" i="5"/>
  <c r="AD22" i="5"/>
  <c r="AD23" i="5"/>
  <c r="AD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C16" i="5"/>
  <c r="AB16" i="5"/>
  <c r="AC15" i="5"/>
  <c r="AB15" i="5"/>
  <c r="AA23" i="5"/>
  <c r="AA22" i="5" s="1"/>
  <c r="AA21" i="5" s="1"/>
  <c r="AA20" i="5" s="1"/>
  <c r="AA19" i="5" s="1"/>
  <c r="AA18" i="5" s="1"/>
  <c r="AA17" i="5" s="1"/>
  <c r="AA16" i="5" s="1"/>
  <c r="F13" i="3"/>
  <c r="F9" i="3"/>
  <c r="C43" i="15"/>
  <c r="C42" i="15"/>
  <c r="C26" i="15"/>
  <c r="C29" i="15" s="1"/>
  <c r="C23" i="15"/>
  <c r="C24" i="15" s="1"/>
  <c r="C16" i="15"/>
  <c r="C15" i="15"/>
  <c r="C9" i="15"/>
  <c r="C8" i="15"/>
  <c r="C40" i="15"/>
  <c r="C43" i="3"/>
  <c r="C42" i="3"/>
  <c r="F18" i="1"/>
  <c r="K23" i="13"/>
  <c r="E27" i="13"/>
  <c r="E22" i="13"/>
  <c r="K25" i="13"/>
  <c r="H25" i="13"/>
  <c r="E26" i="13"/>
  <c r="E25" i="13"/>
  <c r="E24" i="13"/>
  <c r="E23" i="13"/>
  <c r="H23" i="13"/>
  <c r="D27" i="13"/>
  <c r="D26" i="13"/>
  <c r="D25" i="13"/>
  <c r="D24" i="13"/>
  <c r="D23" i="13"/>
  <c r="D22" i="13"/>
  <c r="C27" i="13"/>
  <c r="C26" i="13"/>
  <c r="C25" i="13"/>
  <c r="C24" i="13"/>
  <c r="C23" i="13"/>
  <c r="C22" i="13"/>
  <c r="C31" i="15" l="1"/>
  <c r="C39" i="15"/>
  <c r="H21" i="13"/>
  <c r="C10" i="15" l="1"/>
  <c r="C17" i="15" l="1"/>
  <c r="C14" i="15" l="1"/>
  <c r="L14" i="13"/>
  <c r="F12" i="3"/>
  <c r="I14" i="13"/>
  <c r="E18" i="13"/>
  <c r="E17" i="13"/>
  <c r="E16" i="13"/>
  <c r="E15" i="13"/>
  <c r="E14" i="13"/>
  <c r="E13" i="13"/>
  <c r="D18" i="13"/>
  <c r="D17" i="13"/>
  <c r="D16" i="13"/>
  <c r="D15" i="13"/>
  <c r="D14" i="13"/>
  <c r="D13" i="13"/>
  <c r="C18" i="13"/>
  <c r="C17" i="13"/>
  <c r="C16" i="13"/>
  <c r="C15" i="13"/>
  <c r="C14" i="13"/>
  <c r="L16" i="13" s="1"/>
  <c r="C13" i="13"/>
  <c r="F18" i="13"/>
  <c r="F17" i="13"/>
  <c r="F16" i="13"/>
  <c r="F15" i="13"/>
  <c r="F14" i="13"/>
  <c r="F13" i="13"/>
  <c r="C3" i="11"/>
  <c r="C4" i="11"/>
  <c r="C5" i="11"/>
  <c r="C6" i="11"/>
  <c r="C7" i="11"/>
  <c r="C8" i="11"/>
  <c r="C9" i="11"/>
  <c r="C10" i="11"/>
  <c r="C6" i="15" l="1"/>
  <c r="I16" i="13"/>
  <c r="C47" i="1" s="1"/>
  <c r="I12" i="13"/>
  <c r="L12" i="13"/>
  <c r="C9" i="3"/>
  <c r="C8" i="3"/>
  <c r="C34" i="11"/>
  <c r="C33" i="11"/>
  <c r="C32" i="11"/>
  <c r="C31" i="11"/>
  <c r="C30" i="11"/>
  <c r="C29" i="11"/>
  <c r="C28" i="11"/>
  <c r="A28" i="11"/>
  <c r="A29" i="11" s="1"/>
  <c r="A30" i="11" s="1"/>
  <c r="A31" i="11" s="1"/>
  <c r="A32" i="11" s="1"/>
  <c r="A33" i="11" s="1"/>
  <c r="A34" i="11" s="1"/>
  <c r="I27" i="11"/>
  <c r="C27" i="11"/>
  <c r="J27" i="11" s="1"/>
  <c r="G16" i="11" s="1"/>
  <c r="A17" i="11"/>
  <c r="A18" i="11" s="1"/>
  <c r="A19" i="11" s="1"/>
  <c r="A20" i="11" s="1"/>
  <c r="A21" i="11" s="1"/>
  <c r="A22" i="11" s="1"/>
  <c r="A23" i="11" s="1"/>
  <c r="L16" i="11"/>
  <c r="C16" i="11"/>
  <c r="X17" i="7"/>
  <c r="X18" i="7"/>
  <c r="X19" i="7"/>
  <c r="X20" i="7"/>
  <c r="X21" i="7"/>
  <c r="X22" i="7"/>
  <c r="X23" i="7"/>
  <c r="X16" i="7"/>
  <c r="A29" i="7"/>
  <c r="A30" i="7" s="1"/>
  <c r="A31" i="7" s="1"/>
  <c r="A32" i="7" s="1"/>
  <c r="A33" i="7" s="1"/>
  <c r="A34" i="7" s="1"/>
  <c r="A28" i="7"/>
  <c r="A18" i="7"/>
  <c r="A19" i="7"/>
  <c r="A20" i="7"/>
  <c r="A21" i="7"/>
  <c r="A22" i="7"/>
  <c r="A23" i="7"/>
  <c r="A17" i="7"/>
  <c r="D27" i="11" l="1"/>
  <c r="K27" i="11" s="1"/>
  <c r="D16" i="11"/>
  <c r="F16" i="11" s="1"/>
  <c r="B17" i="11" s="1"/>
  <c r="L17" i="11" l="1"/>
  <c r="C17" i="11"/>
  <c r="D17" i="11" s="1"/>
  <c r="F17" i="11" s="1"/>
  <c r="B18" i="11" s="1"/>
  <c r="J28" i="11"/>
  <c r="G17" i="11" s="1"/>
  <c r="F27" i="11"/>
  <c r="L18" i="11" l="1"/>
  <c r="C18" i="11"/>
  <c r="D18" i="11" s="1"/>
  <c r="J29" i="11"/>
  <c r="G18" i="11" s="1"/>
  <c r="H27" i="11"/>
  <c r="E27" i="11" s="1"/>
  <c r="L27" i="11" s="1"/>
  <c r="F18" i="11" l="1"/>
  <c r="B19" i="11" s="1"/>
  <c r="J30" i="11" s="1"/>
  <c r="G19" i="11" s="1"/>
  <c r="G27" i="11"/>
  <c r="C19" i="11" l="1"/>
  <c r="L19" i="11"/>
  <c r="O27" i="11"/>
  <c r="K16" i="11" s="1"/>
  <c r="N27" i="11"/>
  <c r="J16" i="11" s="1"/>
  <c r="B28" i="11"/>
  <c r="M27" i="11"/>
  <c r="I16" i="11"/>
  <c r="D19" i="11" l="1"/>
  <c r="F19" i="11" s="1"/>
  <c r="B20" i="11" s="1"/>
  <c r="H16" i="11"/>
  <c r="P27" i="11"/>
  <c r="I28" i="11" s="1"/>
  <c r="D28" i="11"/>
  <c r="K28" i="11" l="1"/>
  <c r="L20" i="11"/>
  <c r="J31" i="11"/>
  <c r="G20" i="11" s="1"/>
  <c r="C20" i="11"/>
  <c r="D20" i="11" s="1"/>
  <c r="F28" i="11"/>
  <c r="X16" i="11"/>
  <c r="F20" i="11" l="1"/>
  <c r="B21" i="11" s="1"/>
  <c r="L21" i="11" s="1"/>
  <c r="J32" i="11"/>
  <c r="G21" i="11" s="1"/>
  <c r="H28" i="11"/>
  <c r="E28" i="11" s="1"/>
  <c r="L28" i="11" s="1"/>
  <c r="C21" i="11" l="1"/>
  <c r="D21" i="11" s="1"/>
  <c r="F21" i="11" s="1"/>
  <c r="B22" i="11" s="1"/>
  <c r="J33" i="11" s="1"/>
  <c r="G22" i="11" s="1"/>
  <c r="G28" i="11"/>
  <c r="C22" i="11" l="1"/>
  <c r="D22" i="11" s="1"/>
  <c r="F22" i="11" s="1"/>
  <c r="B23" i="11" s="1"/>
  <c r="L23" i="11" s="1"/>
  <c r="R23" i="11" s="1"/>
  <c r="R22" i="11" s="1"/>
  <c r="R21" i="11" s="1"/>
  <c r="L22" i="11"/>
  <c r="I17" i="11"/>
  <c r="O28" i="11"/>
  <c r="K17" i="11" s="1"/>
  <c r="N28" i="11"/>
  <c r="J17" i="11" s="1"/>
  <c r="M28" i="11"/>
  <c r="B29" i="11"/>
  <c r="J34" i="11" l="1"/>
  <c r="G23" i="11" s="1"/>
  <c r="M23" i="11" s="1"/>
  <c r="M22" i="11" s="1"/>
  <c r="M21" i="11" s="1"/>
  <c r="M20" i="11" s="1"/>
  <c r="M19" i="11" s="1"/>
  <c r="M18" i="11" s="1"/>
  <c r="M17" i="11" s="1"/>
  <c r="M16" i="11" s="1"/>
  <c r="C23" i="11"/>
  <c r="D23" i="11" s="1"/>
  <c r="R20" i="11"/>
  <c r="E23" i="11"/>
  <c r="F23" i="11" s="1"/>
  <c r="D29" i="11"/>
  <c r="K29" i="11" s="1"/>
  <c r="H17" i="11"/>
  <c r="P28" i="11"/>
  <c r="I29" i="11" s="1"/>
  <c r="C23" i="1"/>
  <c r="C16" i="1"/>
  <c r="W17" i="7"/>
  <c r="W18" i="7"/>
  <c r="W19" i="7"/>
  <c r="W20" i="7"/>
  <c r="W21" i="7"/>
  <c r="W22" i="7"/>
  <c r="W23" i="7"/>
  <c r="W16" i="7"/>
  <c r="S17" i="7"/>
  <c r="S18" i="7"/>
  <c r="S19" i="7"/>
  <c r="S20" i="7"/>
  <c r="S21" i="7"/>
  <c r="S22" i="7"/>
  <c r="S23" i="7"/>
  <c r="S16" i="7"/>
  <c r="L16" i="7"/>
  <c r="C16" i="7"/>
  <c r="D16" i="7" s="1"/>
  <c r="C27" i="7"/>
  <c r="C34" i="7"/>
  <c r="C33" i="7"/>
  <c r="C32" i="7"/>
  <c r="C31" i="7"/>
  <c r="C30" i="7"/>
  <c r="C29" i="7"/>
  <c r="C28" i="7"/>
  <c r="I27" i="7"/>
  <c r="L16" i="5"/>
  <c r="C9" i="13" s="1"/>
  <c r="I27" i="5"/>
  <c r="C28" i="5"/>
  <c r="C29" i="5"/>
  <c r="C30" i="5"/>
  <c r="C31" i="5"/>
  <c r="C32" i="5"/>
  <c r="C33" i="5"/>
  <c r="C34" i="5"/>
  <c r="C27" i="5"/>
  <c r="J27" i="5" s="1"/>
  <c r="C16" i="5"/>
  <c r="C18" i="15" l="1"/>
  <c r="C19" i="15" s="1"/>
  <c r="C11" i="15"/>
  <c r="C12" i="15" s="1"/>
  <c r="C18" i="3"/>
  <c r="C11" i="3"/>
  <c r="C15" i="3"/>
  <c r="C16" i="3"/>
  <c r="F10" i="3"/>
  <c r="X17" i="11"/>
  <c r="F29" i="11"/>
  <c r="R19" i="11"/>
  <c r="D27" i="5"/>
  <c r="F27" i="5" s="1"/>
  <c r="H27" i="5" s="1"/>
  <c r="D27" i="7"/>
  <c r="J27" i="7"/>
  <c r="G16" i="7" s="1"/>
  <c r="F16" i="7"/>
  <c r="B17" i="7" s="1"/>
  <c r="L17" i="7" s="1"/>
  <c r="G16" i="5"/>
  <c r="C4" i="13" s="1"/>
  <c r="F14" i="1" s="1"/>
  <c r="D16" i="5"/>
  <c r="F16" i="5" s="1"/>
  <c r="B17" i="5" s="1"/>
  <c r="C21" i="15" l="1"/>
  <c r="C33" i="15" s="1"/>
  <c r="R18" i="11"/>
  <c r="H29" i="11"/>
  <c r="E29" i="11" s="1"/>
  <c r="L29" i="11" s="1"/>
  <c r="K27" i="7"/>
  <c r="F27" i="7"/>
  <c r="J28" i="7"/>
  <c r="G17" i="7" s="1"/>
  <c r="C17" i="7"/>
  <c r="D17" i="7" s="1"/>
  <c r="F17" i="7" s="1"/>
  <c r="B18" i="7" s="1"/>
  <c r="L18" i="7" s="1"/>
  <c r="J28" i="5"/>
  <c r="G17" i="5" s="1"/>
  <c r="C17" i="5"/>
  <c r="D17" i="5" s="1"/>
  <c r="L17" i="5"/>
  <c r="K27" i="5"/>
  <c r="G29" i="11" l="1"/>
  <c r="O29" i="11" s="1"/>
  <c r="R17" i="11"/>
  <c r="J29" i="7"/>
  <c r="G18" i="7" s="1"/>
  <c r="C18" i="7"/>
  <c r="D18" i="7" s="1"/>
  <c r="F18" i="7" s="1"/>
  <c r="B19" i="7" s="1"/>
  <c r="H27" i="7"/>
  <c r="F17" i="5"/>
  <c r="B18" i="5" s="1"/>
  <c r="J29" i="5" s="1"/>
  <c r="G18" i="5" s="1"/>
  <c r="M29" i="11" l="1"/>
  <c r="H18" i="11" s="1"/>
  <c r="N29" i="11"/>
  <c r="J18" i="11" s="1"/>
  <c r="B30" i="11"/>
  <c r="I18" i="11"/>
  <c r="K18" i="11"/>
  <c r="R16" i="11"/>
  <c r="D30" i="11"/>
  <c r="K30" i="11" s="1"/>
  <c r="E27" i="7"/>
  <c r="L27" i="7" s="1"/>
  <c r="L19" i="7"/>
  <c r="C19" i="7"/>
  <c r="D19" i="7" s="1"/>
  <c r="F19" i="7" s="1"/>
  <c r="B20" i="7" s="1"/>
  <c r="J30" i="7"/>
  <c r="G19" i="7" s="1"/>
  <c r="C18" i="5"/>
  <c r="L18" i="5"/>
  <c r="P29" i="11" l="1"/>
  <c r="I30" i="11" s="1"/>
  <c r="X18" i="11"/>
  <c r="F30" i="11"/>
  <c r="G27" i="7"/>
  <c r="B28" i="7" s="1"/>
  <c r="J31" i="7"/>
  <c r="G20" i="7" s="1"/>
  <c r="L20" i="7"/>
  <c r="C20" i="7"/>
  <c r="D18" i="5"/>
  <c r="H30" i="11" l="1"/>
  <c r="E30" i="11" s="1"/>
  <c r="L30" i="11" s="1"/>
  <c r="I16" i="7"/>
  <c r="M27" i="7"/>
  <c r="H16" i="7" s="1"/>
  <c r="N27" i="7"/>
  <c r="J16" i="7" s="1"/>
  <c r="O27" i="7"/>
  <c r="K16" i="7" s="1"/>
  <c r="D28" i="7"/>
  <c r="K28" i="7" s="1"/>
  <c r="D20" i="7"/>
  <c r="F20" i="7" s="1"/>
  <c r="B21" i="7" s="1"/>
  <c r="F18" i="5"/>
  <c r="B19" i="5" s="1"/>
  <c r="G30" i="11" l="1"/>
  <c r="O30" i="11" s="1"/>
  <c r="K19" i="11" s="1"/>
  <c r="P27" i="7"/>
  <c r="I28" i="7" s="1"/>
  <c r="C21" i="1"/>
  <c r="C20" i="1"/>
  <c r="F28" i="7"/>
  <c r="H28" i="7" s="1"/>
  <c r="E28" i="7" s="1"/>
  <c r="L28" i="7" s="1"/>
  <c r="J32" i="7"/>
  <c r="G21" i="7" s="1"/>
  <c r="C21" i="7"/>
  <c r="D21" i="7" s="1"/>
  <c r="F21" i="7" s="1"/>
  <c r="B22" i="7" s="1"/>
  <c r="L21" i="7"/>
  <c r="C19" i="5"/>
  <c r="L19" i="5"/>
  <c r="J30" i="5"/>
  <c r="G19" i="5" s="1"/>
  <c r="B31" i="11" l="1"/>
  <c r="D31" i="11" s="1"/>
  <c r="K31" i="11" s="1"/>
  <c r="I19" i="11"/>
  <c r="M30" i="11"/>
  <c r="H19" i="11" s="1"/>
  <c r="N30" i="11"/>
  <c r="J19" i="11" s="1"/>
  <c r="L22" i="7"/>
  <c r="C22" i="7"/>
  <c r="J33" i="7"/>
  <c r="G22" i="7" s="1"/>
  <c r="G28" i="7"/>
  <c r="D19" i="5"/>
  <c r="P30" i="11" l="1"/>
  <c r="I31" i="11" s="1"/>
  <c r="X19" i="11"/>
  <c r="F31" i="11"/>
  <c r="B29" i="7"/>
  <c r="O28" i="7"/>
  <c r="K17" i="7" s="1"/>
  <c r="N28" i="7"/>
  <c r="J17" i="7" s="1"/>
  <c r="M28" i="7"/>
  <c r="I17" i="7"/>
  <c r="D22" i="7"/>
  <c r="F22" i="7" s="1"/>
  <c r="B23" i="7" s="1"/>
  <c r="F19" i="5"/>
  <c r="B20" i="5" s="1"/>
  <c r="C20" i="5" s="1"/>
  <c r="H31" i="11" l="1"/>
  <c r="E31" i="11" s="1"/>
  <c r="L31" i="11" s="1"/>
  <c r="C23" i="7"/>
  <c r="L23" i="7"/>
  <c r="J34" i="7"/>
  <c r="G23" i="7" s="1"/>
  <c r="M23" i="7" s="1"/>
  <c r="H17" i="7"/>
  <c r="P28" i="7"/>
  <c r="I29" i="7" s="1"/>
  <c r="D29" i="7"/>
  <c r="K29" i="7" s="1"/>
  <c r="J31" i="5"/>
  <c r="G20" i="5" s="1"/>
  <c r="L20" i="5"/>
  <c r="D20" i="5"/>
  <c r="R23" i="7" l="1"/>
  <c r="G31" i="11"/>
  <c r="M22" i="7"/>
  <c r="D23" i="7"/>
  <c r="F29" i="7"/>
  <c r="F20" i="5"/>
  <c r="B21" i="5" s="1"/>
  <c r="R22" i="7" l="1"/>
  <c r="T23" i="7"/>
  <c r="O31" i="11"/>
  <c r="K20" i="11" s="1"/>
  <c r="N31" i="11"/>
  <c r="J20" i="11" s="1"/>
  <c r="M31" i="11"/>
  <c r="I20" i="11"/>
  <c r="B32" i="11"/>
  <c r="E23" i="7"/>
  <c r="F23" i="7" s="1"/>
  <c r="M21" i="7"/>
  <c r="H29" i="7"/>
  <c r="E29" i="7" s="1"/>
  <c r="L29" i="7" s="1"/>
  <c r="L21" i="5"/>
  <c r="C21" i="5"/>
  <c r="J32" i="5"/>
  <c r="G21" i="5" s="1"/>
  <c r="U23" i="7" l="1"/>
  <c r="V23" i="7"/>
  <c r="R21" i="7"/>
  <c r="T22" i="7"/>
  <c r="H20" i="11"/>
  <c r="P31" i="11"/>
  <c r="I32" i="11" s="1"/>
  <c r="D32" i="11"/>
  <c r="K32" i="11" s="1"/>
  <c r="G29" i="7"/>
  <c r="M20" i="7"/>
  <c r="D21" i="5"/>
  <c r="U22" i="7" l="1"/>
  <c r="V22" i="7"/>
  <c r="R20" i="7"/>
  <c r="T21" i="7"/>
  <c r="F32" i="11"/>
  <c r="X20" i="11"/>
  <c r="M19" i="7"/>
  <c r="B30" i="7"/>
  <c r="O29" i="7"/>
  <c r="K18" i="7" s="1"/>
  <c r="N29" i="7"/>
  <c r="J18" i="7" s="1"/>
  <c r="I18" i="7"/>
  <c r="M29" i="7"/>
  <c r="F21" i="5"/>
  <c r="B22" i="5" s="1"/>
  <c r="R19" i="7" l="1"/>
  <c r="T20" i="7"/>
  <c r="U21" i="7"/>
  <c r="V21" i="7"/>
  <c r="H32" i="11"/>
  <c r="E32" i="11" s="1"/>
  <c r="L32" i="11" s="1"/>
  <c r="D30" i="7"/>
  <c r="K30" i="7" s="1"/>
  <c r="H18" i="7"/>
  <c r="P29" i="7"/>
  <c r="I30" i="7" s="1"/>
  <c r="M18" i="7"/>
  <c r="C22" i="5"/>
  <c r="D22" i="5" s="1"/>
  <c r="L22" i="5"/>
  <c r="J33" i="5"/>
  <c r="G22" i="5" s="1"/>
  <c r="U20" i="7" l="1"/>
  <c r="V20" i="7"/>
  <c r="R18" i="7"/>
  <c r="T19" i="7"/>
  <c r="G32" i="11"/>
  <c r="F30" i="7"/>
  <c r="M17" i="7"/>
  <c r="F22" i="5"/>
  <c r="B23" i="5" s="1"/>
  <c r="R17" i="7" l="1"/>
  <c r="T18" i="7"/>
  <c r="U19" i="7"/>
  <c r="V19" i="7"/>
  <c r="O32" i="11"/>
  <c r="K21" i="11" s="1"/>
  <c r="N32" i="11"/>
  <c r="J21" i="11" s="1"/>
  <c r="M32" i="11"/>
  <c r="I21" i="11"/>
  <c r="B33" i="11"/>
  <c r="M16" i="7"/>
  <c r="H30" i="7"/>
  <c r="E30" i="7" s="1"/>
  <c r="L30" i="7" s="1"/>
  <c r="L23" i="5"/>
  <c r="R23" i="5" s="1"/>
  <c r="C23" i="5"/>
  <c r="D23" i="5" s="1"/>
  <c r="J34" i="5"/>
  <c r="G23" i="5" s="1"/>
  <c r="M23" i="5" s="1"/>
  <c r="M22" i="5" s="1"/>
  <c r="M21" i="5" s="1"/>
  <c r="M20" i="5" s="1"/>
  <c r="M19" i="5" s="1"/>
  <c r="M18" i="5" s="1"/>
  <c r="M17" i="5" s="1"/>
  <c r="M16" i="5" l="1"/>
  <c r="D4" i="13" s="1"/>
  <c r="E4" i="13"/>
  <c r="U18" i="7"/>
  <c r="V18" i="7"/>
  <c r="R16" i="7"/>
  <c r="T16" i="7" s="1"/>
  <c r="T17" i="7"/>
  <c r="D33" i="11"/>
  <c r="K33" i="11" s="1"/>
  <c r="H21" i="11"/>
  <c r="P32" i="11"/>
  <c r="I33" i="11" s="1"/>
  <c r="R22" i="5"/>
  <c r="G30" i="7"/>
  <c r="E23" i="5"/>
  <c r="F23" i="5" s="1"/>
  <c r="U16" i="7" l="1"/>
  <c r="V16" i="7"/>
  <c r="U17" i="7"/>
  <c r="V17" i="7"/>
  <c r="X21" i="11"/>
  <c r="F33" i="11"/>
  <c r="R21" i="5"/>
  <c r="B31" i="7"/>
  <c r="I19" i="7"/>
  <c r="O30" i="7"/>
  <c r="K19" i="7" s="1"/>
  <c r="M30" i="7"/>
  <c r="N30" i="7"/>
  <c r="J19" i="7" s="1"/>
  <c r="H33" i="11" l="1"/>
  <c r="E33" i="11" s="1"/>
  <c r="L33" i="11" s="1"/>
  <c r="R20" i="5"/>
  <c r="H19" i="7"/>
  <c r="P30" i="7"/>
  <c r="I31" i="7" s="1"/>
  <c r="D31" i="7"/>
  <c r="K31" i="7" s="1"/>
  <c r="G33" i="11" l="1"/>
  <c r="R19" i="5"/>
  <c r="F31" i="7"/>
  <c r="H31" i="7" s="1"/>
  <c r="E31" i="7" s="1"/>
  <c r="L31" i="7" s="1"/>
  <c r="I22" i="11" l="1"/>
  <c r="O33" i="11"/>
  <c r="K22" i="11" s="1"/>
  <c r="B34" i="11"/>
  <c r="N33" i="11"/>
  <c r="J22" i="11" s="1"/>
  <c r="M33" i="11"/>
  <c r="R18" i="5"/>
  <c r="G31" i="7"/>
  <c r="H22" i="11" l="1"/>
  <c r="P33" i="11"/>
  <c r="I34" i="11" s="1"/>
  <c r="D34" i="11"/>
  <c r="K34" i="11" s="1"/>
  <c r="R17" i="5"/>
  <c r="E9" i="13" s="1"/>
  <c r="M31" i="7"/>
  <c r="B32" i="7"/>
  <c r="I20" i="7"/>
  <c r="O31" i="7"/>
  <c r="K20" i="7" s="1"/>
  <c r="N31" i="7"/>
  <c r="J20" i="7" s="1"/>
  <c r="F34" i="11" l="1"/>
  <c r="X22" i="11"/>
  <c r="R16" i="5"/>
  <c r="D9" i="13" s="1"/>
  <c r="D32" i="7"/>
  <c r="K32" i="7" s="1"/>
  <c r="H20" i="7"/>
  <c r="P31" i="7"/>
  <c r="I32" i="7" s="1"/>
  <c r="H34" i="11" l="1"/>
  <c r="E34" i="11" s="1"/>
  <c r="L34" i="11" s="1"/>
  <c r="F32" i="7"/>
  <c r="G34" i="11" l="1"/>
  <c r="H32" i="7"/>
  <c r="E32" i="7" s="1"/>
  <c r="L32" i="7" s="1"/>
  <c r="O34" i="11" l="1"/>
  <c r="K23" i="11" s="1"/>
  <c r="Q23" i="11" s="1"/>
  <c r="Q22" i="11" s="1"/>
  <c r="Q21" i="11" s="1"/>
  <c r="Q20" i="11" s="1"/>
  <c r="Q19" i="11" s="1"/>
  <c r="Q18" i="11" s="1"/>
  <c r="Q17" i="11" s="1"/>
  <c r="Q16" i="11" s="1"/>
  <c r="N34" i="11"/>
  <c r="J23" i="11" s="1"/>
  <c r="P23" i="11" s="1"/>
  <c r="P22" i="11" s="1"/>
  <c r="P21" i="11" s="1"/>
  <c r="P20" i="11" s="1"/>
  <c r="P19" i="11" s="1"/>
  <c r="P18" i="11" s="1"/>
  <c r="P17" i="11" s="1"/>
  <c r="P16" i="11" s="1"/>
  <c r="M34" i="11"/>
  <c r="I23" i="11"/>
  <c r="O23" i="11" s="1"/>
  <c r="G32" i="7"/>
  <c r="T23" i="11" l="1"/>
  <c r="O22" i="11"/>
  <c r="H23" i="11"/>
  <c r="P34" i="11"/>
  <c r="N32" i="7"/>
  <c r="J21" i="7" s="1"/>
  <c r="M32" i="7"/>
  <c r="B33" i="7"/>
  <c r="I21" i="7"/>
  <c r="O32" i="7"/>
  <c r="K21" i="7" s="1"/>
  <c r="N23" i="11" l="1"/>
  <c r="X23" i="11"/>
  <c r="T22" i="11"/>
  <c r="O21" i="11"/>
  <c r="H21" i="7"/>
  <c r="P32" i="7"/>
  <c r="I33" i="7" s="1"/>
  <c r="D33" i="7"/>
  <c r="K33" i="7" s="1"/>
  <c r="T21" i="11" l="1"/>
  <c r="O20" i="11"/>
  <c r="W23" i="11"/>
  <c r="S23" i="11"/>
  <c r="N22" i="11"/>
  <c r="F33" i="7"/>
  <c r="V23" i="11" l="1"/>
  <c r="U23" i="11"/>
  <c r="T20" i="11"/>
  <c r="O19" i="11"/>
  <c r="S22" i="11"/>
  <c r="W22" i="11"/>
  <c r="N21" i="11"/>
  <c r="H33" i="7"/>
  <c r="E33" i="7" s="1"/>
  <c r="L33" i="7" s="1"/>
  <c r="S21" i="11" l="1"/>
  <c r="W21" i="11"/>
  <c r="N20" i="11"/>
  <c r="V22" i="11"/>
  <c r="U22" i="11"/>
  <c r="T19" i="11"/>
  <c r="O18" i="11"/>
  <c r="G33" i="7"/>
  <c r="S20" i="11" l="1"/>
  <c r="W20" i="11"/>
  <c r="N19" i="11"/>
  <c r="O17" i="11"/>
  <c r="T18" i="11"/>
  <c r="U21" i="11"/>
  <c r="V21" i="11"/>
  <c r="O33" i="7"/>
  <c r="K22" i="7" s="1"/>
  <c r="N33" i="7"/>
  <c r="J22" i="7" s="1"/>
  <c r="M33" i="7"/>
  <c r="I22" i="7"/>
  <c r="B34" i="7"/>
  <c r="S19" i="11" l="1"/>
  <c r="W19" i="11"/>
  <c r="N18" i="11"/>
  <c r="O16" i="11"/>
  <c r="T16" i="11" s="1"/>
  <c r="T17" i="11"/>
  <c r="V20" i="11"/>
  <c r="U20" i="11"/>
  <c r="D34" i="7"/>
  <c r="K34" i="7" s="1"/>
  <c r="H22" i="7"/>
  <c r="P33" i="7"/>
  <c r="I34" i="7" s="1"/>
  <c r="S18" i="11" l="1"/>
  <c r="W18" i="11"/>
  <c r="N17" i="11"/>
  <c r="V19" i="11"/>
  <c r="U19" i="11"/>
  <c r="F34" i="7"/>
  <c r="W17" i="11" l="1"/>
  <c r="S17" i="11"/>
  <c r="V17" i="11" s="1"/>
  <c r="N16" i="11"/>
  <c r="U18" i="11"/>
  <c r="V18" i="11"/>
  <c r="H34" i="7"/>
  <c r="E34" i="7" s="1"/>
  <c r="L34" i="7" s="1"/>
  <c r="F11" i="3" l="1"/>
  <c r="U17" i="11"/>
  <c r="W16" i="11"/>
  <c r="S16" i="11"/>
  <c r="G34" i="7"/>
  <c r="F15" i="3" l="1"/>
  <c r="V16" i="11"/>
  <c r="U16" i="11"/>
  <c r="O34" i="7"/>
  <c r="K23" i="7" s="1"/>
  <c r="Q23" i="7" s="1"/>
  <c r="Q22" i="7" s="1"/>
  <c r="Q21" i="7" s="1"/>
  <c r="Q20" i="7" s="1"/>
  <c r="Q19" i="7" s="1"/>
  <c r="Q18" i="7" s="1"/>
  <c r="Q17" i="7" s="1"/>
  <c r="Q16" i="7" s="1"/>
  <c r="N34" i="7"/>
  <c r="J23" i="7" s="1"/>
  <c r="P23" i="7" s="1"/>
  <c r="P22" i="7" s="1"/>
  <c r="P21" i="7" s="1"/>
  <c r="P20" i="7" s="1"/>
  <c r="P19" i="7" s="1"/>
  <c r="P18" i="7" s="1"/>
  <c r="P17" i="7" s="1"/>
  <c r="P16" i="7" s="1"/>
  <c r="I23" i="7"/>
  <c r="O23" i="7" s="1"/>
  <c r="O22" i="7" s="1"/>
  <c r="O21" i="7" s="1"/>
  <c r="O20" i="7" s="1"/>
  <c r="O19" i="7" s="1"/>
  <c r="O18" i="7" s="1"/>
  <c r="O17" i="7" s="1"/>
  <c r="O16" i="7" s="1"/>
  <c r="M34" i="7"/>
  <c r="H23" i="7" l="1"/>
  <c r="N23" i="7" s="1"/>
  <c r="P34" i="7"/>
  <c r="N22" i="7" l="1"/>
  <c r="N21" i="7" l="1"/>
  <c r="N20" i="7" l="1"/>
  <c r="N19" i="7" l="1"/>
  <c r="N18" i="7" l="1"/>
  <c r="N17" i="7" l="1"/>
  <c r="N16" i="7" l="1"/>
  <c r="C26" i="3" l="1"/>
  <c r="C29" i="3" s="1"/>
  <c r="C23" i="3"/>
  <c r="C24" i="3" s="1"/>
  <c r="C31" i="1"/>
  <c r="C34" i="1" s="1"/>
  <c r="C28" i="1"/>
  <c r="C29" i="1" s="1"/>
  <c r="C31" i="3" l="1"/>
  <c r="C36" i="1"/>
  <c r="E27" i="5" l="1"/>
  <c r="L27" i="5" l="1"/>
  <c r="G27" i="5"/>
  <c r="I16" i="5" s="1"/>
  <c r="C6" i="13" s="1"/>
  <c r="M27" i="5" l="1"/>
  <c r="H16" i="5" s="1"/>
  <c r="C5" i="13" s="1"/>
  <c r="B28" i="5"/>
  <c r="N27" i="5"/>
  <c r="J16" i="5" s="1"/>
  <c r="C7" i="13" s="1"/>
  <c r="O27" i="5"/>
  <c r="K16" i="5" s="1"/>
  <c r="C8" i="13" s="1"/>
  <c r="F15" i="1" l="1"/>
  <c r="K5" i="13"/>
  <c r="C48" i="1" s="1"/>
  <c r="W16" i="5"/>
  <c r="C13" i="1"/>
  <c r="P27" i="5"/>
  <c r="I28" i="5" s="1"/>
  <c r="D28" i="5"/>
  <c r="K28" i="5" s="1"/>
  <c r="C14" i="1"/>
  <c r="F28" i="5" l="1"/>
  <c r="H28" i="5" s="1"/>
  <c r="E28" i="5" l="1"/>
  <c r="L28" i="5" s="1"/>
  <c r="G28" i="5" l="1"/>
  <c r="I17" i="5" l="1"/>
  <c r="M28" i="5"/>
  <c r="B29" i="5"/>
  <c r="O28" i="5"/>
  <c r="K17" i="5" s="1"/>
  <c r="N28" i="5"/>
  <c r="J17" i="5" s="1"/>
  <c r="D29" i="5" l="1"/>
  <c r="K29" i="5" s="1"/>
  <c r="H17" i="5"/>
  <c r="W17" i="5" s="1"/>
  <c r="P28" i="5"/>
  <c r="I29" i="5" s="1"/>
  <c r="F29" i="5" l="1"/>
  <c r="H29" i="5" s="1"/>
  <c r="E29" i="5" l="1"/>
  <c r="L29" i="5" s="1"/>
  <c r="G29" i="5" l="1"/>
  <c r="I18" i="5" l="1"/>
  <c r="O29" i="5"/>
  <c r="K18" i="5" s="1"/>
  <c r="M29" i="5"/>
  <c r="B30" i="5"/>
  <c r="N29" i="5"/>
  <c r="J18" i="5" s="1"/>
  <c r="D30" i="5" l="1"/>
  <c r="K30" i="5" s="1"/>
  <c r="H18" i="5"/>
  <c r="W18" i="5" s="1"/>
  <c r="P29" i="5"/>
  <c r="I30" i="5" s="1"/>
  <c r="F30" i="5" l="1"/>
  <c r="H30" i="5" s="1"/>
  <c r="E30" i="5" s="1"/>
  <c r="L30" i="5" s="1"/>
  <c r="G30" i="5" l="1"/>
  <c r="I19" i="5" s="1"/>
  <c r="B31" i="5" l="1"/>
  <c r="D31" i="5" s="1"/>
  <c r="F31" i="5" s="1"/>
  <c r="H31" i="5" s="1"/>
  <c r="E31" i="5" s="1"/>
  <c r="L31" i="5" s="1"/>
  <c r="N30" i="5"/>
  <c r="J19" i="5" s="1"/>
  <c r="O30" i="5"/>
  <c r="K19" i="5" s="1"/>
  <c r="M30" i="5"/>
  <c r="H19" i="5"/>
  <c r="P30" i="5" l="1"/>
  <c r="I31" i="5" s="1"/>
  <c r="W19" i="5"/>
  <c r="K31" i="5"/>
  <c r="G31" i="5"/>
  <c r="I20" i="5" l="1"/>
  <c r="O31" i="5"/>
  <c r="K20" i="5" s="1"/>
  <c r="B32" i="5"/>
  <c r="M31" i="5"/>
  <c r="N31" i="5"/>
  <c r="J20" i="5" s="1"/>
  <c r="D32" i="5" l="1"/>
  <c r="F32" i="5" s="1"/>
  <c r="H32" i="5" s="1"/>
  <c r="H20" i="5"/>
  <c r="W20" i="5" s="1"/>
  <c r="P31" i="5"/>
  <c r="I32" i="5" s="1"/>
  <c r="K32" i="5" l="1"/>
  <c r="E32" i="5"/>
  <c r="L32" i="5" s="1"/>
  <c r="G32" i="5" l="1"/>
  <c r="I21" i="5" l="1"/>
  <c r="M32" i="5"/>
  <c r="O32" i="5"/>
  <c r="K21" i="5" s="1"/>
  <c r="N32" i="5"/>
  <c r="J21" i="5" s="1"/>
  <c r="B33" i="5"/>
  <c r="D33" i="5" l="1"/>
  <c r="K33" i="5" s="1"/>
  <c r="H21" i="5"/>
  <c r="W21" i="5" s="1"/>
  <c r="P32" i="5"/>
  <c r="I33" i="5" s="1"/>
  <c r="F33" i="5" l="1"/>
  <c r="H33" i="5" s="1"/>
  <c r="E33" i="5" l="1"/>
  <c r="L33" i="5" s="1"/>
  <c r="G33" i="5" l="1"/>
  <c r="I22" i="5" l="1"/>
  <c r="M33" i="5"/>
  <c r="O33" i="5"/>
  <c r="K22" i="5" s="1"/>
  <c r="B34" i="5"/>
  <c r="N33" i="5"/>
  <c r="J22" i="5" s="1"/>
  <c r="H22" i="5" l="1"/>
  <c r="W22" i="5" s="1"/>
  <c r="P33" i="5"/>
  <c r="I34" i="5" s="1"/>
  <c r="D34" i="5"/>
  <c r="K34" i="5" s="1"/>
  <c r="F34" i="5" l="1"/>
  <c r="H34" i="5" s="1"/>
  <c r="E34" i="5" s="1"/>
  <c r="L34" i="5" l="1"/>
  <c r="X23" i="5" s="1"/>
  <c r="X22" i="5" s="1"/>
  <c r="X21" i="5" s="1"/>
  <c r="X20" i="5" s="1"/>
  <c r="X19" i="5" s="1"/>
  <c r="X18" i="5" s="1"/>
  <c r="X17" i="5" s="1"/>
  <c r="X16" i="5" s="1"/>
  <c r="G34" i="5"/>
  <c r="I23" i="5" s="1"/>
  <c r="O23" i="5" s="1"/>
  <c r="M34" i="5" l="1"/>
  <c r="H23" i="5" s="1"/>
  <c r="O34" i="5"/>
  <c r="K23" i="5" s="1"/>
  <c r="Q23" i="5" s="1"/>
  <c r="Q22" i="5" s="1"/>
  <c r="Q21" i="5" s="1"/>
  <c r="Q20" i="5" s="1"/>
  <c r="Q19" i="5" s="1"/>
  <c r="Q18" i="5" s="1"/>
  <c r="Q17" i="5" s="1"/>
  <c r="O22" i="5"/>
  <c r="T23" i="5"/>
  <c r="N34" i="5"/>
  <c r="J23" i="5" s="1"/>
  <c r="P23" i="5" s="1"/>
  <c r="P22" i="5" s="1"/>
  <c r="P21" i="5" s="1"/>
  <c r="P20" i="5" s="1"/>
  <c r="P19" i="5" s="1"/>
  <c r="P18" i="5" s="1"/>
  <c r="P17" i="5" s="1"/>
  <c r="P34" i="5" l="1"/>
  <c r="P16" i="5"/>
  <c r="D7" i="13" s="1"/>
  <c r="E7" i="13"/>
  <c r="Q16" i="5"/>
  <c r="D8" i="13" s="1"/>
  <c r="E8" i="13"/>
  <c r="N23" i="5"/>
  <c r="S23" i="5" s="1"/>
  <c r="W23" i="5"/>
  <c r="O21" i="5"/>
  <c r="T22" i="5"/>
  <c r="V23" i="5" l="1"/>
  <c r="Y23" i="5"/>
  <c r="U23" i="5"/>
  <c r="N22" i="5"/>
  <c r="S22" i="5" s="1"/>
  <c r="O20" i="5"/>
  <c r="T21" i="5"/>
  <c r="N21" i="5"/>
  <c r="S21" i="5" s="1"/>
  <c r="Y21" i="5" s="1"/>
  <c r="U22" i="5" l="1"/>
  <c r="Y22" i="5"/>
  <c r="V22" i="5"/>
  <c r="V21" i="5"/>
  <c r="U21" i="5"/>
  <c r="O19" i="5"/>
  <c r="T20" i="5"/>
  <c r="N20" i="5"/>
  <c r="S20" i="5" s="1"/>
  <c r="Y20" i="5" s="1"/>
  <c r="V20" i="5" l="1"/>
  <c r="U20" i="5"/>
  <c r="O18" i="5"/>
  <c r="T19" i="5"/>
  <c r="N19" i="5"/>
  <c r="S19" i="5" s="1"/>
  <c r="Y19" i="5" s="1"/>
  <c r="V19" i="5" l="1"/>
  <c r="U19" i="5"/>
  <c r="O17" i="5"/>
  <c r="E6" i="13" s="1"/>
  <c r="T18" i="5"/>
  <c r="N18" i="5"/>
  <c r="S18" i="5" s="1"/>
  <c r="Y18" i="5" s="1"/>
  <c r="V18" i="5" l="1"/>
  <c r="U18" i="5"/>
  <c r="O16" i="5"/>
  <c r="T17" i="5"/>
  <c r="N17" i="5"/>
  <c r="S17" i="5" l="1"/>
  <c r="Y17" i="5" s="1"/>
  <c r="E5" i="13"/>
  <c r="K3" i="13" s="1"/>
  <c r="F16" i="1" s="1"/>
  <c r="T16" i="5"/>
  <c r="D6" i="13"/>
  <c r="V17" i="5"/>
  <c r="U17" i="5"/>
  <c r="N16" i="5"/>
  <c r="S16" i="5" l="1"/>
  <c r="Y16" i="5" s="1"/>
  <c r="D5" i="13"/>
  <c r="H3" i="13" s="1"/>
  <c r="C3" i="1" s="1"/>
  <c r="C5" i="1" s="1"/>
  <c r="F11" i="1" s="1"/>
  <c r="U16" i="5" l="1"/>
  <c r="V16" i="5"/>
  <c r="H5" i="13" s="1"/>
  <c r="F17" i="1" s="1"/>
  <c r="F20" i="1" s="1"/>
  <c r="C45" i="1"/>
  <c r="C44" i="1"/>
  <c r="C46" i="1" l="1"/>
  <c r="F21" i="1" s="1"/>
  <c r="F22" i="1" s="1"/>
  <c r="C19" i="1"/>
  <c r="F24" i="1" l="1"/>
  <c r="F25" i="1" s="1"/>
  <c r="F26" i="1" s="1"/>
  <c r="C11" i="1" s="1"/>
  <c r="C22" i="1"/>
  <c r="C24" i="1" s="1"/>
  <c r="C15" i="1"/>
  <c r="C17" i="1" l="1"/>
  <c r="F27" i="1"/>
  <c r="F6" i="3" s="1"/>
  <c r="C39" i="3" s="1"/>
  <c r="C26" i="1"/>
  <c r="C38" i="1" s="1"/>
  <c r="C40" i="3" l="1"/>
  <c r="F16" i="3"/>
  <c r="F17" i="3" l="1"/>
  <c r="C10" i="3" s="1"/>
  <c r="C17" i="3" l="1"/>
  <c r="F19" i="3"/>
  <c r="F20" i="3" s="1"/>
  <c r="C14" i="3" l="1"/>
  <c r="C19" i="3" s="1"/>
  <c r="F21" i="3"/>
  <c r="C6" i="3" s="1"/>
  <c r="C12" i="3" s="1"/>
  <c r="C21" i="3" l="1"/>
  <c r="C33" i="3" s="1"/>
  <c r="F22" i="3"/>
</calcChain>
</file>

<file path=xl/sharedStrings.xml><?xml version="1.0" encoding="utf-8"?>
<sst xmlns="http://schemas.openxmlformats.org/spreadsheetml/2006/main" count="451" uniqueCount="112">
  <si>
    <t>INSURANCE PROFIT AND LOSS</t>
  </si>
  <si>
    <t>CSM / LC ROLLFORWARD</t>
  </si>
  <si>
    <t>Particulars</t>
  </si>
  <si>
    <t>Values</t>
  </si>
  <si>
    <t>Rollforward Items</t>
  </si>
  <si>
    <t>CSM recognised for services provided</t>
  </si>
  <si>
    <t>Opening Csm / (Lc)</t>
  </si>
  <si>
    <t xml:space="preserve">Change in RA for non- financial risk for expired risk. </t>
  </si>
  <si>
    <t>Release of expected incurred claims and other insurance service expenses</t>
  </si>
  <si>
    <t>Less : Release of Investment Component</t>
  </si>
  <si>
    <t>Acquisition cashflows experience variance</t>
  </si>
  <si>
    <t>Loss component Allocated to P&amp;L</t>
  </si>
  <si>
    <t>Investment Component Experience Variance</t>
  </si>
  <si>
    <t>Recovery of insurance acquisition cash flows</t>
  </si>
  <si>
    <t xml:space="preserve">Insurance Service Revenue </t>
  </si>
  <si>
    <t>Interest Unwind</t>
  </si>
  <si>
    <t>Actual Expenses Incurred</t>
  </si>
  <si>
    <t>Fair Value Change</t>
  </si>
  <si>
    <t>Less : Investment Component</t>
  </si>
  <si>
    <t>Amortisation of insurance acquisition cash flows</t>
  </si>
  <si>
    <t>Insurance Service Expenses</t>
  </si>
  <si>
    <t>CSM / (Lc) after allowing for Adjustments</t>
  </si>
  <si>
    <t>Insurance Service Result</t>
  </si>
  <si>
    <t>Closing CSM / (Lc)</t>
  </si>
  <si>
    <t>Investment income - underlying assets - amounts recognised in profit or loss</t>
  </si>
  <si>
    <t>Investment Finance Income (IFRS 9)</t>
  </si>
  <si>
    <t>Changes in fair value of underlying items of insurance contracts with direct participating features</t>
  </si>
  <si>
    <t>Changes in fair value of underlying items or fulfilment cash flows that do not adjust the CSM Interest accreted</t>
  </si>
  <si>
    <t>Effect of changes in interest rates and other financial assumptions</t>
  </si>
  <si>
    <t>Investment Finance Expenses</t>
  </si>
  <si>
    <t>Finance income/ expenses from insurance contracts (net)</t>
  </si>
  <si>
    <t>Profit / (Loss) for the period</t>
  </si>
  <si>
    <t>Actual</t>
  </si>
  <si>
    <t>Interest Accretion on Csm/Lc</t>
  </si>
  <si>
    <t>Impact of Changes in BEL</t>
  </si>
  <si>
    <t>Total Adjustments</t>
  </si>
  <si>
    <t>Lc Open</t>
  </si>
  <si>
    <t>Interest on Lc</t>
  </si>
  <si>
    <t>Lc Adjustments</t>
  </si>
  <si>
    <t>PV Net Closing Outflows</t>
  </si>
  <si>
    <t>Net Expected Outflows from IM</t>
  </si>
  <si>
    <t>Lc Release</t>
  </si>
  <si>
    <t>Csm Amortisation factor</t>
  </si>
  <si>
    <t>CSM recognised</t>
  </si>
  <si>
    <t>VFA ONEROUS CONTRACT TO PROFITABLE</t>
  </si>
  <si>
    <t>VFA PROFITABLE CONTRACT TO ONEROUS</t>
  </si>
  <si>
    <t>Loss Component created during the period</t>
  </si>
  <si>
    <t>Premiums</t>
  </si>
  <si>
    <t>Surrender Benefit</t>
  </si>
  <si>
    <t>Maturity Benefit</t>
  </si>
  <si>
    <t>Expenses</t>
  </si>
  <si>
    <t>Ui</t>
  </si>
  <si>
    <t>NonUi</t>
  </si>
  <si>
    <t>BEL</t>
  </si>
  <si>
    <t>Cashflows</t>
  </si>
  <si>
    <t>Present Values</t>
  </si>
  <si>
    <t>Net Outflows</t>
  </si>
  <si>
    <t>Assumptions</t>
  </si>
  <si>
    <t>Mortality</t>
  </si>
  <si>
    <t>Lapse</t>
  </si>
  <si>
    <t>Interest</t>
  </si>
  <si>
    <t>Mortality Charges</t>
  </si>
  <si>
    <t>Benefit</t>
  </si>
  <si>
    <t>Fund earning rate</t>
  </si>
  <si>
    <t>Period</t>
  </si>
  <si>
    <t>IF</t>
  </si>
  <si>
    <t>Deaths</t>
  </si>
  <si>
    <t>Surrender</t>
  </si>
  <si>
    <t>Maturities</t>
  </si>
  <si>
    <t>IF Start</t>
  </si>
  <si>
    <t>IF End</t>
  </si>
  <si>
    <t xml:space="preserve">Underlying Fund Cashflows - </t>
  </si>
  <si>
    <t>Opening Fund</t>
  </si>
  <si>
    <t>Premiums received</t>
  </si>
  <si>
    <t>Charges</t>
  </si>
  <si>
    <t xml:space="preserve">Closing Fund </t>
  </si>
  <si>
    <t>End Balance</t>
  </si>
  <si>
    <t>Surrenders</t>
  </si>
  <si>
    <t>Death Benefits</t>
  </si>
  <si>
    <t>Interest Accretion</t>
  </si>
  <si>
    <t>Death Benefit Paid Out</t>
  </si>
  <si>
    <t>SAR</t>
  </si>
  <si>
    <t>FMC</t>
  </si>
  <si>
    <t>Mortality Charge</t>
  </si>
  <si>
    <t>qx</t>
  </si>
  <si>
    <t>Max(Premiums paid till date, 1.1*Unit Fund)</t>
  </si>
  <si>
    <t>Changed Assumptions</t>
  </si>
  <si>
    <t>Net PV Outflows</t>
  </si>
  <si>
    <t>Actual 1</t>
  </si>
  <si>
    <t>Actual 2</t>
  </si>
  <si>
    <t>↓</t>
  </si>
  <si>
    <t>↑</t>
  </si>
  <si>
    <t>Ui/NonUi</t>
  </si>
  <si>
    <t>Cashflows Categories</t>
  </si>
  <si>
    <t>Initial Measurement / New Business</t>
  </si>
  <si>
    <t>Cashflows for 1 year</t>
  </si>
  <si>
    <t>Actual Cashflows for the period (IM to SM)</t>
  </si>
  <si>
    <t>BEL (at current period)</t>
  </si>
  <si>
    <t>PV (current period)</t>
  </si>
  <si>
    <t>PV (Expected Next Valuation period)</t>
  </si>
  <si>
    <t>BEL (Expected Next Valuation period)</t>
  </si>
  <si>
    <t>New Business Csm / (Lc)</t>
  </si>
  <si>
    <t>Lc Ratio</t>
  </si>
  <si>
    <t>PV Net Outflows</t>
  </si>
  <si>
    <t>BEL at Initial recognition</t>
  </si>
  <si>
    <t>RA at Initial recognition</t>
  </si>
  <si>
    <t>Loss Component</t>
  </si>
  <si>
    <t>UF</t>
  </si>
  <si>
    <t>Subsequent Measurement CSM / LC ROLLFORWARD</t>
  </si>
  <si>
    <t xml:space="preserve">Subsequent Measurement / Inforce Year 1 </t>
  </si>
  <si>
    <t xml:space="preserve">Subsequent Measurement/ Inforce Year 2 </t>
  </si>
  <si>
    <t>PV of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</si>
</sst>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4" borderId="7" xfId="0" applyFill="1" applyBorder="1" applyAlignment="1">
      <alignment horizontal="left" vertical="top" wrapText="1"/>
    </xf>
    <xf numFmtId="164" fontId="0" fillId="4" borderId="8" xfId="1" applyNumberFormat="1" applyFont="1" applyFill="1" applyBorder="1" applyAlignment="1">
      <alignment horizontal="left" vertical="top"/>
    </xf>
    <xf numFmtId="0" fontId="0" fillId="4" borderId="7" xfId="0" applyFill="1" applyBorder="1" applyAlignment="1">
      <alignment horizontal="left" vertical="center"/>
    </xf>
    <xf numFmtId="164" fontId="0" fillId="4" borderId="8" xfId="1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top" wrapText="1"/>
    </xf>
    <xf numFmtId="164" fontId="2" fillId="4" borderId="10" xfId="1" applyNumberFormat="1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 wrapText="1"/>
    </xf>
    <xf numFmtId="164" fontId="2" fillId="4" borderId="8" xfId="1" applyNumberFormat="1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center"/>
    </xf>
    <xf numFmtId="164" fontId="2" fillId="4" borderId="12" xfId="1" applyNumberFormat="1" applyFont="1" applyFill="1" applyBorder="1" applyAlignment="1">
      <alignment horizontal="left" vertical="center"/>
    </xf>
    <xf numFmtId="164" fontId="1" fillId="4" borderId="8" xfId="1" applyNumberFormat="1" applyFont="1" applyFill="1" applyBorder="1" applyAlignment="1">
      <alignment horizontal="left" vertical="top"/>
    </xf>
    <xf numFmtId="164" fontId="1" fillId="4" borderId="10" xfId="1" applyNumberFormat="1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 wrapText="1"/>
    </xf>
    <xf numFmtId="164" fontId="2" fillId="4" borderId="14" xfId="1" applyNumberFormat="1" applyFont="1" applyFill="1" applyBorder="1" applyAlignment="1">
      <alignment horizontal="left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4" borderId="8" xfId="1" applyNumberFormat="1" applyFont="1" applyFill="1" applyBorder="1" applyAlignment="1">
      <alignment horizontal="right" vertical="center"/>
    </xf>
    <xf numFmtId="164" fontId="0" fillId="0" borderId="16" xfId="0" applyNumberFormat="1" applyBorder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43" fontId="0" fillId="0" borderId="0" xfId="0" applyNumberFormat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6" fillId="0" borderId="0" xfId="0" applyFont="1"/>
    <xf numFmtId="164" fontId="0" fillId="0" borderId="15" xfId="1" applyNumberFormat="1" applyFont="1" applyBorder="1"/>
    <xf numFmtId="164" fontId="0" fillId="6" borderId="0" xfId="0" applyNumberFormat="1" applyFill="1"/>
    <xf numFmtId="164" fontId="0" fillId="0" borderId="0" xfId="0" applyNumberFormat="1" applyFill="1"/>
    <xf numFmtId="0" fontId="0" fillId="0" borderId="22" xfId="0" applyBorder="1"/>
    <xf numFmtId="0" fontId="0" fillId="0" borderId="24" xfId="0" applyBorder="1"/>
    <xf numFmtId="0" fontId="0" fillId="0" borderId="25" xfId="0" applyBorder="1"/>
    <xf numFmtId="164" fontId="0" fillId="0" borderId="0" xfId="1" applyNumberFormat="1" applyFont="1" applyBorder="1"/>
    <xf numFmtId="0" fontId="0" fillId="0" borderId="26" xfId="0" applyBorder="1"/>
    <xf numFmtId="164" fontId="0" fillId="0" borderId="27" xfId="1" applyNumberFormat="1" applyFont="1" applyBorder="1"/>
    <xf numFmtId="0" fontId="0" fillId="0" borderId="21" xfId="0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0" borderId="24" xfId="0" applyNumberFormat="1" applyBorder="1"/>
    <xf numFmtId="164" fontId="2" fillId="0" borderId="24" xfId="0" applyNumberFormat="1" applyFont="1" applyBorder="1"/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21" xfId="0" applyFont="1" applyBorder="1" applyAlignment="1">
      <alignment wrapText="1"/>
    </xf>
    <xf numFmtId="164" fontId="0" fillId="0" borderId="24" xfId="1" applyNumberFormat="1" applyFont="1" applyBorder="1"/>
    <xf numFmtId="9" fontId="0" fillId="0" borderId="0" xfId="1" applyNumberFormat="1" applyFont="1"/>
    <xf numFmtId="164" fontId="0" fillId="0" borderId="21" xfId="0" applyNumberFormat="1" applyBorder="1"/>
    <xf numFmtId="164" fontId="0" fillId="0" borderId="21" xfId="1" applyNumberFormat="1" applyFont="1" applyBorder="1"/>
    <xf numFmtId="164" fontId="0" fillId="4" borderId="15" xfId="1" applyNumberFormat="1" applyFont="1" applyFill="1" applyBorder="1"/>
    <xf numFmtId="164" fontId="0" fillId="4" borderId="16" xfId="1" applyNumberFormat="1" applyFont="1" applyFill="1" applyBorder="1"/>
    <xf numFmtId="164" fontId="0" fillId="4" borderId="17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5" fillId="5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opLeftCell="A8" workbookViewId="0">
      <selection activeCell="F18" sqref="F18"/>
    </sheetView>
  </sheetViews>
  <sheetFormatPr defaultRowHeight="14.5" x14ac:dyDescent="0.35"/>
  <cols>
    <col min="2" max="2" width="45" customWidth="1"/>
    <col min="3" max="3" width="21" customWidth="1"/>
    <col min="5" max="5" width="49" customWidth="1"/>
    <col min="6" max="6" width="20" customWidth="1"/>
    <col min="8" max="8" width="8.81640625" style="21"/>
  </cols>
  <sheetData>
    <row r="1" spans="2:7" ht="26" x14ac:dyDescent="0.6">
      <c r="B1" s="55" t="s">
        <v>45</v>
      </c>
      <c r="C1" s="55"/>
      <c r="D1" s="55"/>
      <c r="E1" s="55"/>
      <c r="F1" s="55"/>
    </row>
    <row r="2" spans="2:7" ht="15" thickBot="1" x14ac:dyDescent="0.4"/>
    <row r="3" spans="2:7" ht="14.5" customHeight="1" x14ac:dyDescent="0.35">
      <c r="B3" s="52" t="s">
        <v>104</v>
      </c>
      <c r="C3" s="49">
        <f>Inputs!$H$3</f>
        <v>290.07047387873718</v>
      </c>
    </row>
    <row r="4" spans="2:7" ht="14.5" customHeight="1" x14ac:dyDescent="0.35">
      <c r="B4" s="53" t="s">
        <v>105</v>
      </c>
      <c r="C4" s="50">
        <v>0</v>
      </c>
    </row>
    <row r="5" spans="2:7" ht="15" thickBot="1" x14ac:dyDescent="0.4">
      <c r="B5" s="54" t="s">
        <v>106</v>
      </c>
      <c r="C5" s="51">
        <f>-(C3+C4)</f>
        <v>-290.07047387873718</v>
      </c>
    </row>
    <row r="7" spans="2:7" ht="15" thickBot="1" x14ac:dyDescent="0.4"/>
    <row r="8" spans="2:7" ht="19" thickBot="1" x14ac:dyDescent="0.4">
      <c r="B8" s="56" t="s">
        <v>0</v>
      </c>
      <c r="C8" s="57"/>
      <c r="E8" s="58" t="s">
        <v>108</v>
      </c>
      <c r="F8" s="59"/>
    </row>
    <row r="9" spans="2:7" x14ac:dyDescent="0.35">
      <c r="B9" s="60" t="s">
        <v>2</v>
      </c>
      <c r="C9" s="62" t="s">
        <v>3</v>
      </c>
      <c r="E9" s="64" t="s">
        <v>4</v>
      </c>
      <c r="F9" s="66" t="s">
        <v>3</v>
      </c>
    </row>
    <row r="10" spans="2:7" x14ac:dyDescent="0.35">
      <c r="B10" s="61"/>
      <c r="C10" s="63"/>
      <c r="E10" s="65"/>
      <c r="F10" s="67"/>
    </row>
    <row r="11" spans="2:7" x14ac:dyDescent="0.35">
      <c r="B11" s="1" t="s">
        <v>5</v>
      </c>
      <c r="C11" s="2">
        <f>IF(F26&gt;0,F26,0)</f>
        <v>0</v>
      </c>
      <c r="E11" s="3" t="s">
        <v>101</v>
      </c>
      <c r="F11" s="4">
        <f>$C$5</f>
        <v>-290.07047387873718</v>
      </c>
    </row>
    <row r="12" spans="2:7" x14ac:dyDescent="0.35">
      <c r="B12" s="1" t="s">
        <v>7</v>
      </c>
      <c r="C12" s="2">
        <v>0</v>
      </c>
      <c r="E12" s="3" t="s">
        <v>33</v>
      </c>
      <c r="F12" s="4">
        <v>0</v>
      </c>
    </row>
    <row r="13" spans="2:7" ht="29" x14ac:dyDescent="0.35">
      <c r="B13" s="1" t="s">
        <v>8</v>
      </c>
      <c r="C13" s="2">
        <f>SUM(NewBusiness!H16:K16)</f>
        <v>95.207471040000016</v>
      </c>
      <c r="E13" s="3"/>
      <c r="F13" s="4"/>
    </row>
    <row r="14" spans="2:7" x14ac:dyDescent="0.35">
      <c r="B14" s="1" t="s">
        <v>9</v>
      </c>
      <c r="C14" s="2">
        <f>SUM(NewBusiness!H16,NewBusiness!J16:K16)</f>
        <v>94.151955840000014</v>
      </c>
      <c r="E14" s="3" t="s">
        <v>10</v>
      </c>
      <c r="F14" s="4">
        <f>(Inputs!F13-Inputs!C4)+(Inputs!C9-Inputs!F18)</f>
        <v>-100</v>
      </c>
      <c r="G14" t="s">
        <v>90</v>
      </c>
    </row>
    <row r="15" spans="2:7" x14ac:dyDescent="0.35">
      <c r="B15" s="1" t="s">
        <v>11</v>
      </c>
      <c r="C15" s="2">
        <f>F22*-1</f>
        <v>14.340099250729468</v>
      </c>
      <c r="E15" s="3" t="s">
        <v>12</v>
      </c>
      <c r="F15" s="4">
        <f>SUM(Inputs!C5,Inputs!C7:C8)-SUM(Inputs!F14,Inputs!F16:F17)</f>
        <v>-92.093701200000012</v>
      </c>
      <c r="G15" t="s">
        <v>90</v>
      </c>
    </row>
    <row r="16" spans="2:7" x14ac:dyDescent="0.35">
      <c r="B16" s="1" t="s">
        <v>13</v>
      </c>
      <c r="C16" s="2">
        <f>Inforce!C5*1/7</f>
        <v>42.857142857142854</v>
      </c>
      <c r="E16" s="3" t="s">
        <v>34</v>
      </c>
      <c r="F16" s="4">
        <f>Inputs!I12-Inputs!K3</f>
        <v>77.036663526689154</v>
      </c>
      <c r="G16" t="s">
        <v>90</v>
      </c>
    </row>
    <row r="17" spans="2:8" x14ac:dyDescent="0.35">
      <c r="B17" s="5" t="s">
        <v>14</v>
      </c>
      <c r="C17" s="6">
        <f>SUM(C11:C13,C16)-SUM(C14:C15)</f>
        <v>29.572558806413383</v>
      </c>
      <c r="E17" s="3" t="s">
        <v>15</v>
      </c>
      <c r="F17" s="4">
        <f>Inputs!H5*-1</f>
        <v>-76.228650518852476</v>
      </c>
      <c r="G17" t="s">
        <v>90</v>
      </c>
    </row>
    <row r="18" spans="2:8" x14ac:dyDescent="0.35">
      <c r="B18" s="7"/>
      <c r="C18" s="2"/>
      <c r="E18" s="3" t="s">
        <v>17</v>
      </c>
      <c r="F18" s="4">
        <f>Inputs!L14</f>
        <v>100</v>
      </c>
      <c r="G18" t="s">
        <v>91</v>
      </c>
    </row>
    <row r="19" spans="2:8" x14ac:dyDescent="0.35">
      <c r="B19" s="1" t="s">
        <v>46</v>
      </c>
      <c r="C19" s="2">
        <f>(F20+IF(F11&lt;0,F11,0))*-1</f>
        <v>535.4294891242788</v>
      </c>
      <c r="E19" s="3"/>
      <c r="F19" s="4"/>
    </row>
    <row r="20" spans="2:8" x14ac:dyDescent="0.35">
      <c r="B20" s="1" t="s">
        <v>16</v>
      </c>
      <c r="C20" s="2">
        <f>SUM(Inforce!H16:K16)</f>
        <v>195.74529384000004</v>
      </c>
      <c r="E20" s="3" t="s">
        <v>35</v>
      </c>
      <c r="F20" s="4">
        <f>SUM(F14:F15,F17:F18)-F16</f>
        <v>-245.35901524554163</v>
      </c>
      <c r="G20" t="s">
        <v>90</v>
      </c>
    </row>
    <row r="21" spans="2:8" x14ac:dyDescent="0.35">
      <c r="B21" s="1" t="s">
        <v>18</v>
      </c>
      <c r="C21" s="2">
        <f>SUM(Inforce!H16,Inforce!J16:K16)</f>
        <v>186.24565704000003</v>
      </c>
      <c r="E21" s="3" t="s">
        <v>102</v>
      </c>
      <c r="F21" s="18">
        <f>IF((F11+F12+F20)&lt;0,SUM(C44:C46)/SUM(C47:C48),0)</f>
        <v>-0.15061947443919277</v>
      </c>
      <c r="H21" s="46"/>
    </row>
    <row r="22" spans="2:8" x14ac:dyDescent="0.35">
      <c r="B22" s="1" t="s">
        <v>11</v>
      </c>
      <c r="C22" s="2">
        <f>F22*-1</f>
        <v>14.340099250729468</v>
      </c>
      <c r="E22" s="3" t="s">
        <v>41</v>
      </c>
      <c r="F22" s="4">
        <f>F21*C48</f>
        <v>-14.340099250729468</v>
      </c>
    </row>
    <row r="23" spans="2:8" x14ac:dyDescent="0.35">
      <c r="B23" s="1" t="s">
        <v>19</v>
      </c>
      <c r="C23" s="2">
        <f>Inforce!C5*1/7</f>
        <v>42.857142857142854</v>
      </c>
      <c r="E23" s="3"/>
      <c r="F23" s="4"/>
    </row>
    <row r="24" spans="2:8" x14ac:dyDescent="0.35">
      <c r="B24" s="5" t="s">
        <v>20</v>
      </c>
      <c r="C24" s="6">
        <f>SUM(C19:C20,C23)-SUM(C21:C22)</f>
        <v>573.44616953069226</v>
      </c>
      <c r="E24" s="3" t="s">
        <v>21</v>
      </c>
      <c r="F24" s="4">
        <f>F11+F12+F20-F22</f>
        <v>-521.08938987354929</v>
      </c>
    </row>
    <row r="25" spans="2:8" x14ac:dyDescent="0.35">
      <c r="B25" s="1"/>
      <c r="C25" s="2"/>
      <c r="E25" s="3" t="s">
        <v>42</v>
      </c>
      <c r="F25" s="18">
        <f>IF(F24&gt;0,10%,0)</f>
        <v>0</v>
      </c>
    </row>
    <row r="26" spans="2:8" x14ac:dyDescent="0.35">
      <c r="B26" s="5" t="s">
        <v>22</v>
      </c>
      <c r="C26" s="6">
        <f>C17-C24</f>
        <v>-543.87361072427893</v>
      </c>
      <c r="E26" s="3" t="s">
        <v>43</v>
      </c>
      <c r="F26" s="4">
        <f>F25*F24</f>
        <v>0</v>
      </c>
    </row>
    <row r="27" spans="2:8" ht="15" thickBot="1" x14ac:dyDescent="0.4">
      <c r="B27" s="7"/>
      <c r="C27" s="8"/>
      <c r="E27" s="9" t="s">
        <v>23</v>
      </c>
      <c r="F27" s="10">
        <f>F24-F26</f>
        <v>-521.08938987354929</v>
      </c>
    </row>
    <row r="28" spans="2:8" ht="29" hidden="1" x14ac:dyDescent="0.35">
      <c r="B28" s="1" t="s">
        <v>24</v>
      </c>
      <c r="C28" s="11">
        <f>F18</f>
        <v>100</v>
      </c>
    </row>
    <row r="29" spans="2:8" hidden="1" x14ac:dyDescent="0.35">
      <c r="B29" s="5" t="s">
        <v>25</v>
      </c>
      <c r="C29" s="12">
        <f>C28</f>
        <v>100</v>
      </c>
    </row>
    <row r="30" spans="2:8" hidden="1" x14ac:dyDescent="0.35">
      <c r="B30" s="1"/>
      <c r="C30" s="2"/>
    </row>
    <row r="31" spans="2:8" ht="43.5" hidden="1" x14ac:dyDescent="0.35">
      <c r="B31" s="1" t="s">
        <v>26</v>
      </c>
      <c r="C31" s="2">
        <f>F18</f>
        <v>100</v>
      </c>
    </row>
    <row r="32" spans="2:8" ht="43.5" hidden="1" x14ac:dyDescent="0.35">
      <c r="B32" s="1" t="s">
        <v>27</v>
      </c>
      <c r="C32" s="2">
        <v>0</v>
      </c>
    </row>
    <row r="33" spans="2:3" ht="29" hidden="1" x14ac:dyDescent="0.35">
      <c r="B33" s="1" t="s">
        <v>28</v>
      </c>
      <c r="C33" s="2">
        <v>0</v>
      </c>
    </row>
    <row r="34" spans="2:3" hidden="1" x14ac:dyDescent="0.35">
      <c r="B34" s="5" t="s">
        <v>29</v>
      </c>
      <c r="C34" s="6">
        <f>SUM(C31:C33)</f>
        <v>100</v>
      </c>
    </row>
    <row r="35" spans="2:3" hidden="1" x14ac:dyDescent="0.35">
      <c r="B35" s="1"/>
      <c r="C35" s="2"/>
    </row>
    <row r="36" spans="2:3" ht="29" hidden="1" x14ac:dyDescent="0.35">
      <c r="B36" s="5" t="s">
        <v>30</v>
      </c>
      <c r="C36" s="6">
        <f>C29-C34</f>
        <v>0</v>
      </c>
    </row>
    <row r="37" spans="2:3" hidden="1" x14ac:dyDescent="0.35">
      <c r="B37" s="1"/>
      <c r="C37" s="2"/>
    </row>
    <row r="38" spans="2:3" ht="15" thickBot="1" x14ac:dyDescent="0.4">
      <c r="B38" s="13" t="s">
        <v>31</v>
      </c>
      <c r="C38" s="14">
        <f>C26+C36</f>
        <v>-543.87361072427893</v>
      </c>
    </row>
    <row r="43" spans="2:3" ht="15" thickBot="1" x14ac:dyDescent="0.4"/>
    <row r="44" spans="2:3" x14ac:dyDescent="0.35">
      <c r="B44" s="15" t="s">
        <v>36</v>
      </c>
      <c r="C44" s="27">
        <f>IF(F11&lt;0,F11,0)</f>
        <v>-290.07047387873718</v>
      </c>
    </row>
    <row r="45" spans="2:3" x14ac:dyDescent="0.35">
      <c r="B45" s="16" t="s">
        <v>37</v>
      </c>
      <c r="C45" s="19">
        <f>IF(F11&lt;0,F12,0)</f>
        <v>0</v>
      </c>
    </row>
    <row r="46" spans="2:3" x14ac:dyDescent="0.35">
      <c r="B46" s="16" t="s">
        <v>38</v>
      </c>
      <c r="C46" s="19">
        <f>F20</f>
        <v>-245.35901524554163</v>
      </c>
    </row>
    <row r="47" spans="2:3" x14ac:dyDescent="0.35">
      <c r="B47" s="16" t="s">
        <v>39</v>
      </c>
      <c r="C47" s="24">
        <f>Inputs!$I$16</f>
        <v>3459.6415358222521</v>
      </c>
    </row>
    <row r="48" spans="2:3" ht="15" thickBot="1" x14ac:dyDescent="0.4">
      <c r="B48" s="17" t="s">
        <v>40</v>
      </c>
      <c r="C48" s="25">
        <f>Inputs!$K$5</f>
        <v>95.207471040000016</v>
      </c>
    </row>
  </sheetData>
  <mergeCells count="7">
    <mergeCell ref="B1:F1"/>
    <mergeCell ref="B8:C8"/>
    <mergeCell ref="E8:F8"/>
    <mergeCell ref="B9:B10"/>
    <mergeCell ref="C9:C10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5BCF-ED65-4CF6-825F-7F9D4529849D}">
  <dimension ref="B1:H43"/>
  <sheetViews>
    <sheetView topLeftCell="B8" workbookViewId="0">
      <selection activeCell="F9" sqref="F9"/>
    </sheetView>
  </sheetViews>
  <sheetFormatPr defaultRowHeight="14.5" x14ac:dyDescent="0.35"/>
  <cols>
    <col min="2" max="2" width="45" customWidth="1"/>
    <col min="3" max="3" width="21" customWidth="1"/>
    <col min="5" max="5" width="49" customWidth="1"/>
    <col min="6" max="6" width="20" customWidth="1"/>
  </cols>
  <sheetData>
    <row r="1" spans="2:8" ht="26" x14ac:dyDescent="0.6">
      <c r="B1" s="55" t="s">
        <v>44</v>
      </c>
      <c r="C1" s="55"/>
      <c r="D1" s="55"/>
      <c r="E1" s="55"/>
      <c r="F1" s="55"/>
    </row>
    <row r="2" spans="2:8" ht="15" thickBot="1" x14ac:dyDescent="0.4"/>
    <row r="3" spans="2:8" ht="19" thickBot="1" x14ac:dyDescent="0.4">
      <c r="B3" s="56" t="s">
        <v>0</v>
      </c>
      <c r="C3" s="57"/>
      <c r="E3" s="58" t="s">
        <v>108</v>
      </c>
      <c r="F3" s="59"/>
    </row>
    <row r="4" spans="2:8" x14ac:dyDescent="0.35">
      <c r="B4" s="60" t="s">
        <v>2</v>
      </c>
      <c r="C4" s="62" t="s">
        <v>3</v>
      </c>
      <c r="E4" s="64" t="s">
        <v>4</v>
      </c>
      <c r="F4" s="66" t="s">
        <v>3</v>
      </c>
    </row>
    <row r="5" spans="2:8" x14ac:dyDescent="0.35">
      <c r="B5" s="61"/>
      <c r="C5" s="63"/>
      <c r="E5" s="65"/>
      <c r="F5" s="67"/>
    </row>
    <row r="6" spans="2:8" x14ac:dyDescent="0.35">
      <c r="B6" s="1" t="s">
        <v>5</v>
      </c>
      <c r="C6" s="2">
        <f>IF(F21&gt;0,F21,0)</f>
        <v>2.0656369132304913</v>
      </c>
      <c r="E6" s="3" t="s">
        <v>6</v>
      </c>
      <c r="F6" s="4">
        <f>'Year 1'!$F$27</f>
        <v>-521.08938987354929</v>
      </c>
    </row>
    <row r="7" spans="2:8" x14ac:dyDescent="0.35">
      <c r="B7" s="1" t="s">
        <v>7</v>
      </c>
      <c r="C7" s="2">
        <v>0</v>
      </c>
      <c r="E7" s="3" t="s">
        <v>33</v>
      </c>
      <c r="F7" s="4">
        <v>0</v>
      </c>
    </row>
    <row r="8" spans="2:8" ht="29" x14ac:dyDescent="0.35">
      <c r="B8" s="1" t="s">
        <v>8</v>
      </c>
      <c r="C8" s="2">
        <f>SUM(Inforce!H17:K17)</f>
        <v>288.72419133130836</v>
      </c>
      <c r="E8" s="3"/>
      <c r="F8" s="4"/>
    </row>
    <row r="9" spans="2:8" x14ac:dyDescent="0.35">
      <c r="B9" s="1" t="s">
        <v>9</v>
      </c>
      <c r="C9" s="2">
        <f>SUM(Inforce!H17:K17)</f>
        <v>288.72419133130836</v>
      </c>
      <c r="E9" s="3" t="s">
        <v>10</v>
      </c>
      <c r="F9" s="4">
        <f>('Inforce 2'!G17-Inforce!G17)+(Inforce!L17-'Inforce 2'!L17)</f>
        <v>107.06150000000001</v>
      </c>
      <c r="G9" t="s">
        <v>91</v>
      </c>
      <c r="H9" s="21"/>
    </row>
    <row r="10" spans="2:8" x14ac:dyDescent="0.35">
      <c r="B10" s="1" t="s">
        <v>11</v>
      </c>
      <c r="C10" s="2">
        <f>F17*-1</f>
        <v>37.954180270176487</v>
      </c>
      <c r="E10" s="3" t="s">
        <v>12</v>
      </c>
      <c r="F10" s="4">
        <f>SUM(Inforce!H17,Inforce!J17:K17)-SUM('Inforce 2'!H17,'Inforce 2'!J17:K17)</f>
        <v>72.359713792809345</v>
      </c>
      <c r="G10" t="s">
        <v>91</v>
      </c>
      <c r="H10" s="21"/>
    </row>
    <row r="11" spans="2:8" x14ac:dyDescent="0.35">
      <c r="B11" s="1" t="s">
        <v>13</v>
      </c>
      <c r="C11" s="2">
        <f>(('Inforce 2'!C5+'Inforce 2'!D5)-'Year 1'!C16)*1/7</f>
        <v>39.591836734693878</v>
      </c>
      <c r="E11" s="3" t="s">
        <v>34</v>
      </c>
      <c r="F11" s="4">
        <f>'Inforce 2'!U18-Inforce!U18</f>
        <v>-289.58211026590288</v>
      </c>
      <c r="G11" t="s">
        <v>91</v>
      </c>
      <c r="H11" s="21"/>
    </row>
    <row r="12" spans="2:8" x14ac:dyDescent="0.35">
      <c r="B12" s="5" t="s">
        <v>14</v>
      </c>
      <c r="C12" s="6">
        <f>SUM(C6:C8,C11)-SUM(C9:C10)</f>
        <v>3.7032933777478547</v>
      </c>
      <c r="E12" s="3" t="s">
        <v>15</v>
      </c>
      <c r="F12" s="4">
        <f>Inforce!$V$17*-1</f>
        <v>-134.49369961903452</v>
      </c>
      <c r="G12" t="s">
        <v>90</v>
      </c>
      <c r="H12" s="21"/>
    </row>
    <row r="13" spans="2:8" x14ac:dyDescent="0.35">
      <c r="B13" s="7"/>
      <c r="C13" s="2"/>
      <c r="E13" s="3" t="s">
        <v>17</v>
      </c>
      <c r="F13" s="4">
        <f>'Inforce 2'!$K$28</f>
        <v>169.28195429599998</v>
      </c>
      <c r="G13" t="s">
        <v>91</v>
      </c>
      <c r="H13" s="21"/>
    </row>
    <row r="14" spans="2:8" x14ac:dyDescent="0.35">
      <c r="B14" s="1" t="s">
        <v>46</v>
      </c>
      <c r="C14" s="2">
        <f>(F15-F19)</f>
        <v>483.1352096033728</v>
      </c>
      <c r="E14" s="3"/>
      <c r="F14" s="4"/>
    </row>
    <row r="15" spans="2:8" x14ac:dyDescent="0.35">
      <c r="B15" s="1" t="s">
        <v>16</v>
      </c>
      <c r="C15" s="2">
        <f>SUM('Inforce 2'!H17:K17)</f>
        <v>205.64451993956433</v>
      </c>
      <c r="E15" s="3" t="s">
        <v>35</v>
      </c>
      <c r="F15" s="4">
        <f>SUM(F9:F10,F12:F13)-F11</f>
        <v>503.79157873567772</v>
      </c>
      <c r="G15" t="s">
        <v>91</v>
      </c>
    </row>
    <row r="16" spans="2:8" x14ac:dyDescent="0.35">
      <c r="B16" s="1" t="s">
        <v>18</v>
      </c>
      <c r="C16" s="2">
        <f>SUM('Inforce 2'!H17,'Inforce 2'!J17:K17)</f>
        <v>202.07120073991942</v>
      </c>
      <c r="E16" s="3" t="s">
        <v>102</v>
      </c>
      <c r="F16" s="18">
        <f>SUM(C39:C41)/SUM(C42:C43)</f>
        <v>-0.13145479807275454</v>
      </c>
      <c r="G16" s="20"/>
    </row>
    <row r="17" spans="2:7" x14ac:dyDescent="0.35">
      <c r="B17" s="1" t="s">
        <v>11</v>
      </c>
      <c r="C17" s="2">
        <f>F17*-1</f>
        <v>37.954180270176487</v>
      </c>
      <c r="E17" s="3" t="s">
        <v>41</v>
      </c>
      <c r="F17" s="4">
        <f>F16*C43</f>
        <v>-37.954180270176487</v>
      </c>
      <c r="G17" s="20"/>
    </row>
    <row r="18" spans="2:7" x14ac:dyDescent="0.35">
      <c r="B18" s="1" t="s">
        <v>19</v>
      </c>
      <c r="C18" s="2">
        <f>(('Inforce 2'!C5+'Inforce 2'!D5)-'Year 1'!C16)*1/7</f>
        <v>39.591836734693878</v>
      </c>
      <c r="E18" s="3"/>
      <c r="F18" s="4"/>
    </row>
    <row r="19" spans="2:7" x14ac:dyDescent="0.35">
      <c r="B19" s="5" t="s">
        <v>20</v>
      </c>
      <c r="C19" s="6">
        <f>SUM(C14:C15,C18)-SUM(C16:C17)</f>
        <v>488.34618526753513</v>
      </c>
      <c r="E19" s="3" t="s">
        <v>21</v>
      </c>
      <c r="F19" s="4">
        <f>F6+F15+F7-F17</f>
        <v>20.65636913230491</v>
      </c>
    </row>
    <row r="20" spans="2:7" x14ac:dyDescent="0.35">
      <c r="B20" s="1"/>
      <c r="C20" s="2"/>
      <c r="E20" s="3" t="s">
        <v>42</v>
      </c>
      <c r="F20" s="18">
        <f>IF(F19&gt;0,10%,0)</f>
        <v>0.1</v>
      </c>
    </row>
    <row r="21" spans="2:7" x14ac:dyDescent="0.35">
      <c r="B21" s="5" t="s">
        <v>22</v>
      </c>
      <c r="C21" s="6">
        <f>C12-C19</f>
        <v>-484.64289188978728</v>
      </c>
      <c r="E21" s="3" t="s">
        <v>43</v>
      </c>
      <c r="F21" s="4">
        <f>F19*F20</f>
        <v>2.0656369132304913</v>
      </c>
    </row>
    <row r="22" spans="2:7" ht="15" thickBot="1" x14ac:dyDescent="0.4">
      <c r="B22" s="7"/>
      <c r="C22" s="8"/>
      <c r="E22" s="9" t="s">
        <v>23</v>
      </c>
      <c r="F22" s="10">
        <f>F19-F21</f>
        <v>18.590732219074418</v>
      </c>
    </row>
    <row r="23" spans="2:7" ht="29" hidden="1" x14ac:dyDescent="0.35">
      <c r="B23" s="1" t="s">
        <v>24</v>
      </c>
      <c r="C23" s="11">
        <f>F13</f>
        <v>169.28195429599998</v>
      </c>
    </row>
    <row r="24" spans="2:7" hidden="1" x14ac:dyDescent="0.35">
      <c r="B24" s="5" t="s">
        <v>25</v>
      </c>
      <c r="C24" s="12">
        <f>C23</f>
        <v>169.28195429599998</v>
      </c>
    </row>
    <row r="25" spans="2:7" hidden="1" x14ac:dyDescent="0.35">
      <c r="B25" s="1"/>
      <c r="C25" s="2"/>
    </row>
    <row r="26" spans="2:7" ht="43.5" hidden="1" x14ac:dyDescent="0.35">
      <c r="B26" s="1" t="s">
        <v>26</v>
      </c>
      <c r="C26" s="2">
        <f>F13</f>
        <v>169.28195429599998</v>
      </c>
    </row>
    <row r="27" spans="2:7" ht="43.5" hidden="1" x14ac:dyDescent="0.35">
      <c r="B27" s="1" t="s">
        <v>27</v>
      </c>
      <c r="C27" s="2">
        <v>0</v>
      </c>
    </row>
    <row r="28" spans="2:7" ht="29" hidden="1" x14ac:dyDescent="0.35">
      <c r="B28" s="1" t="s">
        <v>28</v>
      </c>
      <c r="C28" s="2">
        <v>0</v>
      </c>
    </row>
    <row r="29" spans="2:7" hidden="1" x14ac:dyDescent="0.35">
      <c r="B29" s="5" t="s">
        <v>29</v>
      </c>
      <c r="C29" s="6">
        <f>SUM(C26:C28)</f>
        <v>169.28195429599998</v>
      </c>
    </row>
    <row r="30" spans="2:7" hidden="1" x14ac:dyDescent="0.35">
      <c r="B30" s="1"/>
      <c r="C30" s="2"/>
    </row>
    <row r="31" spans="2:7" ht="29" hidden="1" x14ac:dyDescent="0.35">
      <c r="B31" s="5" t="s">
        <v>30</v>
      </c>
      <c r="C31" s="6">
        <f>C24-C29</f>
        <v>0</v>
      </c>
    </row>
    <row r="32" spans="2:7" hidden="1" x14ac:dyDescent="0.35">
      <c r="B32" s="1"/>
      <c r="C32" s="2"/>
    </row>
    <row r="33" spans="2:3" ht="15" thickBot="1" x14ac:dyDescent="0.4">
      <c r="B33" s="13" t="s">
        <v>31</v>
      </c>
      <c r="C33" s="14">
        <f>C21+C31</f>
        <v>-484.64289188978728</v>
      </c>
    </row>
    <row r="38" spans="2:3" ht="15" thickBot="1" x14ac:dyDescent="0.4"/>
    <row r="39" spans="2:3" x14ac:dyDescent="0.35">
      <c r="B39" s="15" t="s">
        <v>36</v>
      </c>
      <c r="C39" s="27">
        <f>IF(F6&lt;0,F6,0)</f>
        <v>-521.08938987354929</v>
      </c>
    </row>
    <row r="40" spans="2:3" x14ac:dyDescent="0.35">
      <c r="B40" s="16" t="s">
        <v>37</v>
      </c>
      <c r="C40" s="24">
        <f>IF(F6&lt;0,F7,0)</f>
        <v>0</v>
      </c>
    </row>
    <row r="41" spans="2:3" x14ac:dyDescent="0.35">
      <c r="B41" s="16" t="s">
        <v>38</v>
      </c>
      <c r="C41" s="24">
        <v>0</v>
      </c>
    </row>
    <row r="42" spans="2:3" x14ac:dyDescent="0.35">
      <c r="B42" s="16" t="s">
        <v>39</v>
      </c>
      <c r="C42" s="24">
        <f>Inputs!$H$25</f>
        <v>3675.2953614974053</v>
      </c>
    </row>
    <row r="43" spans="2:3" ht="15" thickBot="1" x14ac:dyDescent="0.4">
      <c r="B43" s="17" t="s">
        <v>40</v>
      </c>
      <c r="C43" s="25">
        <f>Inputs!$L$16</f>
        <v>288.72419133130836</v>
      </c>
    </row>
  </sheetData>
  <mergeCells count="7">
    <mergeCell ref="B1:F1"/>
    <mergeCell ref="B3:C3"/>
    <mergeCell ref="E3:F3"/>
    <mergeCell ref="B4:B5"/>
    <mergeCell ref="C4:C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8A56-27FD-4089-A773-32D09A8C3718}">
  <dimension ref="A1:L27"/>
  <sheetViews>
    <sheetView topLeftCell="A19" workbookViewId="0">
      <selection activeCell="E31" sqref="E31"/>
    </sheetView>
  </sheetViews>
  <sheetFormatPr defaultRowHeight="14.5" x14ac:dyDescent="0.35"/>
  <cols>
    <col min="1" max="1" width="18.6328125" bestFit="1" customWidth="1"/>
    <col min="2" max="2" width="8.54296875" bestFit="1" customWidth="1"/>
    <col min="3" max="3" width="11.81640625" customWidth="1"/>
    <col min="4" max="4" width="10.81640625" customWidth="1"/>
    <col min="5" max="6" width="13.1796875" customWidth="1"/>
    <col min="7" max="7" width="14.1796875" bestFit="1" customWidth="1"/>
    <col min="8" max="8" width="14.81640625" customWidth="1"/>
    <col min="10" max="10" width="17" customWidth="1"/>
    <col min="11" max="11" width="15.54296875" customWidth="1"/>
  </cols>
  <sheetData>
    <row r="1" spans="1:12" x14ac:dyDescent="0.35">
      <c r="A1" s="22" t="s">
        <v>94</v>
      </c>
    </row>
    <row r="2" spans="1:12" ht="15" thickBot="1" x14ac:dyDescent="0.4">
      <c r="A2" s="22"/>
    </row>
    <row r="3" spans="1:12" ht="44" thickBot="1" x14ac:dyDescent="0.4">
      <c r="A3" s="41" t="s">
        <v>93</v>
      </c>
      <c r="B3" s="42" t="s">
        <v>92</v>
      </c>
      <c r="C3" s="43" t="s">
        <v>95</v>
      </c>
      <c r="D3" s="42" t="s">
        <v>98</v>
      </c>
      <c r="E3" s="42" t="s">
        <v>99</v>
      </c>
      <c r="G3" s="44" t="s">
        <v>97</v>
      </c>
      <c r="H3" s="40">
        <f>SUM(D5:D9)-D4</f>
        <v>290.07047387873718</v>
      </c>
      <c r="J3" s="44" t="s">
        <v>100</v>
      </c>
      <c r="K3" s="40">
        <f>SUM(E5:E9)-E4</f>
        <v>1071.0916533575901</v>
      </c>
    </row>
    <row r="4" spans="1:12" ht="15" thickBot="1" x14ac:dyDescent="0.4">
      <c r="A4" s="32" t="s">
        <v>47</v>
      </c>
      <c r="B4" s="16" t="s">
        <v>107</v>
      </c>
      <c r="C4" s="33">
        <f>NewBusiness!G16</f>
        <v>1000</v>
      </c>
      <c r="D4" s="37">
        <f>NewBusiness!M16</f>
        <v>4529.5122300065686</v>
      </c>
      <c r="E4" s="37">
        <f>NewBusiness!M17</f>
        <v>3882.4634530072253</v>
      </c>
      <c r="F4" s="33"/>
    </row>
    <row r="5" spans="1:12" ht="15" thickBot="1" x14ac:dyDescent="0.4">
      <c r="A5" s="32" t="s">
        <v>78</v>
      </c>
      <c r="B5" s="16" t="s">
        <v>107</v>
      </c>
      <c r="C5" s="33">
        <f>NewBusiness!H16</f>
        <v>10.555152000000001</v>
      </c>
      <c r="D5" s="37">
        <f>NewBusiness!N16</f>
        <v>171.81708897760859</v>
      </c>
      <c r="E5" s="37">
        <f>NewBusiness!N17</f>
        <v>178.44364587536947</v>
      </c>
      <c r="F5" s="33"/>
      <c r="G5" s="36" t="s">
        <v>15</v>
      </c>
      <c r="H5" s="45">
        <f>NewBusiness!$V$16</f>
        <v>76.228650518852476</v>
      </c>
      <c r="J5" s="36" t="s">
        <v>56</v>
      </c>
      <c r="K5" s="39">
        <f>SUM(C5:C8)</f>
        <v>95.207471040000016</v>
      </c>
    </row>
    <row r="6" spans="1:12" x14ac:dyDescent="0.35">
      <c r="A6" s="32" t="s">
        <v>78</v>
      </c>
      <c r="B6" s="16" t="s">
        <v>52</v>
      </c>
      <c r="C6" s="33">
        <f>NewBusiness!I16</f>
        <v>1.0555152000000021</v>
      </c>
      <c r="D6" s="37">
        <f>NewBusiness!O16</f>
        <v>20.734844186499011</v>
      </c>
      <c r="E6" s="37">
        <f>NewBusiness!O17</f>
        <v>20.923419637688951</v>
      </c>
      <c r="F6" s="33"/>
    </row>
    <row r="7" spans="1:12" x14ac:dyDescent="0.35">
      <c r="A7" s="32" t="s">
        <v>48</v>
      </c>
      <c r="B7" s="16" t="s">
        <v>51</v>
      </c>
      <c r="C7" s="33">
        <f>NewBusiness!J16</f>
        <v>83.596803840000007</v>
      </c>
      <c r="D7" s="37">
        <f>NewBusiness!P16</f>
        <v>1360.7913447026604</v>
      </c>
      <c r="E7" s="37">
        <f>NewBusiness!P17</f>
        <v>1413.2736753329266</v>
      </c>
      <c r="F7" s="33"/>
    </row>
    <row r="8" spans="1:12" x14ac:dyDescent="0.35">
      <c r="A8" s="32" t="s">
        <v>49</v>
      </c>
      <c r="B8" s="16" t="s">
        <v>51</v>
      </c>
      <c r="C8" s="33">
        <f>NewBusiness!K16</f>
        <v>0</v>
      </c>
      <c r="D8" s="37">
        <f>NewBusiness!Q16</f>
        <v>2267.5143484795058</v>
      </c>
      <c r="E8" s="37">
        <f>NewBusiness!Q17</f>
        <v>2494.2657833274566</v>
      </c>
      <c r="F8" s="33"/>
    </row>
    <row r="9" spans="1:12" ht="15" thickBot="1" x14ac:dyDescent="0.4">
      <c r="A9" s="34" t="s">
        <v>50</v>
      </c>
      <c r="B9" s="17" t="s">
        <v>52</v>
      </c>
      <c r="C9" s="35">
        <f>NewBusiness!L16</f>
        <v>200</v>
      </c>
      <c r="D9" s="38">
        <f>NewBusiness!R16</f>
        <v>998.72507753903176</v>
      </c>
      <c r="E9" s="38">
        <f>NewBusiness!R17</f>
        <v>846.64858219137375</v>
      </c>
      <c r="F9" s="33"/>
    </row>
    <row r="11" spans="1:12" ht="15" thickBot="1" x14ac:dyDescent="0.4">
      <c r="A11" s="22" t="s">
        <v>109</v>
      </c>
    </row>
    <row r="12" spans="1:12" ht="58.5" thickBot="1" x14ac:dyDescent="0.4">
      <c r="A12" s="41" t="s">
        <v>93</v>
      </c>
      <c r="B12" s="42" t="s">
        <v>92</v>
      </c>
      <c r="C12" s="43" t="s">
        <v>95</v>
      </c>
      <c r="D12" s="42" t="s">
        <v>98</v>
      </c>
      <c r="E12" s="42" t="s">
        <v>99</v>
      </c>
      <c r="F12" s="42" t="s">
        <v>96</v>
      </c>
      <c r="H12" s="44" t="s">
        <v>97</v>
      </c>
      <c r="I12" s="40">
        <f>SUM(D14:D18)-D13</f>
        <v>1148.1283168842792</v>
      </c>
      <c r="K12" s="44" t="s">
        <v>100</v>
      </c>
      <c r="L12" s="40">
        <f>SUM(E14:E18)-E13</f>
        <v>1652.7378251720056</v>
      </c>
    </row>
    <row r="13" spans="1:12" ht="15" thickBot="1" x14ac:dyDescent="0.4">
      <c r="A13" s="32" t="s">
        <v>47</v>
      </c>
      <c r="B13" s="16" t="s">
        <v>51</v>
      </c>
      <c r="C13" s="33">
        <f>Inforce!G17</f>
        <v>823.55</v>
      </c>
      <c r="D13" s="37">
        <f>Inforce!M17</f>
        <v>3001.7350524939238</v>
      </c>
      <c r="E13" s="37">
        <f>Inforce!M18</f>
        <v>2396.0035577433164</v>
      </c>
      <c r="F13" s="37">
        <f>Inforce!G16</f>
        <v>1000</v>
      </c>
    </row>
    <row r="14" spans="1:12" ht="15" thickBot="1" x14ac:dyDescent="0.4">
      <c r="A14" s="32" t="s">
        <v>78</v>
      </c>
      <c r="B14" s="16" t="s">
        <v>51</v>
      </c>
      <c r="C14" s="33">
        <f>Inforce!H17</f>
        <v>142.93276798579623</v>
      </c>
      <c r="D14" s="37">
        <f>Inforce!N17</f>
        <v>1028.7925181994758</v>
      </c>
      <c r="E14" s="37">
        <f>Inforce!N18</f>
        <v>988.73900203362723</v>
      </c>
      <c r="F14" s="37">
        <f>Inforce!H16</f>
        <v>94.996368000000004</v>
      </c>
      <c r="H14" s="36" t="s">
        <v>15</v>
      </c>
      <c r="I14" s="45">
        <f>Inforce!$V$17</f>
        <v>134.49369961903452</v>
      </c>
      <c r="K14" s="36" t="s">
        <v>17</v>
      </c>
      <c r="L14" s="31">
        <f>Inforce!$D$27</f>
        <v>100</v>
      </c>
    </row>
    <row r="15" spans="1:12" ht="15" thickBot="1" x14ac:dyDescent="0.4">
      <c r="A15" s="32" t="s">
        <v>78</v>
      </c>
      <c r="B15" s="16" t="s">
        <v>52</v>
      </c>
      <c r="C15" s="33">
        <f>Inforce!I17</f>
        <v>14.29327679857964</v>
      </c>
      <c r="D15" s="37">
        <f>Inforce!O17</f>
        <v>134.53291029252631</v>
      </c>
      <c r="E15" s="37">
        <f>Inforce!O18</f>
        <v>124.27562080272246</v>
      </c>
      <c r="F15" s="37">
        <f>Inforce!I16</f>
        <v>9.4996368000000189</v>
      </c>
    </row>
    <row r="16" spans="1:12" ht="15" thickBot="1" x14ac:dyDescent="0.4">
      <c r="A16" s="32" t="s">
        <v>48</v>
      </c>
      <c r="B16" s="16" t="s">
        <v>51</v>
      </c>
      <c r="C16" s="33">
        <f>Inforce!J17</f>
        <v>131.49814654693253</v>
      </c>
      <c r="D16" s="37">
        <f>Inforce!P17</f>
        <v>946.4891167435178</v>
      </c>
      <c r="E16" s="37">
        <f>Inforce!P18</f>
        <v>909.63988187093707</v>
      </c>
      <c r="F16" s="37">
        <f>Inforce!J16</f>
        <v>91.249289040000008</v>
      </c>
      <c r="H16" s="30" t="s">
        <v>103</v>
      </c>
      <c r="I16" s="47">
        <f>SUM(D14:D17)</f>
        <v>3459.6415358222521</v>
      </c>
      <c r="K16" s="36" t="s">
        <v>56</v>
      </c>
      <c r="L16" s="39">
        <f>SUM(C14:C17)</f>
        <v>288.72419133130836</v>
      </c>
    </row>
    <row r="17" spans="1:11" x14ac:dyDescent="0.35">
      <c r="A17" s="32" t="s">
        <v>49</v>
      </c>
      <c r="B17" s="16" t="s">
        <v>51</v>
      </c>
      <c r="C17" s="33">
        <f>Inforce!K17</f>
        <v>0</v>
      </c>
      <c r="D17" s="37">
        <f>Inforce!Q17</f>
        <v>1349.8269905867321</v>
      </c>
      <c r="E17" s="37">
        <f>Inforce!Q18</f>
        <v>1484.8096896454053</v>
      </c>
      <c r="F17" s="37">
        <f>Inforce!K16</f>
        <v>0</v>
      </c>
    </row>
    <row r="18" spans="1:11" ht="15" thickBot="1" x14ac:dyDescent="0.4">
      <c r="A18" s="34" t="s">
        <v>50</v>
      </c>
      <c r="B18" s="17" t="s">
        <v>52</v>
      </c>
      <c r="C18" s="35">
        <f>Inforce!L17</f>
        <v>164.71</v>
      </c>
      <c r="D18" s="38">
        <f>Inforce!R17</f>
        <v>690.22183355595109</v>
      </c>
      <c r="E18" s="38">
        <f>Inforce!R18</f>
        <v>541.27718856262959</v>
      </c>
      <c r="F18" s="38">
        <f>Inforce!L16</f>
        <v>300</v>
      </c>
    </row>
    <row r="20" spans="1:11" ht="15" thickBot="1" x14ac:dyDescent="0.4">
      <c r="A20" s="22" t="s">
        <v>110</v>
      </c>
    </row>
    <row r="21" spans="1:11" ht="58.5" thickBot="1" x14ac:dyDescent="0.4">
      <c r="A21" s="41" t="s">
        <v>93</v>
      </c>
      <c r="B21" s="42" t="s">
        <v>92</v>
      </c>
      <c r="C21" s="43" t="s">
        <v>95</v>
      </c>
      <c r="D21" s="42" t="s">
        <v>98</v>
      </c>
      <c r="E21" s="42" t="s">
        <v>96</v>
      </c>
      <c r="G21" s="44" t="s">
        <v>97</v>
      </c>
      <c r="H21" s="40">
        <f>SUM(D23:D27)-D22</f>
        <v>1363.1557149061023</v>
      </c>
      <c r="J21" s="44" t="s">
        <v>100</v>
      </c>
      <c r="K21" s="40"/>
    </row>
    <row r="22" spans="1:11" ht="15" thickBot="1" x14ac:dyDescent="0.4">
      <c r="A22" s="32" t="s">
        <v>47</v>
      </c>
      <c r="B22" s="16" t="s">
        <v>51</v>
      </c>
      <c r="C22" s="33">
        <f>'Inforce 2'!G18</f>
        <v>730.40649499999995</v>
      </c>
      <c r="D22" s="37">
        <f>'Inforce 2'!M18</f>
        <v>2510.6516485852408</v>
      </c>
      <c r="E22" s="37">
        <f>'Inforce 2'!$D$10</f>
        <v>1000</v>
      </c>
    </row>
    <row r="23" spans="1:11" ht="15" thickBot="1" x14ac:dyDescent="0.4">
      <c r="A23" s="32" t="s">
        <v>78</v>
      </c>
      <c r="B23" s="16" t="s">
        <v>51</v>
      </c>
      <c r="C23" s="33">
        <f>'Inforce 2'!H18</f>
        <v>195.45127779194053</v>
      </c>
      <c r="D23" s="37">
        <f>'Inforce 2'!N18</f>
        <v>1036.0498829201608</v>
      </c>
      <c r="E23" s="37">
        <f>'Inforce 2'!H17</f>
        <v>35.733191996449058</v>
      </c>
      <c r="G23" s="36" t="s">
        <v>15</v>
      </c>
      <c r="H23" s="45">
        <f>'Inforce 2'!$V$18</f>
        <v>184.8109750301837</v>
      </c>
      <c r="J23" s="36" t="s">
        <v>17</v>
      </c>
      <c r="K23" s="48">
        <f>'Inforce 2'!$D$28</f>
        <v>205.55151999999998</v>
      </c>
    </row>
    <row r="24" spans="1:11" ht="15" thickBot="1" x14ac:dyDescent="0.4">
      <c r="A24" s="32" t="s">
        <v>78</v>
      </c>
      <c r="B24" s="16" t="s">
        <v>52</v>
      </c>
      <c r="C24" s="33">
        <f>'Inforce 2'!I18</f>
        <v>19.545127779194058</v>
      </c>
      <c r="D24" s="37">
        <f>'Inforce 2'!O18</f>
        <v>130.2221740192989</v>
      </c>
      <c r="E24" s="37">
        <f>'Inforce 2'!I17</f>
        <v>3.5733191996449101</v>
      </c>
    </row>
    <row r="25" spans="1:11" ht="15" thickBot="1" x14ac:dyDescent="0.4">
      <c r="A25" s="32" t="s">
        <v>48</v>
      </c>
      <c r="B25" s="16" t="s">
        <v>51</v>
      </c>
      <c r="C25" s="33">
        <f>'Inforce 2'!J18</f>
        <v>179.81517556858526</v>
      </c>
      <c r="D25" s="37">
        <f>'Inforce 2'!P18</f>
        <v>953.16589228654834</v>
      </c>
      <c r="E25" s="37">
        <f>'Inforce 2'!J17</f>
        <v>166.33800874347037</v>
      </c>
      <c r="G25" s="30" t="s">
        <v>103</v>
      </c>
      <c r="H25" s="47">
        <f>SUM(D23:D26)</f>
        <v>3675.2953614974053</v>
      </c>
      <c r="J25" s="36" t="s">
        <v>56</v>
      </c>
      <c r="K25" s="39">
        <f>SUM(C23:C26)</f>
        <v>394.81158113971981</v>
      </c>
    </row>
    <row r="26" spans="1:11" x14ac:dyDescent="0.35">
      <c r="A26" s="32" t="s">
        <v>49</v>
      </c>
      <c r="B26" s="16" t="s">
        <v>51</v>
      </c>
      <c r="C26" s="33">
        <f>'Inforce 2'!K18</f>
        <v>0</v>
      </c>
      <c r="D26" s="37">
        <f>'Inforce 2'!Q18</f>
        <v>1555.8574122713976</v>
      </c>
      <c r="E26" s="37">
        <f>'Inforce 2'!K17</f>
        <v>0</v>
      </c>
    </row>
    <row r="27" spans="1:11" ht="15" thickBot="1" x14ac:dyDescent="0.4">
      <c r="A27" s="34" t="s">
        <v>50</v>
      </c>
      <c r="B27" s="17" t="s">
        <v>52</v>
      </c>
      <c r="C27" s="35">
        <f>'Inforce 2'!L18</f>
        <v>51.128454650000002</v>
      </c>
      <c r="D27" s="38">
        <f>'Inforce 2'!R18</f>
        <v>198.5120019939375</v>
      </c>
      <c r="E27" s="38">
        <f>'Inforce 2'!$D$5</f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FB8E-4657-4D55-B95A-C0A9DF35ABED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F503-7D16-41EF-B2CB-22C09151F5B8}">
  <dimension ref="B1:H43"/>
  <sheetViews>
    <sheetView workbookViewId="0"/>
  </sheetViews>
  <sheetFormatPr defaultRowHeight="14.5" x14ac:dyDescent="0.35"/>
  <cols>
    <col min="2" max="2" width="45" customWidth="1"/>
    <col min="3" max="3" width="21" customWidth="1"/>
    <col min="5" max="5" width="49" customWidth="1"/>
    <col min="6" max="6" width="20" customWidth="1"/>
  </cols>
  <sheetData>
    <row r="1" spans="2:8" ht="26" x14ac:dyDescent="0.6">
      <c r="B1" s="55" t="s">
        <v>44</v>
      </c>
      <c r="C1" s="55"/>
      <c r="D1" s="55"/>
      <c r="E1" s="55"/>
      <c r="F1" s="55"/>
    </row>
    <row r="2" spans="2:8" ht="15" thickBot="1" x14ac:dyDescent="0.4"/>
    <row r="3" spans="2:8" ht="19" thickBot="1" x14ac:dyDescent="0.4">
      <c r="B3" s="56" t="s">
        <v>0</v>
      </c>
      <c r="C3" s="57"/>
      <c r="E3" s="58" t="s">
        <v>1</v>
      </c>
      <c r="F3" s="59"/>
    </row>
    <row r="4" spans="2:8" x14ac:dyDescent="0.35">
      <c r="B4" s="60" t="s">
        <v>2</v>
      </c>
      <c r="C4" s="62" t="s">
        <v>3</v>
      </c>
      <c r="E4" s="64" t="s">
        <v>4</v>
      </c>
      <c r="F4" s="66" t="s">
        <v>3</v>
      </c>
    </row>
    <row r="5" spans="2:8" x14ac:dyDescent="0.35">
      <c r="B5" s="61"/>
      <c r="C5" s="63"/>
      <c r="E5" s="65"/>
      <c r="F5" s="67"/>
    </row>
    <row r="6" spans="2:8" x14ac:dyDescent="0.35">
      <c r="B6" s="1" t="s">
        <v>5</v>
      </c>
      <c r="C6" s="2">
        <f>IF(F21&gt;0,F21,0)</f>
        <v>0</v>
      </c>
      <c r="E6" s="3" t="s">
        <v>6</v>
      </c>
      <c r="F6" s="4"/>
    </row>
    <row r="7" spans="2:8" x14ac:dyDescent="0.35">
      <c r="B7" s="1" t="s">
        <v>7</v>
      </c>
      <c r="C7" s="2">
        <v>0</v>
      </c>
      <c r="E7" s="3" t="s">
        <v>33</v>
      </c>
      <c r="F7" s="4"/>
    </row>
    <row r="8" spans="2:8" ht="29" x14ac:dyDescent="0.35">
      <c r="B8" s="1" t="s">
        <v>8</v>
      </c>
      <c r="C8" s="2">
        <f>SUM(Inforce!H17:K17)</f>
        <v>288.72419133130836</v>
      </c>
      <c r="E8" s="3"/>
      <c r="F8" s="4"/>
    </row>
    <row r="9" spans="2:8" x14ac:dyDescent="0.35">
      <c r="B9" s="1" t="s">
        <v>9</v>
      </c>
      <c r="C9" s="2">
        <f>SUM(Inforce!H17:K17)</f>
        <v>288.72419133130836</v>
      </c>
      <c r="E9" s="3" t="s">
        <v>10</v>
      </c>
      <c r="F9" s="4"/>
      <c r="G9" t="s">
        <v>91</v>
      </c>
      <c r="H9" s="21"/>
    </row>
    <row r="10" spans="2:8" x14ac:dyDescent="0.35">
      <c r="B10" s="1" t="s">
        <v>11</v>
      </c>
      <c r="C10" s="2">
        <f>F16*-1</f>
        <v>0</v>
      </c>
      <c r="E10" s="3" t="s">
        <v>12</v>
      </c>
      <c r="F10" s="4"/>
      <c r="G10" t="s">
        <v>91</v>
      </c>
      <c r="H10" s="21"/>
    </row>
    <row r="11" spans="2:8" x14ac:dyDescent="0.35">
      <c r="B11" s="1" t="s">
        <v>13</v>
      </c>
      <c r="C11" s="2">
        <f>(('Inforce 2'!C5+'Inforce 2'!D5)-'Year 1'!C16)*1/7</f>
        <v>39.591836734693878</v>
      </c>
      <c r="E11" s="3" t="s">
        <v>34</v>
      </c>
      <c r="F11" s="4"/>
      <c r="G11" t="s">
        <v>91</v>
      </c>
      <c r="H11" s="21"/>
    </row>
    <row r="12" spans="2:8" x14ac:dyDescent="0.35">
      <c r="B12" s="5" t="s">
        <v>14</v>
      </c>
      <c r="C12" s="6">
        <f>SUM(C6:C8,C11)-SUM(C9:C10)</f>
        <v>39.591836734693857</v>
      </c>
      <c r="E12" s="3" t="s">
        <v>15</v>
      </c>
      <c r="F12" s="4"/>
      <c r="G12" t="s">
        <v>90</v>
      </c>
      <c r="H12" s="21"/>
    </row>
    <row r="13" spans="2:8" x14ac:dyDescent="0.35">
      <c r="B13" s="7"/>
      <c r="C13" s="2"/>
      <c r="E13" s="3" t="s">
        <v>17</v>
      </c>
      <c r="F13" s="4"/>
      <c r="G13" t="s">
        <v>91</v>
      </c>
      <c r="H13" s="21"/>
    </row>
    <row r="14" spans="2:8" x14ac:dyDescent="0.35">
      <c r="B14" s="1" t="s">
        <v>46</v>
      </c>
      <c r="C14" s="2">
        <f>(F15-F19)</f>
        <v>0</v>
      </c>
      <c r="E14" s="3"/>
      <c r="F14" s="4"/>
    </row>
    <row r="15" spans="2:8" x14ac:dyDescent="0.35">
      <c r="B15" s="1" t="s">
        <v>16</v>
      </c>
      <c r="C15" s="2">
        <f>SUM('Inforce 2'!H17:K17)</f>
        <v>205.64451993956433</v>
      </c>
      <c r="E15" s="3" t="s">
        <v>35</v>
      </c>
      <c r="F15" s="4"/>
      <c r="G15" t="s">
        <v>91</v>
      </c>
    </row>
    <row r="16" spans="2:8" x14ac:dyDescent="0.35">
      <c r="B16" s="1" t="s">
        <v>18</v>
      </c>
      <c r="C16" s="2">
        <f>SUM('Inforce 2'!H17,'Inforce 2'!J17:K17)</f>
        <v>202.07120073991942</v>
      </c>
      <c r="E16" s="3" t="s">
        <v>102</v>
      </c>
      <c r="F16" s="18"/>
      <c r="G16" s="20"/>
    </row>
    <row r="17" spans="2:7" x14ac:dyDescent="0.35">
      <c r="B17" s="1" t="s">
        <v>11</v>
      </c>
      <c r="C17" s="2">
        <f>F17*-1</f>
        <v>0</v>
      </c>
      <c r="E17" s="3" t="s">
        <v>41</v>
      </c>
      <c r="F17" s="4"/>
      <c r="G17" s="20"/>
    </row>
    <row r="18" spans="2:7" x14ac:dyDescent="0.35">
      <c r="B18" s="1" t="s">
        <v>19</v>
      </c>
      <c r="C18" s="2">
        <f>(('Inforce 2'!C5+'Inforce 2'!D5)-'Year 1'!C16)*1/7</f>
        <v>39.591836734693878</v>
      </c>
      <c r="E18" s="3"/>
      <c r="F18" s="4"/>
    </row>
    <row r="19" spans="2:7" x14ac:dyDescent="0.35">
      <c r="B19" s="5" t="s">
        <v>20</v>
      </c>
      <c r="C19" s="6">
        <f>SUM(C14:C15,C18)-SUM(C16:C17)</f>
        <v>43.165155934338799</v>
      </c>
      <c r="E19" s="3" t="s">
        <v>21</v>
      </c>
      <c r="F19" s="4"/>
    </row>
    <row r="20" spans="2:7" x14ac:dyDescent="0.35">
      <c r="B20" s="1"/>
      <c r="C20" s="2"/>
      <c r="E20" s="3" t="s">
        <v>42</v>
      </c>
      <c r="F20" s="18"/>
    </row>
    <row r="21" spans="2:7" x14ac:dyDescent="0.35">
      <c r="B21" s="5" t="s">
        <v>22</v>
      </c>
      <c r="C21" s="6">
        <f>C12-C19</f>
        <v>-3.573319199644942</v>
      </c>
      <c r="E21" s="3" t="s">
        <v>43</v>
      </c>
      <c r="F21" s="4"/>
    </row>
    <row r="22" spans="2:7" ht="15" thickBot="1" x14ac:dyDescent="0.4">
      <c r="B22" s="7"/>
      <c r="C22" s="8"/>
      <c r="E22" s="9" t="s">
        <v>23</v>
      </c>
      <c r="F22" s="10"/>
    </row>
    <row r="23" spans="2:7" ht="29" hidden="1" x14ac:dyDescent="0.35">
      <c r="B23" s="1" t="s">
        <v>24</v>
      </c>
      <c r="C23" s="11">
        <f>F13</f>
        <v>0</v>
      </c>
    </row>
    <row r="24" spans="2:7" hidden="1" x14ac:dyDescent="0.35">
      <c r="B24" s="5" t="s">
        <v>25</v>
      </c>
      <c r="C24" s="12">
        <f>C23</f>
        <v>0</v>
      </c>
    </row>
    <row r="25" spans="2:7" hidden="1" x14ac:dyDescent="0.35">
      <c r="B25" s="1"/>
      <c r="C25" s="2"/>
    </row>
    <row r="26" spans="2:7" ht="43.5" hidden="1" x14ac:dyDescent="0.35">
      <c r="B26" s="1" t="s">
        <v>26</v>
      </c>
      <c r="C26" s="2">
        <f>F13</f>
        <v>0</v>
      </c>
    </row>
    <row r="27" spans="2:7" ht="43.5" hidden="1" x14ac:dyDescent="0.35">
      <c r="B27" s="1" t="s">
        <v>27</v>
      </c>
      <c r="C27" s="2">
        <v>0</v>
      </c>
    </row>
    <row r="28" spans="2:7" ht="29" hidden="1" x14ac:dyDescent="0.35">
      <c r="B28" s="1" t="s">
        <v>28</v>
      </c>
      <c r="C28" s="2">
        <v>0</v>
      </c>
    </row>
    <row r="29" spans="2:7" hidden="1" x14ac:dyDescent="0.35">
      <c r="B29" s="5" t="s">
        <v>29</v>
      </c>
      <c r="C29" s="6">
        <f>SUM(C26:C28)</f>
        <v>0</v>
      </c>
    </row>
    <row r="30" spans="2:7" hidden="1" x14ac:dyDescent="0.35">
      <c r="B30" s="1"/>
      <c r="C30" s="2"/>
    </row>
    <row r="31" spans="2:7" ht="29" hidden="1" x14ac:dyDescent="0.35">
      <c r="B31" s="5" t="s">
        <v>30</v>
      </c>
      <c r="C31" s="6">
        <f>C24-C29</f>
        <v>0</v>
      </c>
    </row>
    <row r="32" spans="2:7" hidden="1" x14ac:dyDescent="0.35">
      <c r="B32" s="1"/>
      <c r="C32" s="2"/>
    </row>
    <row r="33" spans="2:3" ht="15" thickBot="1" x14ac:dyDescent="0.4">
      <c r="B33" s="13" t="s">
        <v>31</v>
      </c>
      <c r="C33" s="14">
        <f>C21+C31</f>
        <v>-3.573319199644942</v>
      </c>
    </row>
    <row r="38" spans="2:3" ht="15" thickBot="1" x14ac:dyDescent="0.4"/>
    <row r="39" spans="2:3" x14ac:dyDescent="0.35">
      <c r="B39" s="15" t="s">
        <v>36</v>
      </c>
      <c r="C39" s="27">
        <f>IF(F6&lt;0,F6,0)</f>
        <v>0</v>
      </c>
    </row>
    <row r="40" spans="2:3" x14ac:dyDescent="0.35">
      <c r="B40" s="16" t="s">
        <v>37</v>
      </c>
      <c r="C40" s="24">
        <f>IF(F6&lt;0,F7,0)</f>
        <v>0</v>
      </c>
    </row>
    <row r="41" spans="2:3" x14ac:dyDescent="0.35">
      <c r="B41" s="16" t="s">
        <v>38</v>
      </c>
      <c r="C41" s="24">
        <v>0</v>
      </c>
    </row>
    <row r="42" spans="2:3" x14ac:dyDescent="0.35">
      <c r="B42" s="16" t="s">
        <v>39</v>
      </c>
      <c r="C42" s="24">
        <f>Inputs!$H$25</f>
        <v>3675.2953614974053</v>
      </c>
    </row>
    <row r="43" spans="2:3" ht="15" thickBot="1" x14ac:dyDescent="0.4">
      <c r="B43" s="17" t="s">
        <v>40</v>
      </c>
      <c r="C43" s="25">
        <f>Inputs!$L$16</f>
        <v>288.72419133130836</v>
      </c>
    </row>
  </sheetData>
  <mergeCells count="7">
    <mergeCell ref="B1:F1"/>
    <mergeCell ref="B3:C3"/>
    <mergeCell ref="E3:F3"/>
    <mergeCell ref="B4:B5"/>
    <mergeCell ref="C4:C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69C7-0336-47DB-ADBB-A4C3DD0E1CB0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C82A-A320-4A05-82EA-A9433A9E31FB}">
  <dimension ref="A1:AD34"/>
  <sheetViews>
    <sheetView topLeftCell="N7" workbookViewId="0">
      <selection activeCell="AA15" sqref="AA15"/>
    </sheetView>
  </sheetViews>
  <sheetFormatPr defaultRowHeight="14.5" x14ac:dyDescent="0.35"/>
  <cols>
    <col min="1" max="1" width="19.1796875" bestFit="1" customWidth="1"/>
    <col min="2" max="3" width="9.08984375" bestFit="1" customWidth="1"/>
    <col min="4" max="4" width="8.81640625" bestFit="1" customWidth="1"/>
    <col min="5" max="5" width="14.81640625" bestFit="1" customWidth="1"/>
    <col min="6" max="6" width="9.08984375" bestFit="1" customWidth="1"/>
    <col min="7" max="7" width="11.08984375" bestFit="1" customWidth="1"/>
    <col min="8" max="8" width="12.6328125" bestFit="1" customWidth="1"/>
    <col min="9" max="9" width="16.90625" bestFit="1" customWidth="1"/>
    <col min="10" max="10" width="7.81640625" bestFit="1" customWidth="1"/>
    <col min="11" max="11" width="9.08984375" bestFit="1" customWidth="1"/>
    <col min="12" max="12" width="10.36328125" bestFit="1" customWidth="1"/>
    <col min="13" max="14" width="10.1796875" customWidth="1"/>
    <col min="15" max="15" width="11.90625" bestFit="1" customWidth="1"/>
    <col min="16" max="17" width="9.08984375" bestFit="1" customWidth="1"/>
    <col min="19" max="20" width="0" hidden="1" customWidth="1"/>
    <col min="25" max="25" width="9.08984375" bestFit="1" customWidth="1"/>
  </cols>
  <sheetData>
    <row r="1" spans="1:30" x14ac:dyDescent="0.35">
      <c r="A1" s="22" t="s">
        <v>57</v>
      </c>
    </row>
    <row r="3" spans="1:30" x14ac:dyDescent="0.35">
      <c r="A3" t="s">
        <v>58</v>
      </c>
      <c r="B3">
        <v>0.01</v>
      </c>
      <c r="C3" t="s">
        <v>84</v>
      </c>
    </row>
    <row r="4" spans="1:30" x14ac:dyDescent="0.35">
      <c r="A4" t="s">
        <v>59</v>
      </c>
      <c r="B4">
        <v>0.08</v>
      </c>
    </row>
    <row r="5" spans="1:30" x14ac:dyDescent="0.35">
      <c r="A5" t="s">
        <v>50</v>
      </c>
      <c r="B5">
        <v>200</v>
      </c>
    </row>
    <row r="6" spans="1:30" x14ac:dyDescent="0.35">
      <c r="A6" t="s">
        <v>63</v>
      </c>
      <c r="B6">
        <v>0.1</v>
      </c>
    </row>
    <row r="7" spans="1:30" x14ac:dyDescent="0.35">
      <c r="A7" t="s">
        <v>60</v>
      </c>
      <c r="B7">
        <v>0.06</v>
      </c>
    </row>
    <row r="8" spans="1:30" x14ac:dyDescent="0.35">
      <c r="A8" t="s">
        <v>82</v>
      </c>
      <c r="B8">
        <v>0.04</v>
      </c>
    </row>
    <row r="9" spans="1:30" x14ac:dyDescent="0.35">
      <c r="A9" t="s">
        <v>61</v>
      </c>
      <c r="B9">
        <v>3.0000000000000001E-3</v>
      </c>
    </row>
    <row r="10" spans="1:30" x14ac:dyDescent="0.35">
      <c r="A10" t="s">
        <v>47</v>
      </c>
      <c r="B10">
        <v>1000</v>
      </c>
    </row>
    <row r="11" spans="1:30" x14ac:dyDescent="0.35">
      <c r="A11" t="s">
        <v>62</v>
      </c>
      <c r="B11" t="s">
        <v>85</v>
      </c>
    </row>
    <row r="13" spans="1:30" x14ac:dyDescent="0.35">
      <c r="M13" t="s">
        <v>55</v>
      </c>
    </row>
    <row r="14" spans="1:30" x14ac:dyDescent="0.35">
      <c r="A14" t="s">
        <v>54</v>
      </c>
      <c r="G14" t="s">
        <v>51</v>
      </c>
      <c r="H14" t="s">
        <v>51</v>
      </c>
      <c r="I14" t="s">
        <v>52</v>
      </c>
      <c r="J14" t="s">
        <v>51</v>
      </c>
      <c r="K14" t="s">
        <v>51</v>
      </c>
      <c r="L14" t="s">
        <v>52</v>
      </c>
      <c r="M14" t="s">
        <v>51</v>
      </c>
      <c r="N14" t="s">
        <v>51</v>
      </c>
      <c r="O14" t="s">
        <v>52</v>
      </c>
      <c r="P14" t="s">
        <v>51</v>
      </c>
      <c r="Q14" t="s">
        <v>51</v>
      </c>
      <c r="R14" t="s">
        <v>52</v>
      </c>
      <c r="S14" t="s">
        <v>51</v>
      </c>
      <c r="T14" t="s">
        <v>52</v>
      </c>
      <c r="AA14" t="s">
        <v>52</v>
      </c>
    </row>
    <row r="15" spans="1:30" x14ac:dyDescent="0.35">
      <c r="A15" t="s">
        <v>64</v>
      </c>
      <c r="B15" s="26" t="s">
        <v>69</v>
      </c>
      <c r="C15" s="26" t="s">
        <v>66</v>
      </c>
      <c r="D15" s="26" t="s">
        <v>67</v>
      </c>
      <c r="E15" s="26" t="s">
        <v>68</v>
      </c>
      <c r="F15" s="26" t="s">
        <v>70</v>
      </c>
      <c r="G15" t="s">
        <v>47</v>
      </c>
      <c r="H15" t="s">
        <v>78</v>
      </c>
      <c r="I15" t="s">
        <v>78</v>
      </c>
      <c r="J15" t="s">
        <v>48</v>
      </c>
      <c r="K15" t="s">
        <v>49</v>
      </c>
      <c r="L15" t="s">
        <v>50</v>
      </c>
      <c r="M15" t="s">
        <v>47</v>
      </c>
      <c r="N15" t="s">
        <v>78</v>
      </c>
      <c r="O15" t="s">
        <v>78</v>
      </c>
      <c r="P15" t="s">
        <v>48</v>
      </c>
      <c r="Q15" t="s">
        <v>49</v>
      </c>
      <c r="R15" t="s">
        <v>50</v>
      </c>
      <c r="S15" t="s">
        <v>53</v>
      </c>
      <c r="T15" t="s">
        <v>53</v>
      </c>
      <c r="U15" t="s">
        <v>53</v>
      </c>
      <c r="V15" t="s">
        <v>79</v>
      </c>
      <c r="W15" t="s">
        <v>56</v>
      </c>
      <c r="AA15" t="s">
        <v>111</v>
      </c>
      <c r="AB15" t="str">
        <f>$O$15</f>
        <v>Death Benefits</v>
      </c>
      <c r="AC15" t="str">
        <f>$R$15</f>
        <v>Expenses</v>
      </c>
      <c r="AD15" t="s">
        <v>53</v>
      </c>
    </row>
    <row r="16" spans="1:30" x14ac:dyDescent="0.35">
      <c r="A16">
        <v>0</v>
      </c>
      <c r="B16" s="26">
        <v>1</v>
      </c>
      <c r="C16" s="26">
        <f>B16*$B$3</f>
        <v>0.01</v>
      </c>
      <c r="D16" s="26">
        <f>(B16-C16)*$B$4</f>
        <v>7.9200000000000007E-2</v>
      </c>
      <c r="E16" s="26">
        <v>0</v>
      </c>
      <c r="F16" s="26">
        <f>B16-C16-D16-E16</f>
        <v>0.91079999999999994</v>
      </c>
      <c r="G16" s="21">
        <f t="shared" ref="G16:G23" si="0">J27</f>
        <v>1000</v>
      </c>
      <c r="H16" s="21">
        <f t="shared" ref="H16:H23" si="1">M27</f>
        <v>10.555152000000001</v>
      </c>
      <c r="I16" s="21">
        <f>(MAX(SUM($C$27:C27),1.1*G27)-G27)*C16</f>
        <v>1.0555152000000021</v>
      </c>
      <c r="J16" s="21">
        <f t="shared" ref="J16:K23" si="2">N27</f>
        <v>83.596803840000007</v>
      </c>
      <c r="K16" s="21">
        <f t="shared" si="2"/>
        <v>0</v>
      </c>
      <c r="L16" s="21">
        <f>$B$5*B16</f>
        <v>200</v>
      </c>
      <c r="M16" s="21">
        <f>G16+M17/(1+$B$6)</f>
        <v>4529.5122300065686</v>
      </c>
      <c r="N16" s="21">
        <f>(H16+N17)/(1+$B$6)</f>
        <v>171.81708897760859</v>
      </c>
      <c r="O16" s="21">
        <f>(I16+O17)/(1+$B$7)</f>
        <v>20.734844186499011</v>
      </c>
      <c r="P16" s="21">
        <f t="shared" ref="P16:Q23" si="3">(J16+P17)/(1+$B$6)</f>
        <v>1360.7913447026604</v>
      </c>
      <c r="Q16" s="21">
        <f t="shared" si="3"/>
        <v>2267.5143484795058</v>
      </c>
      <c r="R16" s="21">
        <f>L16+R17/(1+$B$7)</f>
        <v>998.72507753903176</v>
      </c>
      <c r="S16" s="20">
        <f>N16+P16+Q16-M16</f>
        <v>-729.3894478467937</v>
      </c>
      <c r="T16" s="20">
        <f>R16+O16</f>
        <v>1019.4599217255308</v>
      </c>
      <c r="U16" s="20">
        <f>SUM(S16:T16)</f>
        <v>290.07047387873706</v>
      </c>
      <c r="V16" s="23">
        <f>(S16+G16)*$B$6-(L16-T16)*$B$7</f>
        <v>76.228650518852476</v>
      </c>
      <c r="W16" s="20">
        <f>SUM(H16:K16)</f>
        <v>95.207471040000016</v>
      </c>
      <c r="X16" s="23">
        <f>(L27+X17)/(1+$B$6)</f>
        <v>729.38944784679154</v>
      </c>
      <c r="Y16" s="23">
        <f>S16+X16</f>
        <v>-2.1600499167107046E-12</v>
      </c>
      <c r="AA16" s="21">
        <f>(L27+AA17)/(1+$B$6)</f>
        <v>729.38944784679154</v>
      </c>
      <c r="AB16" s="20">
        <f>O16</f>
        <v>20.734844186499011</v>
      </c>
      <c r="AC16" s="20">
        <f>R16</f>
        <v>998.72507753903176</v>
      </c>
      <c r="AD16" s="20">
        <f>AC16+AB16-AA16</f>
        <v>290.07047387873922</v>
      </c>
    </row>
    <row r="17" spans="1:30" x14ac:dyDescent="0.35">
      <c r="A17">
        <v>1</v>
      </c>
      <c r="B17" s="26">
        <f>F16</f>
        <v>0.91079999999999994</v>
      </c>
      <c r="C17" s="26">
        <f t="shared" ref="C17:C23" si="4">B17*$B$3</f>
        <v>9.1079999999999998E-3</v>
      </c>
      <c r="D17" s="26">
        <f>(B17-C17)*$B$4</f>
        <v>7.2135359999999996E-2</v>
      </c>
      <c r="E17" s="26">
        <v>0</v>
      </c>
      <c r="F17" s="26">
        <f>B17-C17-D17-E17</f>
        <v>0.82955663999999996</v>
      </c>
      <c r="G17" s="21">
        <f t="shared" si="0"/>
        <v>910.8</v>
      </c>
      <c r="H17" s="21">
        <f t="shared" si="1"/>
        <v>19.759450713597111</v>
      </c>
      <c r="I17" s="21">
        <f>(MAX(SUM($C$27:C28),1.1*G28)-G28)*C17</f>
        <v>1.9759450713597135</v>
      </c>
      <c r="J17" s="21">
        <f t="shared" si="2"/>
        <v>156.49484965168909</v>
      </c>
      <c r="K17" s="21">
        <f t="shared" si="2"/>
        <v>0</v>
      </c>
      <c r="L17" s="21">
        <f t="shared" ref="L17:L23" si="5">$B$5*B17</f>
        <v>182.16</v>
      </c>
      <c r="M17" s="21">
        <f t="shared" ref="M17:M23" si="6">G17+M18/(1+$B$6)</f>
        <v>3882.4634530072253</v>
      </c>
      <c r="N17" s="21">
        <f t="shared" ref="N17:N23" si="7">(H17+N18)/(1+$B$6)</f>
        <v>178.44364587536947</v>
      </c>
      <c r="O17" s="21">
        <f t="shared" ref="O17:O23" si="8">(I17+O18)/(1+$B$7)</f>
        <v>20.923419637688951</v>
      </c>
      <c r="P17" s="21">
        <f t="shared" si="3"/>
        <v>1413.2736753329266</v>
      </c>
      <c r="Q17" s="21">
        <f t="shared" si="3"/>
        <v>2494.2657833274566</v>
      </c>
      <c r="R17" s="21">
        <f t="shared" ref="R17:R23" si="9">L17+R18/(1+$B$7)</f>
        <v>846.64858219137375</v>
      </c>
      <c r="S17" s="20">
        <f t="shared" ref="S17:S23" si="10">N17+P17+Q17-M17</f>
        <v>203.51965152852699</v>
      </c>
      <c r="T17" s="20">
        <f t="shared" ref="T17:T23" si="11">R17+O17</f>
        <v>867.57200182906274</v>
      </c>
      <c r="U17" s="20">
        <f>SUM(S17:T17)</f>
        <v>1071.0916533575896</v>
      </c>
      <c r="V17" s="23">
        <f>(S17+G17)*$B$6-(L17-T17)*$B$7</f>
        <v>152.55668526259646</v>
      </c>
      <c r="W17" s="20">
        <f>SUM(H17:K17)</f>
        <v>178.23024543664593</v>
      </c>
      <c r="X17" s="23">
        <f>(L28+X18)/(1+$B$6)</f>
        <v>757.84359263147076</v>
      </c>
      <c r="Y17" s="23">
        <f>S17+X17</f>
        <v>961.36324415999775</v>
      </c>
      <c r="AA17" s="21">
        <f t="shared" ref="AA17:AA23" si="12">(L28+AA18)/(1+$B$6)</f>
        <v>757.84359263147076</v>
      </c>
      <c r="AB17" s="20">
        <f t="shared" ref="AB17:AB23" si="13">O17</f>
        <v>20.923419637688951</v>
      </c>
      <c r="AC17" s="20">
        <f t="shared" ref="AC17:AC23" si="14">R17</f>
        <v>846.64858219137375</v>
      </c>
      <c r="AD17" s="20">
        <f t="shared" ref="AD17:AD23" si="15">AC17+AB17-AA17</f>
        <v>109.72840919759199</v>
      </c>
    </row>
    <row r="18" spans="1:30" x14ac:dyDescent="0.35">
      <c r="A18">
        <v>2</v>
      </c>
      <c r="B18" s="26">
        <f t="shared" ref="B18:B23" si="16">F17</f>
        <v>0.82955663999999996</v>
      </c>
      <c r="C18" s="26">
        <f t="shared" si="4"/>
        <v>8.2955663999999991E-3</v>
      </c>
      <c r="D18" s="26">
        <f t="shared" ref="D18:D23" si="17">(B18-C18)*$B$4</f>
        <v>6.5700885888000007E-2</v>
      </c>
      <c r="E18" s="26">
        <v>0</v>
      </c>
      <c r="F18" s="26">
        <f t="shared" ref="F18:F23" si="18">B18-C18-D18-E18</f>
        <v>0.75556018771199995</v>
      </c>
      <c r="G18" s="21">
        <f t="shared" si="0"/>
        <v>829.5566399999999</v>
      </c>
      <c r="H18" s="21">
        <f t="shared" si="1"/>
        <v>27.74788874392279</v>
      </c>
      <c r="I18" s="21">
        <f>(MAX(SUM($C$27:C29),1.1*G29)-G29)*C18</f>
        <v>2.7747888743922795</v>
      </c>
      <c r="J18" s="21">
        <f t="shared" si="2"/>
        <v>219.76327885186853</v>
      </c>
      <c r="K18" s="21">
        <f t="shared" si="2"/>
        <v>0</v>
      </c>
      <c r="L18" s="21">
        <f t="shared" si="5"/>
        <v>165.911328</v>
      </c>
      <c r="M18" s="21">
        <f t="shared" si="6"/>
        <v>3268.8297983079478</v>
      </c>
      <c r="N18" s="21">
        <f t="shared" si="7"/>
        <v>176.52855974930932</v>
      </c>
      <c r="O18" s="21">
        <f t="shared" si="8"/>
        <v>20.202879744590575</v>
      </c>
      <c r="P18" s="21">
        <f t="shared" si="3"/>
        <v>1398.1061932145303</v>
      </c>
      <c r="Q18" s="21">
        <f t="shared" si="3"/>
        <v>2743.6923616602026</v>
      </c>
      <c r="R18" s="21">
        <f t="shared" si="9"/>
        <v>704.35789712285623</v>
      </c>
      <c r="S18" s="20">
        <f t="shared" si="10"/>
        <v>1049.4973163160944</v>
      </c>
      <c r="T18" s="20">
        <f t="shared" si="11"/>
        <v>724.56077686744675</v>
      </c>
      <c r="U18" s="20">
        <f>SUM(S18:T18)</f>
        <v>1774.0580931835411</v>
      </c>
      <c r="V18" s="23">
        <f>(S18+G18)*$B$6-(L18-T18)*$B$7</f>
        <v>221.42436256365622</v>
      </c>
      <c r="W18" s="20">
        <f>SUM(H18:K18)</f>
        <v>250.28595647018361</v>
      </c>
      <c r="X18" s="23">
        <f>(L29+X19)/(1+$B$6)</f>
        <v>750.1934546783292</v>
      </c>
      <c r="Y18" s="23">
        <f>S18+X18</f>
        <v>1799.6907709944235</v>
      </c>
      <c r="AA18" s="21">
        <f t="shared" si="12"/>
        <v>750.1934546783292</v>
      </c>
      <c r="AB18" s="20">
        <f t="shared" si="13"/>
        <v>20.202879744590575</v>
      </c>
      <c r="AC18" s="20">
        <f t="shared" si="14"/>
        <v>704.35789712285623</v>
      </c>
      <c r="AD18" s="20">
        <f t="shared" si="15"/>
        <v>-25.632677810882456</v>
      </c>
    </row>
    <row r="19" spans="1:30" x14ac:dyDescent="0.35">
      <c r="A19">
        <v>3</v>
      </c>
      <c r="B19" s="26">
        <f t="shared" si="16"/>
        <v>0.75556018771199995</v>
      </c>
      <c r="C19" s="26">
        <f t="shared" si="4"/>
        <v>7.5556018771199994E-3</v>
      </c>
      <c r="D19" s="26">
        <f t="shared" si="17"/>
        <v>5.9840366866790395E-2</v>
      </c>
      <c r="E19" s="26">
        <v>0</v>
      </c>
      <c r="F19" s="26">
        <f t="shared" si="18"/>
        <v>0.68816421896808955</v>
      </c>
      <c r="G19" s="21">
        <f t="shared" si="0"/>
        <v>755.5601877119999</v>
      </c>
      <c r="H19" s="21">
        <f t="shared" si="1"/>
        <v>34.643035053587241</v>
      </c>
      <c r="I19" s="21">
        <f>(MAX(SUM($C$27:C30),1.1*G30)-G30)*C19</f>
        <v>3.464303505358727</v>
      </c>
      <c r="J19" s="21">
        <f t="shared" si="2"/>
        <v>274.37283762441098</v>
      </c>
      <c r="K19" s="21">
        <f t="shared" si="2"/>
        <v>0</v>
      </c>
      <c r="L19" s="21">
        <f t="shared" si="5"/>
        <v>151.1120375424</v>
      </c>
      <c r="M19" s="21">
        <f t="shared" si="6"/>
        <v>2683.2004741387432</v>
      </c>
      <c r="N19" s="21">
        <f t="shared" si="7"/>
        <v>166.43352698031748</v>
      </c>
      <c r="O19" s="21">
        <f t="shared" si="8"/>
        <v>18.640263654873731</v>
      </c>
      <c r="P19" s="21">
        <f t="shared" si="3"/>
        <v>1318.1535336841148</v>
      </c>
      <c r="Q19" s="21">
        <f t="shared" si="3"/>
        <v>3018.0615978262231</v>
      </c>
      <c r="R19" s="21">
        <f t="shared" si="9"/>
        <v>570.75336327022762</v>
      </c>
      <c r="S19" s="20">
        <f t="shared" si="10"/>
        <v>1819.448184351912</v>
      </c>
      <c r="T19" s="20">
        <f t="shared" si="11"/>
        <v>589.39362692510133</v>
      </c>
      <c r="U19" s="20">
        <f>SUM(S19:T19)</f>
        <v>2408.8418112770132</v>
      </c>
      <c r="V19" s="23">
        <f>(S19+G19)*$B$6-(L19-T19)*$B$7</f>
        <v>283.79773256935323</v>
      </c>
      <c r="W19" s="20">
        <f>SUM(H19:K19)</f>
        <v>312.48017618335695</v>
      </c>
      <c r="X19" s="23">
        <f>(L30+X20)/(1+$B$6)</f>
        <v>707.82952244457408</v>
      </c>
      <c r="Y19" s="23">
        <f>S19+X19</f>
        <v>2527.2777067964862</v>
      </c>
      <c r="AA19" s="21">
        <f t="shared" si="12"/>
        <v>707.82952244457408</v>
      </c>
      <c r="AB19" s="20">
        <f t="shared" si="13"/>
        <v>18.640263654873731</v>
      </c>
      <c r="AC19" s="20">
        <f t="shared" si="14"/>
        <v>570.75336327022762</v>
      </c>
      <c r="AD19" s="20">
        <f t="shared" si="15"/>
        <v>-118.43589551947275</v>
      </c>
    </row>
    <row r="20" spans="1:30" x14ac:dyDescent="0.35">
      <c r="A20">
        <v>4</v>
      </c>
      <c r="B20" s="26">
        <f t="shared" si="16"/>
        <v>0.68816421896808955</v>
      </c>
      <c r="C20" s="26">
        <f t="shared" si="4"/>
        <v>6.8816421896808954E-3</v>
      </c>
      <c r="D20" s="26">
        <f t="shared" si="17"/>
        <v>5.4502606142272696E-2</v>
      </c>
      <c r="E20" s="26">
        <v>0</v>
      </c>
      <c r="F20" s="26">
        <f t="shared" si="18"/>
        <v>0.626779970636136</v>
      </c>
      <c r="G20" s="21">
        <f t="shared" si="0"/>
        <v>688.16421896808959</v>
      </c>
      <c r="H20" s="21">
        <f t="shared" si="1"/>
        <v>40.556139576130455</v>
      </c>
      <c r="I20" s="21">
        <f>(MAX(SUM($C$27:C31),1.1*G31)-G31)*C20</f>
        <v>4.0556139576130459</v>
      </c>
      <c r="J20" s="21">
        <f t="shared" si="2"/>
        <v>321.20462544295322</v>
      </c>
      <c r="K20" s="21">
        <f t="shared" si="2"/>
        <v>0</v>
      </c>
      <c r="L20" s="21">
        <f t="shared" si="5"/>
        <v>137.63284379361792</v>
      </c>
      <c r="M20" s="21">
        <f t="shared" si="6"/>
        <v>2120.4043150694179</v>
      </c>
      <c r="N20" s="21">
        <f t="shared" si="7"/>
        <v>148.433844624762</v>
      </c>
      <c r="O20" s="21">
        <f t="shared" si="8"/>
        <v>16.294375968807429</v>
      </c>
      <c r="P20" s="21">
        <f t="shared" si="3"/>
        <v>1175.5960494281155</v>
      </c>
      <c r="Q20" s="21">
        <f t="shared" si="3"/>
        <v>3319.8677576088457</v>
      </c>
      <c r="R20" s="21">
        <f t="shared" si="9"/>
        <v>444.81980527149733</v>
      </c>
      <c r="S20" s="20">
        <f t="shared" si="10"/>
        <v>2523.4933365923052</v>
      </c>
      <c r="T20" s="20">
        <f t="shared" si="11"/>
        <v>461.11418124030479</v>
      </c>
      <c r="U20" s="20">
        <f>SUM(S20:T20)</f>
        <v>2984.60751783261</v>
      </c>
      <c r="V20" s="23">
        <f>(S20+G20)*$B$6-(L20-T20)*$B$7</f>
        <v>340.57463580284076</v>
      </c>
      <c r="W20" s="20">
        <f>SUM(H20:K20)</f>
        <v>365.81637897669674</v>
      </c>
      <c r="X20" s="23">
        <f>(L31+X21)/(1+$B$6)</f>
        <v>631.79429608841883</v>
      </c>
      <c r="Y20" s="23">
        <f>S20+X20</f>
        <v>3155.2876326807241</v>
      </c>
      <c r="AA20" s="21">
        <f t="shared" si="12"/>
        <v>631.79429608841883</v>
      </c>
      <c r="AB20" s="20">
        <f t="shared" si="13"/>
        <v>16.294375968807429</v>
      </c>
      <c r="AC20" s="20">
        <f t="shared" si="14"/>
        <v>444.81980527149733</v>
      </c>
      <c r="AD20" s="20">
        <f t="shared" si="15"/>
        <v>-170.68011484811404</v>
      </c>
    </row>
    <row r="21" spans="1:30" x14ac:dyDescent="0.35">
      <c r="A21">
        <v>5</v>
      </c>
      <c r="B21" s="26">
        <f t="shared" si="16"/>
        <v>0.626779970636136</v>
      </c>
      <c r="C21" s="26">
        <f t="shared" si="4"/>
        <v>6.2677997063613601E-3</v>
      </c>
      <c r="D21" s="26">
        <f t="shared" si="17"/>
        <v>4.9640973674381972E-2</v>
      </c>
      <c r="E21" s="26">
        <v>0</v>
      </c>
      <c r="F21" s="26">
        <f t="shared" si="18"/>
        <v>0.57087119725539259</v>
      </c>
      <c r="G21" s="21">
        <f t="shared" si="0"/>
        <v>626.779970636136</v>
      </c>
      <c r="H21" s="21">
        <f t="shared" si="1"/>
        <v>45.588141173952096</v>
      </c>
      <c r="I21" s="21">
        <f>(MAX(SUM($C$27:C32),1.1*G32)-G32)*C21</f>
        <v>4.5588141173952126</v>
      </c>
      <c r="J21" s="21">
        <f t="shared" si="2"/>
        <v>361.05807809770056</v>
      </c>
      <c r="K21" s="21">
        <f t="shared" si="2"/>
        <v>0</v>
      </c>
      <c r="L21" s="21">
        <f t="shared" si="5"/>
        <v>125.35599412722721</v>
      </c>
      <c r="M21" s="21">
        <f t="shared" si="6"/>
        <v>1575.4641057114611</v>
      </c>
      <c r="N21" s="21">
        <f t="shared" si="7"/>
        <v>122.72108951110778</v>
      </c>
      <c r="O21" s="21">
        <f t="shared" si="8"/>
        <v>13.216424569322831</v>
      </c>
      <c r="P21" s="21">
        <f t="shared" si="3"/>
        <v>971.95102892797377</v>
      </c>
      <c r="Q21" s="21">
        <f t="shared" si="3"/>
        <v>3651.8545333697307</v>
      </c>
      <c r="R21" s="21">
        <f t="shared" si="9"/>
        <v>325.61817916655218</v>
      </c>
      <c r="S21" s="20">
        <f t="shared" si="10"/>
        <v>3171.0625460973506</v>
      </c>
      <c r="T21" s="20">
        <f t="shared" si="11"/>
        <v>338.83460373587502</v>
      </c>
      <c r="U21" s="20">
        <f>SUM(S21:T21)</f>
        <v>3509.8971498332257</v>
      </c>
      <c r="V21" s="23">
        <f>(S21+G21)*$B$6-(L21-T21)*$B$7</f>
        <v>392.59296824986757</v>
      </c>
      <c r="W21" s="20">
        <f>SUM(H21:K21)</f>
        <v>411.20503338904786</v>
      </c>
      <c r="X21" s="23">
        <f>(L32+X22)/(1+$B$6)</f>
        <v>522.79064649660836</v>
      </c>
      <c r="Y21" s="23">
        <f>S21+X21</f>
        <v>3693.8531925939587</v>
      </c>
      <c r="AA21" s="21">
        <f t="shared" si="12"/>
        <v>522.79064649660836</v>
      </c>
      <c r="AB21" s="20">
        <f t="shared" si="13"/>
        <v>13.216424569322831</v>
      </c>
      <c r="AC21" s="20">
        <f t="shared" si="14"/>
        <v>325.61817916655218</v>
      </c>
      <c r="AD21" s="20">
        <f t="shared" si="15"/>
        <v>-183.95604276073334</v>
      </c>
    </row>
    <row r="22" spans="1:30" x14ac:dyDescent="0.35">
      <c r="A22">
        <v>6</v>
      </c>
      <c r="B22" s="26">
        <f t="shared" si="16"/>
        <v>0.57087119725539259</v>
      </c>
      <c r="C22" s="26">
        <f t="shared" si="4"/>
        <v>5.7087119725539263E-3</v>
      </c>
      <c r="D22" s="26">
        <f t="shared" si="17"/>
        <v>4.5212998822627089E-2</v>
      </c>
      <c r="E22" s="26">
        <v>0</v>
      </c>
      <c r="F22" s="26">
        <f t="shared" si="18"/>
        <v>0.51994948646021155</v>
      </c>
      <c r="G22" s="21">
        <f t="shared" si="0"/>
        <v>570.87119725539264</v>
      </c>
      <c r="H22" s="21">
        <f t="shared" si="1"/>
        <v>49.830587332229562</v>
      </c>
      <c r="I22" s="21">
        <f>(MAX(SUM($C$27:C33),1.1*G33)-G33)*C22</f>
        <v>4.9830587332229586</v>
      </c>
      <c r="J22" s="21">
        <f t="shared" si="2"/>
        <v>394.65825167125809</v>
      </c>
      <c r="K22" s="21">
        <f t="shared" si="2"/>
        <v>0</v>
      </c>
      <c r="L22" s="21">
        <f t="shared" si="5"/>
        <v>114.17423945107852</v>
      </c>
      <c r="M22" s="21">
        <f t="shared" si="6"/>
        <v>1043.5525485828578</v>
      </c>
      <c r="N22" s="21">
        <f t="shared" si="7"/>
        <v>89.405057288266491</v>
      </c>
      <c r="O22" s="21">
        <f t="shared" si="8"/>
        <v>9.4505959260869883</v>
      </c>
      <c r="P22" s="21">
        <f t="shared" si="3"/>
        <v>708.08805372307063</v>
      </c>
      <c r="Q22" s="21">
        <f t="shared" si="3"/>
        <v>4017.039986706704</v>
      </c>
      <c r="R22" s="21">
        <f t="shared" si="9"/>
        <v>212.27791614168447</v>
      </c>
      <c r="S22" s="20">
        <f t="shared" si="10"/>
        <v>3770.9805491351835</v>
      </c>
      <c r="T22" s="20">
        <f t="shared" si="11"/>
        <v>221.72851206777145</v>
      </c>
      <c r="U22" s="20">
        <f>SUM(S22:T22)</f>
        <v>3992.7090612029551</v>
      </c>
      <c r="V22" s="23">
        <f>(S22+G22)*$B$6-(L22-T22)*$B$7</f>
        <v>440.63843099605924</v>
      </c>
      <c r="W22" s="20">
        <f>SUM(H22:K22)</f>
        <v>449.47189773671062</v>
      </c>
      <c r="X22" s="23">
        <f>(L33+X23)/(1+$B$6)</f>
        <v>381.18734898837113</v>
      </c>
      <c r="Y22" s="23">
        <f>S22+X22</f>
        <v>4152.1678981235546</v>
      </c>
      <c r="AA22" s="21">
        <f t="shared" si="12"/>
        <v>381.18734898837113</v>
      </c>
      <c r="AB22" s="20">
        <f t="shared" si="13"/>
        <v>9.4505959260869883</v>
      </c>
      <c r="AC22" s="20">
        <f t="shared" si="14"/>
        <v>212.27791614168447</v>
      </c>
      <c r="AD22" s="20">
        <f t="shared" si="15"/>
        <v>-159.45883692059968</v>
      </c>
    </row>
    <row r="23" spans="1:30" x14ac:dyDescent="0.35">
      <c r="A23">
        <v>7</v>
      </c>
      <c r="B23" s="26">
        <f t="shared" si="16"/>
        <v>0.51994948646021155</v>
      </c>
      <c r="C23" s="26">
        <f t="shared" si="4"/>
        <v>5.1994948646021154E-3</v>
      </c>
      <c r="D23" s="26">
        <f t="shared" si="17"/>
        <v>4.1179999327648757E-2</v>
      </c>
      <c r="E23" s="26">
        <f>B23-C23-D23</f>
        <v>0.47356999226796065</v>
      </c>
      <c r="F23" s="26">
        <f t="shared" si="18"/>
        <v>0</v>
      </c>
      <c r="G23" s="21">
        <f t="shared" si="0"/>
        <v>519.94948646021157</v>
      </c>
      <c r="H23" s="21">
        <f t="shared" si="1"/>
        <v>53.366473253349945</v>
      </c>
      <c r="I23" s="21">
        <f>(MAX(SUM($C$27:C34),1.1*G34)-G34)*C23</f>
        <v>5.3366473253350044</v>
      </c>
      <c r="J23" s="21">
        <f t="shared" si="2"/>
        <v>422.6624681665316</v>
      </c>
      <c r="K23" s="21">
        <f t="shared" si="2"/>
        <v>4860.6183839151126</v>
      </c>
      <c r="L23" s="21">
        <f t="shared" si="5"/>
        <v>103.98989729204231</v>
      </c>
      <c r="M23" s="21">
        <f t="shared" si="6"/>
        <v>519.94948646021157</v>
      </c>
      <c r="N23" s="21">
        <f t="shared" si="7"/>
        <v>48.514975684863579</v>
      </c>
      <c r="O23" s="21">
        <f t="shared" si="8"/>
        <v>5.0345729484292496</v>
      </c>
      <c r="P23" s="21">
        <f t="shared" si="3"/>
        <v>384.23860742411961</v>
      </c>
      <c r="Q23" s="21">
        <f t="shared" si="3"/>
        <v>4418.7439853773749</v>
      </c>
      <c r="R23" s="21">
        <f t="shared" si="9"/>
        <v>103.98989729204231</v>
      </c>
      <c r="S23" s="20">
        <f t="shared" si="10"/>
        <v>4331.5480820261473</v>
      </c>
      <c r="T23" s="20">
        <f t="shared" si="11"/>
        <v>109.02447024047156</v>
      </c>
      <c r="U23" s="20">
        <f>SUM(S23:T23)</f>
        <v>4440.5725522666189</v>
      </c>
      <c r="V23" s="23">
        <f>(S23+G23)*$B$6-(L23-T23)*$B$7</f>
        <v>485.45183122554164</v>
      </c>
      <c r="W23" s="20">
        <f>SUM(H23:K23)</f>
        <v>5341.9839726603295</v>
      </c>
      <c r="X23" s="23">
        <f>(L34+X24)/(1+$B$6)</f>
        <v>207.02181219332127</v>
      </c>
      <c r="Y23" s="23">
        <f>S23+X23</f>
        <v>4538.5698942194686</v>
      </c>
      <c r="AA23" s="21">
        <f t="shared" si="12"/>
        <v>207.02181219332127</v>
      </c>
      <c r="AB23" s="20">
        <f t="shared" si="13"/>
        <v>5.0345729484292496</v>
      </c>
      <c r="AC23" s="20">
        <f t="shared" si="14"/>
        <v>103.98989729204231</v>
      </c>
      <c r="AD23" s="20">
        <f t="shared" si="15"/>
        <v>-97.997341952849709</v>
      </c>
    </row>
    <row r="25" spans="1:30" x14ac:dyDescent="0.35">
      <c r="A25" s="22" t="s">
        <v>71</v>
      </c>
      <c r="I25" t="s">
        <v>65</v>
      </c>
    </row>
    <row r="26" spans="1:30" x14ac:dyDescent="0.35">
      <c r="A26" t="s">
        <v>64</v>
      </c>
      <c r="B26" t="s">
        <v>72</v>
      </c>
      <c r="C26" t="s">
        <v>73</v>
      </c>
      <c r="D26" t="s">
        <v>60</v>
      </c>
      <c r="E26" t="s">
        <v>83</v>
      </c>
      <c r="F26" t="s">
        <v>82</v>
      </c>
      <c r="G26" t="s">
        <v>76</v>
      </c>
      <c r="H26" t="s">
        <v>81</v>
      </c>
      <c r="I26" t="s">
        <v>72</v>
      </c>
      <c r="J26" t="s">
        <v>73</v>
      </c>
      <c r="K26" t="s">
        <v>60</v>
      </c>
      <c r="L26" t="s">
        <v>74</v>
      </c>
      <c r="M26" t="s">
        <v>80</v>
      </c>
      <c r="N26" t="s">
        <v>77</v>
      </c>
      <c r="O26" t="s">
        <v>68</v>
      </c>
      <c r="P26" t="s">
        <v>75</v>
      </c>
    </row>
    <row r="27" spans="1:30" x14ac:dyDescent="0.35">
      <c r="A27">
        <v>0</v>
      </c>
      <c r="B27" s="21">
        <v>0</v>
      </c>
      <c r="C27" s="21">
        <f>$B$10</f>
        <v>1000</v>
      </c>
      <c r="D27" s="21">
        <f>(C27+B27)*$B$6</f>
        <v>100</v>
      </c>
      <c r="E27" s="21">
        <f>H27*$B$9</f>
        <v>0.4848000000000004</v>
      </c>
      <c r="F27" s="23">
        <f>(B27+C27+D27)*$B$8</f>
        <v>44</v>
      </c>
      <c r="G27" s="21">
        <f>SUM(B27:D27)-F27-E27</f>
        <v>1055.5152</v>
      </c>
      <c r="H27" s="21">
        <f>MAX((SUM(B27:D27)-F27)*1.1,SUM($C$27:C27))-SUM($C$27:C27)</f>
        <v>161.60000000000014</v>
      </c>
      <c r="I27" s="21">
        <f>B27</f>
        <v>0</v>
      </c>
      <c r="J27" s="21">
        <f t="shared" ref="J27:J34" si="19">C27*B16</f>
        <v>1000</v>
      </c>
      <c r="K27" s="21">
        <f t="shared" ref="K27:K34" si="20">D27*B16</f>
        <v>100</v>
      </c>
      <c r="L27" s="21">
        <f>(E27+F27)*B16</f>
        <v>44.4848</v>
      </c>
      <c r="M27" s="21">
        <f t="shared" ref="M27:M34" si="21">G27*C16</f>
        <v>10.555152000000001</v>
      </c>
      <c r="N27" s="21">
        <f t="shared" ref="N27:N34" si="22">G27*D16</f>
        <v>83.596803840000007</v>
      </c>
      <c r="O27" s="21">
        <f t="shared" ref="O27:O34" si="23">G27*E16</f>
        <v>0</v>
      </c>
      <c r="P27" s="21">
        <f>SUM(I27:K27)-SUM(L27:O27)</f>
        <v>961.36324416000002</v>
      </c>
    </row>
    <row r="28" spans="1:30" x14ac:dyDescent="0.35">
      <c r="A28">
        <v>1</v>
      </c>
      <c r="B28" s="21">
        <f t="shared" ref="B28:B34" si="24">G27</f>
        <v>1055.5152</v>
      </c>
      <c r="C28" s="21">
        <f t="shared" ref="C28:C34" si="25">$B$10</f>
        <v>1000</v>
      </c>
      <c r="D28" s="21">
        <f t="shared" ref="D28:D34" si="26">(C28+B28)*$B$6</f>
        <v>205.55151999999998</v>
      </c>
      <c r="E28" s="21">
        <f t="shared" ref="E28:E34" si="27">H28*$B$9</f>
        <v>1.1630593689600006</v>
      </c>
      <c r="F28" s="23">
        <f t="shared" ref="F28:F34" si="28">(B28+C28+D28)*$B$8</f>
        <v>90.442668799999993</v>
      </c>
      <c r="G28" s="21">
        <f t="shared" ref="G28:G34" si="29">SUM(B28:D28)-F28-E28</f>
        <v>2169.4609918310398</v>
      </c>
      <c r="H28" s="21">
        <f>MAX((SUM(B28:D28)-F28)*1.1,SUM($C$27:C28))-SUM($C$27:C28)</f>
        <v>387.68645632000016</v>
      </c>
      <c r="I28" s="21">
        <f>P27</f>
        <v>961.36324416000002</v>
      </c>
      <c r="J28" s="21">
        <f t="shared" si="19"/>
        <v>910.8</v>
      </c>
      <c r="K28" s="21">
        <f t="shared" si="20"/>
        <v>187.21632441599996</v>
      </c>
      <c r="L28" s="21">
        <f t="shared" ref="L28:L34" si="30">(E28+F28)*B17</f>
        <v>83.434497216288761</v>
      </c>
      <c r="M28" s="21">
        <f t="shared" si="21"/>
        <v>19.759450713597111</v>
      </c>
      <c r="N28" s="21">
        <f t="shared" si="22"/>
        <v>156.49484965168909</v>
      </c>
      <c r="O28" s="21">
        <f t="shared" si="23"/>
        <v>0</v>
      </c>
      <c r="P28" s="21">
        <f t="shared" ref="P28:P34" si="31">SUM(I28:K28)-SUM(L28:O28)</f>
        <v>1799.6907709944253</v>
      </c>
    </row>
    <row r="29" spans="1:30" x14ac:dyDescent="0.35">
      <c r="A29">
        <v>2</v>
      </c>
      <c r="B29" s="21">
        <f t="shared" si="24"/>
        <v>2169.4609918310398</v>
      </c>
      <c r="C29" s="21">
        <f t="shared" si="25"/>
        <v>1000</v>
      </c>
      <c r="D29" s="21">
        <f t="shared" si="26"/>
        <v>316.94609918310402</v>
      </c>
      <c r="E29" s="21">
        <f t="shared" si="27"/>
        <v>2.0449376643328083</v>
      </c>
      <c r="F29" s="23">
        <f t="shared" si="28"/>
        <v>139.45628364056574</v>
      </c>
      <c r="G29" s="21">
        <f t="shared" si="29"/>
        <v>3344.9058697092451</v>
      </c>
      <c r="H29" s="21">
        <f>MAX((SUM(B29:D29)-F29)*1.1,SUM($C$27:C29))-SUM($C$27:C29)</f>
        <v>681.64588811093608</v>
      </c>
      <c r="I29" s="21">
        <f t="shared" ref="I29:I34" si="32">P28</f>
        <v>1799.6907709944253</v>
      </c>
      <c r="J29" s="21">
        <f t="shared" si="19"/>
        <v>829.5566399999999</v>
      </c>
      <c r="K29" s="21">
        <f t="shared" si="20"/>
        <v>262.92474109944249</v>
      </c>
      <c r="L29" s="21">
        <f t="shared" si="30"/>
        <v>117.38327770158806</v>
      </c>
      <c r="M29" s="21">
        <f t="shared" si="21"/>
        <v>27.74788874392279</v>
      </c>
      <c r="N29" s="21">
        <f t="shared" si="22"/>
        <v>219.76327885186853</v>
      </c>
      <c r="O29" s="21">
        <f t="shared" si="23"/>
        <v>0</v>
      </c>
      <c r="P29" s="21">
        <f t="shared" si="31"/>
        <v>2527.2777067964885</v>
      </c>
    </row>
    <row r="30" spans="1:30" x14ac:dyDescent="0.35">
      <c r="A30">
        <v>3</v>
      </c>
      <c r="B30" s="21">
        <f t="shared" si="24"/>
        <v>3344.9058697092451</v>
      </c>
      <c r="C30" s="21">
        <f t="shared" si="25"/>
        <v>1000</v>
      </c>
      <c r="D30" s="21">
        <f t="shared" si="26"/>
        <v>434.49058697092454</v>
      </c>
      <c r="E30" s="21">
        <f t="shared" si="27"/>
        <v>3.1411279747627785</v>
      </c>
      <c r="F30" s="23">
        <f t="shared" si="28"/>
        <v>191.17585826720679</v>
      </c>
      <c r="G30" s="21">
        <f t="shared" si="29"/>
        <v>4585.0794704382006</v>
      </c>
      <c r="H30" s="21">
        <f>MAX((SUM(B30:D30)-F30)*1.1,SUM($C$27:C30))-SUM($C$27:C30)</f>
        <v>1047.0426582542595</v>
      </c>
      <c r="I30" s="21">
        <f t="shared" si="32"/>
        <v>2527.2777067964885</v>
      </c>
      <c r="J30" s="21">
        <f t="shared" si="19"/>
        <v>755.5601877119999</v>
      </c>
      <c r="K30" s="21">
        <f t="shared" si="20"/>
        <v>328.28378945084876</v>
      </c>
      <c r="L30" s="21">
        <f t="shared" si="30"/>
        <v>146.81817860061264</v>
      </c>
      <c r="M30" s="21">
        <f t="shared" si="21"/>
        <v>34.643035053587241</v>
      </c>
      <c r="N30" s="21">
        <f t="shared" si="22"/>
        <v>274.37283762441098</v>
      </c>
      <c r="O30" s="21">
        <f t="shared" si="23"/>
        <v>0</v>
      </c>
      <c r="P30" s="21">
        <f t="shared" si="31"/>
        <v>3155.2876326807263</v>
      </c>
    </row>
    <row r="31" spans="1:30" x14ac:dyDescent="0.35">
      <c r="A31">
        <v>4</v>
      </c>
      <c r="B31" s="21">
        <f t="shared" si="24"/>
        <v>4585.0794704382006</v>
      </c>
      <c r="C31" s="21">
        <f t="shared" si="25"/>
        <v>1000</v>
      </c>
      <c r="D31" s="21">
        <f t="shared" si="26"/>
        <v>558.50794704382008</v>
      </c>
      <c r="E31" s="21">
        <f t="shared" si="27"/>
        <v>4.4628849385830449</v>
      </c>
      <c r="F31" s="23">
        <f t="shared" si="28"/>
        <v>245.74349669928085</v>
      </c>
      <c r="G31" s="21">
        <f t="shared" si="29"/>
        <v>5893.3810358441579</v>
      </c>
      <c r="H31" s="21">
        <f>MAX((SUM(B31:D31)-F31)*1.1,SUM($C$27:C31))-SUM($C$27:C31)</f>
        <v>1487.6283128610148</v>
      </c>
      <c r="I31" s="21">
        <f t="shared" si="32"/>
        <v>3155.2876326807263</v>
      </c>
      <c r="J31" s="21">
        <f t="shared" si="19"/>
        <v>688.16421896808959</v>
      </c>
      <c r="K31" s="21">
        <f t="shared" si="20"/>
        <v>384.34518516488157</v>
      </c>
      <c r="L31" s="21">
        <f t="shared" si="30"/>
        <v>172.18307920065234</v>
      </c>
      <c r="M31" s="21">
        <f t="shared" si="21"/>
        <v>40.556139576130455</v>
      </c>
      <c r="N31" s="21">
        <f t="shared" si="22"/>
        <v>321.20462544295322</v>
      </c>
      <c r="O31" s="21">
        <f t="shared" si="23"/>
        <v>0</v>
      </c>
      <c r="P31" s="21">
        <f t="shared" si="31"/>
        <v>3693.8531925939615</v>
      </c>
    </row>
    <row r="32" spans="1:30" x14ac:dyDescent="0.35">
      <c r="A32">
        <v>5</v>
      </c>
      <c r="B32" s="21">
        <f t="shared" si="24"/>
        <v>5893.3810358441579</v>
      </c>
      <c r="C32" s="21">
        <f t="shared" si="25"/>
        <v>1000</v>
      </c>
      <c r="D32" s="21">
        <f t="shared" si="26"/>
        <v>689.33810358441588</v>
      </c>
      <c r="E32" s="21">
        <f t="shared" si="27"/>
        <v>6.0220542337097216</v>
      </c>
      <c r="F32" s="23">
        <f t="shared" si="28"/>
        <v>303.30876557714294</v>
      </c>
      <c r="G32" s="21">
        <f t="shared" si="29"/>
        <v>7273.3883196177203</v>
      </c>
      <c r="H32" s="21">
        <f>MAX((SUM(B32:D32)-F32)*1.1,SUM($C$27:C32))-SUM($C$27:C32)</f>
        <v>2007.3514112365738</v>
      </c>
      <c r="I32" s="21">
        <f t="shared" si="32"/>
        <v>3693.8531925939615</v>
      </c>
      <c r="J32" s="21">
        <f t="shared" si="19"/>
        <v>626.779970636136</v>
      </c>
      <c r="K32" s="21">
        <f t="shared" si="20"/>
        <v>432.06331632300987</v>
      </c>
      <c r="L32" s="21">
        <f t="shared" si="30"/>
        <v>193.88236215789809</v>
      </c>
      <c r="M32" s="21">
        <f t="shared" si="21"/>
        <v>45.588141173952096</v>
      </c>
      <c r="N32" s="21">
        <f t="shared" si="22"/>
        <v>361.05807809770056</v>
      </c>
      <c r="O32" s="21">
        <f t="shared" si="23"/>
        <v>0</v>
      </c>
      <c r="P32" s="21">
        <f t="shared" si="31"/>
        <v>4152.1678981235564</v>
      </c>
    </row>
    <row r="33" spans="1:16" x14ac:dyDescent="0.35">
      <c r="A33">
        <v>6</v>
      </c>
      <c r="B33" s="21">
        <f t="shared" si="24"/>
        <v>7273.3883196177203</v>
      </c>
      <c r="C33" s="21">
        <f t="shared" si="25"/>
        <v>1000</v>
      </c>
      <c r="D33" s="21">
        <f t="shared" si="26"/>
        <v>827.33883196177203</v>
      </c>
      <c r="E33" s="21">
        <f t="shared" si="27"/>
        <v>7.8311036162038308</v>
      </c>
      <c r="F33" s="23">
        <f t="shared" si="28"/>
        <v>364.02908606317965</v>
      </c>
      <c r="G33" s="21">
        <f t="shared" si="29"/>
        <v>8728.8669619001084</v>
      </c>
      <c r="H33" s="21">
        <f>MAX((SUM(B33:D33)-F33)*1.1,SUM($C$27:C33))-SUM($C$27:C33)</f>
        <v>2610.3678720679436</v>
      </c>
      <c r="I33" s="21">
        <f t="shared" si="32"/>
        <v>4152.1678981235564</v>
      </c>
      <c r="J33" s="21">
        <f t="shared" si="19"/>
        <v>570.87119725539264</v>
      </c>
      <c r="K33" s="21">
        <f t="shared" si="20"/>
        <v>472.30390953789487</v>
      </c>
      <c r="L33" s="21">
        <f t="shared" si="30"/>
        <v>212.28427169388704</v>
      </c>
      <c r="M33" s="21">
        <f t="shared" si="21"/>
        <v>49.830587332229562</v>
      </c>
      <c r="N33" s="21">
        <f t="shared" si="22"/>
        <v>394.65825167125809</v>
      </c>
      <c r="O33" s="21">
        <f t="shared" si="23"/>
        <v>0</v>
      </c>
      <c r="P33" s="21">
        <f t="shared" si="31"/>
        <v>4538.5698942194686</v>
      </c>
    </row>
    <row r="34" spans="1:16" x14ac:dyDescent="0.35">
      <c r="A34">
        <v>7</v>
      </c>
      <c r="B34" s="21">
        <f t="shared" si="24"/>
        <v>8728.8669619001084</v>
      </c>
      <c r="C34" s="21">
        <f t="shared" si="25"/>
        <v>1000</v>
      </c>
      <c r="D34" s="21">
        <f t="shared" si="26"/>
        <v>972.88669619001087</v>
      </c>
      <c r="E34" s="21">
        <f t="shared" si="27"/>
        <v>9.9031555888294989</v>
      </c>
      <c r="F34" s="23">
        <f t="shared" si="28"/>
        <v>428.07014632360477</v>
      </c>
      <c r="G34" s="21">
        <f t="shared" si="29"/>
        <v>10263.780356177685</v>
      </c>
      <c r="H34" s="21">
        <f>MAX((SUM(B34:D34)-F34)*1.1,SUM($C$27:C34))-SUM($C$27:C34)</f>
        <v>3301.0518629431663</v>
      </c>
      <c r="I34" s="21">
        <f t="shared" si="32"/>
        <v>4538.5698942194686</v>
      </c>
      <c r="J34" s="21">
        <f t="shared" si="19"/>
        <v>519.94948646021157</v>
      </c>
      <c r="K34" s="21">
        <f t="shared" si="20"/>
        <v>505.85193806796798</v>
      </c>
      <c r="L34" s="21">
        <f t="shared" si="30"/>
        <v>227.72399341265341</v>
      </c>
      <c r="M34" s="21">
        <f t="shared" si="21"/>
        <v>53.366473253349945</v>
      </c>
      <c r="N34" s="21">
        <f t="shared" si="22"/>
        <v>422.6624681665316</v>
      </c>
      <c r="O34" s="21">
        <f t="shared" si="23"/>
        <v>4860.6183839151126</v>
      </c>
      <c r="P34" s="21">
        <f t="shared" si="3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4293-A29B-4F7B-8409-C53C23218278}">
  <dimension ref="A1:X34"/>
  <sheetViews>
    <sheetView topLeftCell="I11" workbookViewId="0">
      <selection activeCell="T15" sqref="S1:T1048576"/>
    </sheetView>
  </sheetViews>
  <sheetFormatPr defaultRowHeight="14.5" x14ac:dyDescent="0.35"/>
  <cols>
    <col min="1" max="1" width="19.1796875" bestFit="1" customWidth="1"/>
    <col min="2" max="2" width="20.90625" customWidth="1"/>
    <col min="3" max="3" width="9.08984375" bestFit="1" customWidth="1"/>
    <col min="4" max="4" width="8.81640625" bestFit="1" customWidth="1"/>
    <col min="5" max="5" width="14.81640625" bestFit="1" customWidth="1"/>
    <col min="6" max="6" width="9.08984375" bestFit="1" customWidth="1"/>
    <col min="7" max="7" width="11.08984375" bestFit="1" customWidth="1"/>
    <col min="8" max="8" width="12.6328125" bestFit="1" customWidth="1"/>
    <col min="9" max="9" width="16.90625" bestFit="1" customWidth="1"/>
    <col min="10" max="10" width="7.81640625" bestFit="1" customWidth="1"/>
    <col min="11" max="11" width="9.08984375" bestFit="1" customWidth="1"/>
    <col min="12" max="12" width="10.36328125" bestFit="1" customWidth="1"/>
    <col min="13" max="14" width="10.1796875" customWidth="1"/>
    <col min="15" max="15" width="11.90625" bestFit="1" customWidth="1"/>
    <col min="16" max="17" width="9.08984375" bestFit="1" customWidth="1"/>
    <col min="19" max="20" width="0" hidden="1" customWidth="1"/>
  </cols>
  <sheetData>
    <row r="1" spans="1:24" x14ac:dyDescent="0.35">
      <c r="A1" s="22" t="s">
        <v>57</v>
      </c>
    </row>
    <row r="2" spans="1:24" x14ac:dyDescent="0.35">
      <c r="B2" s="22" t="s">
        <v>86</v>
      </c>
      <c r="C2" s="22" t="s">
        <v>32</v>
      </c>
    </row>
    <row r="3" spans="1:24" x14ac:dyDescent="0.35">
      <c r="A3" t="s">
        <v>58</v>
      </c>
      <c r="B3">
        <v>0.08</v>
      </c>
      <c r="C3">
        <v>0.09</v>
      </c>
    </row>
    <row r="4" spans="1:24" x14ac:dyDescent="0.35">
      <c r="A4" t="s">
        <v>59</v>
      </c>
      <c r="B4">
        <v>0.08</v>
      </c>
      <c r="C4">
        <v>9.5000000000000001E-2</v>
      </c>
    </row>
    <row r="5" spans="1:24" x14ac:dyDescent="0.35">
      <c r="A5" t="s">
        <v>50</v>
      </c>
      <c r="B5">
        <v>200</v>
      </c>
      <c r="C5">
        <v>300</v>
      </c>
    </row>
    <row r="6" spans="1:24" x14ac:dyDescent="0.35">
      <c r="A6" t="s">
        <v>63</v>
      </c>
      <c r="B6">
        <v>0.1</v>
      </c>
      <c r="C6">
        <v>0.1</v>
      </c>
    </row>
    <row r="7" spans="1:24" x14ac:dyDescent="0.35">
      <c r="A7" t="s">
        <v>60</v>
      </c>
      <c r="B7">
        <v>0.03</v>
      </c>
      <c r="C7">
        <v>0.03</v>
      </c>
    </row>
    <row r="8" spans="1:24" x14ac:dyDescent="0.35">
      <c r="A8" t="s">
        <v>82</v>
      </c>
      <c r="B8">
        <v>0.04</v>
      </c>
      <c r="C8">
        <v>0.04</v>
      </c>
      <c r="M8" s="21"/>
      <c r="N8" s="21"/>
      <c r="O8" s="21"/>
      <c r="P8" s="21"/>
      <c r="Q8" s="21"/>
      <c r="R8" s="21"/>
      <c r="S8" s="21"/>
      <c r="T8" s="21"/>
      <c r="U8" s="21"/>
    </row>
    <row r="9" spans="1:24" x14ac:dyDescent="0.35">
      <c r="A9" t="s">
        <v>61</v>
      </c>
      <c r="B9">
        <v>3.0000000000000001E-3</v>
      </c>
      <c r="C9">
        <v>3.0000000000000001E-3</v>
      </c>
    </row>
    <row r="10" spans="1:24" x14ac:dyDescent="0.35">
      <c r="A10" t="s">
        <v>47</v>
      </c>
      <c r="B10">
        <v>1000</v>
      </c>
      <c r="C10">
        <v>1000</v>
      </c>
    </row>
    <row r="11" spans="1:24" x14ac:dyDescent="0.35">
      <c r="A11" t="s">
        <v>62</v>
      </c>
      <c r="B11" t="s">
        <v>85</v>
      </c>
      <c r="U11" s="20"/>
    </row>
    <row r="13" spans="1:24" x14ac:dyDescent="0.35">
      <c r="M13" t="s">
        <v>55</v>
      </c>
    </row>
    <row r="14" spans="1:24" x14ac:dyDescent="0.35">
      <c r="A14" t="s">
        <v>54</v>
      </c>
      <c r="G14" t="s">
        <v>51</v>
      </c>
      <c r="H14" t="s">
        <v>51</v>
      </c>
      <c r="I14" t="s">
        <v>52</v>
      </c>
      <c r="J14" t="s">
        <v>51</v>
      </c>
      <c r="K14" t="s">
        <v>51</v>
      </c>
      <c r="L14" t="s">
        <v>52</v>
      </c>
      <c r="M14" t="s">
        <v>51</v>
      </c>
      <c r="N14" t="s">
        <v>51</v>
      </c>
      <c r="O14" t="s">
        <v>52</v>
      </c>
      <c r="P14" t="s">
        <v>51</v>
      </c>
      <c r="Q14" t="s">
        <v>51</v>
      </c>
      <c r="R14" t="s">
        <v>52</v>
      </c>
      <c r="S14" t="s">
        <v>51</v>
      </c>
      <c r="T14" t="s">
        <v>52</v>
      </c>
    </row>
    <row r="15" spans="1:24" x14ac:dyDescent="0.35">
      <c r="A15" t="s">
        <v>64</v>
      </c>
      <c r="B15" s="26" t="s">
        <v>69</v>
      </c>
      <c r="C15" s="26" t="s">
        <v>66</v>
      </c>
      <c r="D15" s="26" t="s">
        <v>67</v>
      </c>
      <c r="E15" s="26" t="s">
        <v>68</v>
      </c>
      <c r="F15" s="26" t="s">
        <v>70</v>
      </c>
      <c r="G15" t="s">
        <v>47</v>
      </c>
      <c r="H15" t="s">
        <v>78</v>
      </c>
      <c r="I15" t="s">
        <v>78</v>
      </c>
      <c r="J15" t="s">
        <v>48</v>
      </c>
      <c r="K15" t="s">
        <v>49</v>
      </c>
      <c r="L15" t="s">
        <v>50</v>
      </c>
      <c r="M15" t="s">
        <v>47</v>
      </c>
      <c r="N15" t="s">
        <v>78</v>
      </c>
      <c r="O15" t="s">
        <v>78</v>
      </c>
      <c r="P15" t="s">
        <v>48</v>
      </c>
      <c r="Q15" t="s">
        <v>49</v>
      </c>
      <c r="R15" t="s">
        <v>50</v>
      </c>
      <c r="S15" t="s">
        <v>53</v>
      </c>
      <c r="T15" t="s">
        <v>53</v>
      </c>
      <c r="U15" t="s">
        <v>53</v>
      </c>
      <c r="V15" t="s">
        <v>79</v>
      </c>
      <c r="W15" t="s">
        <v>87</v>
      </c>
      <c r="X15" t="s">
        <v>56</v>
      </c>
    </row>
    <row r="16" spans="1:24" x14ac:dyDescent="0.35">
      <c r="A16">
        <v>-1</v>
      </c>
      <c r="B16" s="26">
        <v>1</v>
      </c>
      <c r="C16" s="26">
        <f>B16*$C$3</f>
        <v>0.09</v>
      </c>
      <c r="D16" s="26">
        <f>(B16-C16)*$C$4</f>
        <v>8.6449999999999999E-2</v>
      </c>
      <c r="E16" s="26">
        <v>0</v>
      </c>
      <c r="F16" s="26">
        <f>B16-C16-D16-E16</f>
        <v>0.82355</v>
      </c>
      <c r="G16" s="21">
        <f t="shared" ref="G16:G23" si="0">J27</f>
        <v>1000</v>
      </c>
      <c r="H16" s="21">
        <f t="shared" ref="H16:H23" si="1">M27</f>
        <v>94.996368000000004</v>
      </c>
      <c r="I16" s="21">
        <f>(MAX(SUM($C$27:C27),1.1*G27)-G27)*C16</f>
        <v>9.4996368000000189</v>
      </c>
      <c r="J16" s="21">
        <f t="shared" ref="J16:K23" si="2">N27</f>
        <v>91.249289040000008</v>
      </c>
      <c r="K16" s="21">
        <f t="shared" si="2"/>
        <v>0</v>
      </c>
      <c r="L16" s="21">
        <f>$C$5*B16</f>
        <v>300</v>
      </c>
      <c r="M16" s="21">
        <f>G16+M17/(1+$B$6)</f>
        <v>3728.8500477217485</v>
      </c>
      <c r="N16" s="21">
        <f>(H16+N17)/(1+$B$6)</f>
        <v>1021.6262601813416</v>
      </c>
      <c r="O16" s="21">
        <f>(I16+O17)/(1+$B$7)</f>
        <v>139.83742436167606</v>
      </c>
      <c r="P16" s="21">
        <f t="shared" ref="P16:Q23" si="3">(J16+P17)/(1+$B$6)</f>
        <v>943.39855071228897</v>
      </c>
      <c r="Q16" s="21">
        <f t="shared" si="3"/>
        <v>1227.1154459879381</v>
      </c>
      <c r="R16" s="21">
        <f>L16+R17/(1+$B$7)</f>
        <v>970.11828500577769</v>
      </c>
      <c r="S16" s="20">
        <f>N16+P16+Q16-M16</f>
        <v>-536.70979084017972</v>
      </c>
      <c r="T16" s="20">
        <f>R16+O16</f>
        <v>1109.9557093674537</v>
      </c>
      <c r="U16" s="20">
        <f>SUM(S16:T16)</f>
        <v>573.24591852727394</v>
      </c>
      <c r="V16" s="23">
        <f>(S16+G16)*$B$6-(L16-T16)*$B$7</f>
        <v>70.627692197005643</v>
      </c>
      <c r="W16" s="20">
        <f>SUM(N16:Q16)</f>
        <v>3331.9776812432447</v>
      </c>
      <c r="X16" s="20">
        <f>SUM(H16:K16)</f>
        <v>195.74529384000004</v>
      </c>
    </row>
    <row r="17" spans="1:24" x14ac:dyDescent="0.35">
      <c r="A17">
        <f>A16+1</f>
        <v>0</v>
      </c>
      <c r="B17" s="26">
        <f>F16</f>
        <v>0.82355</v>
      </c>
      <c r="C17" s="26">
        <f t="shared" ref="C17:C23" si="4">B17*$B$3</f>
        <v>6.5883999999999998E-2</v>
      </c>
      <c r="D17" s="26">
        <f>(B17-C17)*$B$4</f>
        <v>6.0613279999999999E-2</v>
      </c>
      <c r="E17" s="26">
        <v>0</v>
      </c>
      <c r="F17" s="26">
        <f>B17-C17-D17-E17</f>
        <v>0.69705271999999996</v>
      </c>
      <c r="G17" s="21">
        <f t="shared" si="0"/>
        <v>823.55</v>
      </c>
      <c r="H17" s="21">
        <f t="shared" si="1"/>
        <v>142.93276798579623</v>
      </c>
      <c r="I17" s="21">
        <f>(MAX(SUM($C$27:C28),1.1*G28)-G28)*C17</f>
        <v>14.29327679857964</v>
      </c>
      <c r="J17" s="21">
        <f t="shared" si="2"/>
        <v>131.49814654693253</v>
      </c>
      <c r="K17" s="21">
        <f t="shared" si="2"/>
        <v>0</v>
      </c>
      <c r="L17" s="21">
        <f t="shared" ref="L17:L23" si="5">$B$5*B17</f>
        <v>164.71</v>
      </c>
      <c r="M17" s="21">
        <f t="shared" ref="M17:M23" si="6">G17+M18/(1+$B$6)</f>
        <v>3001.7350524939238</v>
      </c>
      <c r="N17" s="21">
        <f t="shared" ref="N17:N23" si="7">(H17+N18)/(1+$B$6)</f>
        <v>1028.7925181994758</v>
      </c>
      <c r="O17" s="21">
        <f t="shared" ref="O17:O23" si="8">(I17+O18)/(1+$B$7)</f>
        <v>134.53291029252631</v>
      </c>
      <c r="P17" s="21">
        <f t="shared" si="3"/>
        <v>946.4891167435178</v>
      </c>
      <c r="Q17" s="21">
        <f t="shared" si="3"/>
        <v>1349.8269905867321</v>
      </c>
      <c r="R17" s="21">
        <f t="shared" ref="R17:R23" si="9">L17+R18/(1+$B$7)</f>
        <v>690.22183355595109</v>
      </c>
      <c r="S17" s="28">
        <f t="shared" ref="S17:S23" si="10">N17+P17+Q17-M17</f>
        <v>323.37357303580211</v>
      </c>
      <c r="T17" s="28">
        <f t="shared" ref="T17:T23" si="11">R17+O17</f>
        <v>824.75474384847735</v>
      </c>
      <c r="U17" s="28">
        <f t="shared" ref="U17:U23" si="12">SUM(S17:T17)</f>
        <v>1148.1283168842795</v>
      </c>
      <c r="V17" s="23">
        <f t="shared" ref="V17:V23" si="13">(S17+G17)*$B$6-(L17-T17)*$B$7</f>
        <v>134.49369961903452</v>
      </c>
      <c r="W17" s="20">
        <f t="shared" ref="W17:W23" si="14">SUM(N17:Q17)</f>
        <v>3459.6415358222521</v>
      </c>
      <c r="X17" s="20">
        <f t="shared" ref="X17:X23" si="15">SUM(H17:K17)</f>
        <v>288.72419133130836</v>
      </c>
    </row>
    <row r="18" spans="1:24" x14ac:dyDescent="0.35">
      <c r="A18">
        <f t="shared" ref="A18:A23" si="16">A17+1</f>
        <v>1</v>
      </c>
      <c r="B18" s="26">
        <f t="shared" ref="B18:B23" si="17">F17</f>
        <v>0.69705271999999996</v>
      </c>
      <c r="C18" s="26">
        <f t="shared" si="4"/>
        <v>5.5764217599999999E-2</v>
      </c>
      <c r="D18" s="26">
        <f t="shared" ref="D18:D23" si="18">(B18-C18)*$B$4</f>
        <v>5.1303080191999993E-2</v>
      </c>
      <c r="E18" s="26">
        <v>0</v>
      </c>
      <c r="F18" s="26">
        <f t="shared" ref="F18:F23" si="19">B18-C18-D18-E18</f>
        <v>0.58998542220799988</v>
      </c>
      <c r="G18" s="21">
        <f t="shared" si="0"/>
        <v>697.05271999999991</v>
      </c>
      <c r="H18" s="21">
        <f t="shared" si="1"/>
        <v>186.52605876998359</v>
      </c>
      <c r="I18" s="21">
        <f>(MAX(SUM($C$27:C29),1.1*G29)-G29)*C18</f>
        <v>18.652605876998365</v>
      </c>
      <c r="J18" s="21">
        <f t="shared" si="2"/>
        <v>171.60397406838487</v>
      </c>
      <c r="K18" s="21">
        <f t="shared" si="2"/>
        <v>0</v>
      </c>
      <c r="L18" s="21">
        <f t="shared" si="5"/>
        <v>139.41054399999999</v>
      </c>
      <c r="M18" s="21">
        <f t="shared" si="6"/>
        <v>2396.0035577433164</v>
      </c>
      <c r="N18" s="21">
        <f t="shared" si="7"/>
        <v>988.73900203362723</v>
      </c>
      <c r="O18" s="21">
        <f t="shared" si="8"/>
        <v>124.27562080272246</v>
      </c>
      <c r="P18" s="21">
        <f t="shared" si="3"/>
        <v>909.63988187093707</v>
      </c>
      <c r="Q18" s="21">
        <f t="shared" si="3"/>
        <v>1484.8096896454053</v>
      </c>
      <c r="R18" s="21">
        <f t="shared" si="9"/>
        <v>541.27718856262959</v>
      </c>
      <c r="S18" s="20">
        <f t="shared" si="10"/>
        <v>987.18501580665315</v>
      </c>
      <c r="T18" s="20">
        <f t="shared" si="11"/>
        <v>665.552809365352</v>
      </c>
      <c r="U18" s="20">
        <f t="shared" si="12"/>
        <v>1652.7378251720052</v>
      </c>
      <c r="V18" s="23">
        <f t="shared" si="13"/>
        <v>184.20804154162587</v>
      </c>
      <c r="W18" s="20">
        <f t="shared" si="14"/>
        <v>3507.4641943526922</v>
      </c>
      <c r="X18" s="20">
        <f t="shared" si="15"/>
        <v>376.78263871536683</v>
      </c>
    </row>
    <row r="19" spans="1:24" x14ac:dyDescent="0.35">
      <c r="A19">
        <f t="shared" si="16"/>
        <v>2</v>
      </c>
      <c r="B19" s="26">
        <f t="shared" si="17"/>
        <v>0.58998542220799988</v>
      </c>
      <c r="C19" s="26">
        <f t="shared" si="4"/>
        <v>4.7198833776639991E-2</v>
      </c>
      <c r="D19" s="26">
        <f t="shared" si="18"/>
        <v>4.3422927074508788E-2</v>
      </c>
      <c r="E19" s="26">
        <v>0</v>
      </c>
      <c r="F19" s="26">
        <f t="shared" si="19"/>
        <v>0.49936366135685106</v>
      </c>
      <c r="G19" s="21">
        <f t="shared" si="0"/>
        <v>589.98542220799993</v>
      </c>
      <c r="H19" s="21">
        <f t="shared" si="1"/>
        <v>216.41040377789716</v>
      </c>
      <c r="I19" s="21">
        <f>(MAX(SUM($C$27:C30),1.1*G30)-G30)*C19</f>
        <v>21.641040377789732</v>
      </c>
      <c r="J19" s="21">
        <f t="shared" si="2"/>
        <v>199.09757147566535</v>
      </c>
      <c r="K19" s="21">
        <f t="shared" si="2"/>
        <v>0</v>
      </c>
      <c r="L19" s="21">
        <f t="shared" si="5"/>
        <v>117.99708444159998</v>
      </c>
      <c r="M19" s="21">
        <f t="shared" si="6"/>
        <v>1868.8459215176485</v>
      </c>
      <c r="N19" s="21">
        <f t="shared" si="7"/>
        <v>901.08684346700659</v>
      </c>
      <c r="O19" s="21">
        <f t="shared" si="8"/>
        <v>109.35128354980577</v>
      </c>
      <c r="P19" s="21">
        <f t="shared" si="3"/>
        <v>828.99989598964601</v>
      </c>
      <c r="Q19" s="21">
        <f t="shared" si="3"/>
        <v>1633.2906586099459</v>
      </c>
      <c r="R19" s="21">
        <f t="shared" si="9"/>
        <v>413.92264389950844</v>
      </c>
      <c r="S19" s="20">
        <f t="shared" si="10"/>
        <v>1494.5314765489497</v>
      </c>
      <c r="T19" s="20">
        <f t="shared" si="11"/>
        <v>523.27392744931421</v>
      </c>
      <c r="U19" s="20">
        <f t="shared" si="12"/>
        <v>2017.805403998264</v>
      </c>
      <c r="V19" s="23">
        <f t="shared" si="13"/>
        <v>220.60999516592639</v>
      </c>
      <c r="W19" s="20">
        <f t="shared" si="14"/>
        <v>3472.7286816164042</v>
      </c>
      <c r="X19" s="20">
        <f t="shared" si="15"/>
        <v>437.1490156313522</v>
      </c>
    </row>
    <row r="20" spans="1:24" x14ac:dyDescent="0.35">
      <c r="A20">
        <f t="shared" si="16"/>
        <v>3</v>
      </c>
      <c r="B20" s="26">
        <f t="shared" si="17"/>
        <v>0.49936366135685106</v>
      </c>
      <c r="C20" s="26">
        <f t="shared" si="4"/>
        <v>3.9949092908548083E-2</v>
      </c>
      <c r="D20" s="26">
        <f t="shared" si="18"/>
        <v>3.6753165475864241E-2</v>
      </c>
      <c r="E20" s="26">
        <v>0</v>
      </c>
      <c r="F20" s="26">
        <f t="shared" si="19"/>
        <v>0.4226614029724387</v>
      </c>
      <c r="G20" s="21">
        <f t="shared" si="0"/>
        <v>499.36366135685108</v>
      </c>
      <c r="H20" s="21">
        <f t="shared" si="1"/>
        <v>235.43522654641359</v>
      </c>
      <c r="I20" s="21">
        <f>(MAX(SUM($C$27:C31),1.1*G31)-G31)*C20</f>
        <v>23.543522654641365</v>
      </c>
      <c r="J20" s="21">
        <f t="shared" si="2"/>
        <v>216.60040842270055</v>
      </c>
      <c r="K20" s="21">
        <f t="shared" si="2"/>
        <v>0</v>
      </c>
      <c r="L20" s="21">
        <f t="shared" si="5"/>
        <v>99.872732271370211</v>
      </c>
      <c r="M20" s="21">
        <f t="shared" si="6"/>
        <v>1406.7465492406136</v>
      </c>
      <c r="N20" s="21">
        <f t="shared" si="7"/>
        <v>774.78512403581021</v>
      </c>
      <c r="O20" s="21">
        <f t="shared" si="8"/>
        <v>90.990781678510217</v>
      </c>
      <c r="P20" s="21">
        <f t="shared" si="3"/>
        <v>712.8023141129454</v>
      </c>
      <c r="Q20" s="21">
        <f t="shared" si="3"/>
        <v>1796.6197244709406</v>
      </c>
      <c r="R20" s="21">
        <f t="shared" si="9"/>
        <v>304.80332624164578</v>
      </c>
      <c r="S20" s="20">
        <f t="shared" si="10"/>
        <v>1877.4606133790826</v>
      </c>
      <c r="T20" s="20">
        <f t="shared" si="11"/>
        <v>395.79410792015597</v>
      </c>
      <c r="U20" s="20">
        <f t="shared" si="12"/>
        <v>2273.2547212992386</v>
      </c>
      <c r="V20" s="23">
        <f t="shared" si="13"/>
        <v>246.56006874305695</v>
      </c>
      <c r="W20" s="20">
        <f t="shared" si="14"/>
        <v>3375.1979442982065</v>
      </c>
      <c r="X20" s="20">
        <f t="shared" si="15"/>
        <v>475.57915762375546</v>
      </c>
    </row>
    <row r="21" spans="1:24" x14ac:dyDescent="0.35">
      <c r="A21">
        <f t="shared" si="16"/>
        <v>4</v>
      </c>
      <c r="B21" s="26">
        <f t="shared" si="17"/>
        <v>0.4226614029724387</v>
      </c>
      <c r="C21" s="26">
        <f t="shared" si="4"/>
        <v>3.3812912237795097E-2</v>
      </c>
      <c r="D21" s="26">
        <f t="shared" si="18"/>
        <v>3.1107879258771488E-2</v>
      </c>
      <c r="E21" s="26">
        <v>0</v>
      </c>
      <c r="F21" s="26">
        <f t="shared" si="19"/>
        <v>0.35774061147587211</v>
      </c>
      <c r="G21" s="21">
        <f t="shared" si="0"/>
        <v>422.66140297243868</v>
      </c>
      <c r="H21" s="21">
        <f t="shared" si="1"/>
        <v>245.93444092263792</v>
      </c>
      <c r="I21" s="21">
        <f>(MAX(SUM($C$27:C32),1.1*G32)-G32)*C21</f>
        <v>24.593444092263809</v>
      </c>
      <c r="J21" s="21">
        <f t="shared" si="2"/>
        <v>226.25968564882689</v>
      </c>
      <c r="K21" s="21">
        <f t="shared" si="2"/>
        <v>0</v>
      </c>
      <c r="L21" s="21">
        <f t="shared" si="5"/>
        <v>84.532280594487744</v>
      </c>
      <c r="M21" s="21">
        <f t="shared" si="6"/>
        <v>998.12117667213897</v>
      </c>
      <c r="N21" s="21">
        <f t="shared" si="7"/>
        <v>616.82840989297779</v>
      </c>
      <c r="O21" s="21">
        <f t="shared" si="8"/>
        <v>70.176982474224161</v>
      </c>
      <c r="P21" s="21">
        <f t="shared" si="3"/>
        <v>567.48213710153948</v>
      </c>
      <c r="Q21" s="21">
        <f t="shared" si="3"/>
        <v>1976.2816969180349</v>
      </c>
      <c r="R21" s="21">
        <f t="shared" si="9"/>
        <v>211.07851178938387</v>
      </c>
      <c r="S21" s="20">
        <f t="shared" si="10"/>
        <v>2162.471067240413</v>
      </c>
      <c r="T21" s="20">
        <f t="shared" si="11"/>
        <v>281.25549426360806</v>
      </c>
      <c r="U21" s="20">
        <f t="shared" si="12"/>
        <v>2443.726561504021</v>
      </c>
      <c r="V21" s="23">
        <f t="shared" si="13"/>
        <v>264.41494343135878</v>
      </c>
      <c r="W21" s="20">
        <f t="shared" si="14"/>
        <v>3230.7692263867762</v>
      </c>
      <c r="X21" s="20">
        <f t="shared" si="15"/>
        <v>496.78757066372862</v>
      </c>
    </row>
    <row r="22" spans="1:24" x14ac:dyDescent="0.35">
      <c r="A22">
        <f t="shared" si="16"/>
        <v>5</v>
      </c>
      <c r="B22" s="26">
        <f t="shared" si="17"/>
        <v>0.35774061147587211</v>
      </c>
      <c r="C22" s="26">
        <f t="shared" si="4"/>
        <v>2.8619248918069769E-2</v>
      </c>
      <c r="D22" s="26">
        <f t="shared" si="18"/>
        <v>2.6329709004624186E-2</v>
      </c>
      <c r="E22" s="26">
        <v>0</v>
      </c>
      <c r="F22" s="26">
        <f t="shared" si="19"/>
        <v>0.30279165355317816</v>
      </c>
      <c r="G22" s="21">
        <f t="shared" si="0"/>
        <v>357.74061147587213</v>
      </c>
      <c r="H22" s="21">
        <f t="shared" si="1"/>
        <v>249.81361635533463</v>
      </c>
      <c r="I22" s="21">
        <f>(MAX(SUM($C$27:C33),1.1*G33)-G33)*C22</f>
        <v>24.981361635533474</v>
      </c>
      <c r="J22" s="21">
        <f t="shared" si="2"/>
        <v>229.82852704690785</v>
      </c>
      <c r="K22" s="21">
        <f t="shared" si="2"/>
        <v>0</v>
      </c>
      <c r="L22" s="21">
        <f t="shared" si="5"/>
        <v>71.548122295174423</v>
      </c>
      <c r="M22" s="21">
        <f t="shared" si="6"/>
        <v>633.0057510696704</v>
      </c>
      <c r="N22" s="21">
        <f t="shared" si="7"/>
        <v>432.57680995963767</v>
      </c>
      <c r="O22" s="21">
        <f t="shared" si="8"/>
        <v>47.688847856187081</v>
      </c>
      <c r="P22" s="21">
        <f t="shared" si="3"/>
        <v>397.97066516286662</v>
      </c>
      <c r="Q22" s="21">
        <f t="shared" si="3"/>
        <v>2173.9098666098384</v>
      </c>
      <c r="R22" s="21">
        <f t="shared" si="9"/>
        <v>130.34261813074301</v>
      </c>
      <c r="S22" s="20">
        <f t="shared" si="10"/>
        <v>2371.4515906626721</v>
      </c>
      <c r="T22" s="20">
        <f t="shared" si="11"/>
        <v>178.03146598693007</v>
      </c>
      <c r="U22" s="20">
        <f t="shared" si="12"/>
        <v>2549.4830566496021</v>
      </c>
      <c r="V22" s="23">
        <f t="shared" si="13"/>
        <v>276.11372052460712</v>
      </c>
      <c r="W22" s="20">
        <f t="shared" si="14"/>
        <v>3052.1461895885295</v>
      </c>
      <c r="X22" s="20">
        <f t="shared" si="15"/>
        <v>504.623505037776</v>
      </c>
    </row>
    <row r="23" spans="1:24" x14ac:dyDescent="0.35">
      <c r="A23">
        <f t="shared" si="16"/>
        <v>6</v>
      </c>
      <c r="B23" s="26">
        <f t="shared" si="17"/>
        <v>0.30279165355317816</v>
      </c>
      <c r="C23" s="26">
        <f t="shared" si="4"/>
        <v>2.4223332284254252E-2</v>
      </c>
      <c r="D23" s="26">
        <f t="shared" si="18"/>
        <v>2.228546570151391E-2</v>
      </c>
      <c r="E23" s="26">
        <f>B23-C23-D23</f>
        <v>0.25628285556740998</v>
      </c>
      <c r="F23" s="26">
        <f t="shared" si="19"/>
        <v>0</v>
      </c>
      <c r="G23" s="21">
        <f t="shared" si="0"/>
        <v>302.79165355317815</v>
      </c>
      <c r="H23" s="21">
        <f t="shared" si="1"/>
        <v>248.62296206029353</v>
      </c>
      <c r="I23" s="21">
        <f>(MAX(SUM($C$27:C34),1.1*G34)-G34)*C23</f>
        <v>24.862296206029399</v>
      </c>
      <c r="J23" s="21">
        <f t="shared" si="2"/>
        <v>228.73312509547003</v>
      </c>
      <c r="K23" s="21">
        <f t="shared" si="2"/>
        <v>2630.4309385979054</v>
      </c>
      <c r="L23" s="21">
        <f t="shared" si="5"/>
        <v>60.55833071063563</v>
      </c>
      <c r="M23" s="21">
        <f t="shared" si="6"/>
        <v>302.79165355317815</v>
      </c>
      <c r="N23" s="21">
        <f t="shared" si="7"/>
        <v>226.02087460026684</v>
      </c>
      <c r="O23" s="21">
        <f t="shared" si="8"/>
        <v>24.138151656339222</v>
      </c>
      <c r="P23" s="21">
        <f t="shared" si="3"/>
        <v>207.93920463224546</v>
      </c>
      <c r="Q23" s="21">
        <f t="shared" si="3"/>
        <v>2391.3008532708227</v>
      </c>
      <c r="R23" s="21">
        <f t="shared" si="9"/>
        <v>60.55833071063563</v>
      </c>
      <c r="S23" s="20">
        <f t="shared" si="10"/>
        <v>2522.4692789501569</v>
      </c>
      <c r="T23" s="20">
        <f t="shared" si="11"/>
        <v>84.696482366974848</v>
      </c>
      <c r="U23" s="20">
        <f t="shared" si="12"/>
        <v>2607.1657613171319</v>
      </c>
      <c r="V23" s="23">
        <f t="shared" si="13"/>
        <v>283.25023780002368</v>
      </c>
      <c r="W23" s="20">
        <f t="shared" si="14"/>
        <v>2849.3990841596742</v>
      </c>
      <c r="X23" s="20">
        <f t="shared" si="15"/>
        <v>3132.6493219596982</v>
      </c>
    </row>
    <row r="25" spans="1:24" x14ac:dyDescent="0.35">
      <c r="A25" s="22" t="s">
        <v>71</v>
      </c>
      <c r="I25" t="s">
        <v>65</v>
      </c>
    </row>
    <row r="26" spans="1:24" x14ac:dyDescent="0.35">
      <c r="A26" t="s">
        <v>64</v>
      </c>
      <c r="B26" t="s">
        <v>72</v>
      </c>
      <c r="C26" t="s">
        <v>73</v>
      </c>
      <c r="D26" t="s">
        <v>60</v>
      </c>
      <c r="E26" t="s">
        <v>83</v>
      </c>
      <c r="F26" t="s">
        <v>82</v>
      </c>
      <c r="G26" t="s">
        <v>76</v>
      </c>
      <c r="H26" t="s">
        <v>81</v>
      </c>
      <c r="I26" t="s">
        <v>72</v>
      </c>
      <c r="J26" t="s">
        <v>73</v>
      </c>
      <c r="K26" t="s">
        <v>60</v>
      </c>
      <c r="L26" t="s">
        <v>74</v>
      </c>
      <c r="M26" t="s">
        <v>80</v>
      </c>
      <c r="N26" t="s">
        <v>77</v>
      </c>
      <c r="O26" t="s">
        <v>68</v>
      </c>
      <c r="P26" t="s">
        <v>75</v>
      </c>
    </row>
    <row r="27" spans="1:24" x14ac:dyDescent="0.35">
      <c r="A27">
        <v>-1</v>
      </c>
      <c r="B27" s="21">
        <v>0</v>
      </c>
      <c r="C27" s="21">
        <f>$C$10</f>
        <v>1000</v>
      </c>
      <c r="D27" s="21">
        <f>(C27+B27)*$C$6</f>
        <v>100</v>
      </c>
      <c r="E27" s="21">
        <f>H27*$C$9</f>
        <v>0.4848000000000004</v>
      </c>
      <c r="F27" s="23">
        <f>(B27+C27+D27)*$C$8</f>
        <v>44</v>
      </c>
      <c r="G27" s="21">
        <f>SUM(B27:D27)-F27-E27</f>
        <v>1055.5152</v>
      </c>
      <c r="H27" s="21">
        <f>MAX((SUM(B27:D27)-F27)*1.1,SUM($C$27:C27))-SUM($C$27:C27)</f>
        <v>161.60000000000014</v>
      </c>
      <c r="I27" s="21">
        <f>B27</f>
        <v>0</v>
      </c>
      <c r="J27" s="21">
        <f t="shared" ref="J27:J34" si="20">C27*B16</f>
        <v>1000</v>
      </c>
      <c r="K27" s="21">
        <f t="shared" ref="K27:K34" si="21">D27*B16</f>
        <v>100</v>
      </c>
      <c r="L27" s="21">
        <f>(E27+F27)*B16</f>
        <v>44.4848</v>
      </c>
      <c r="M27" s="21">
        <f t="shared" ref="M27:M34" si="22">G27*C16</f>
        <v>94.996368000000004</v>
      </c>
      <c r="N27" s="21">
        <f t="shared" ref="N27:N34" si="23">G27*D16</f>
        <v>91.249289040000008</v>
      </c>
      <c r="O27" s="21">
        <f t="shared" ref="O27:O34" si="24">G27*E16</f>
        <v>0</v>
      </c>
      <c r="P27" s="21">
        <f>SUM(I27:K27)-SUM(L27:O27)</f>
        <v>869.26954295999997</v>
      </c>
    </row>
    <row r="28" spans="1:24" x14ac:dyDescent="0.35">
      <c r="A28">
        <f>A27+1</f>
        <v>0</v>
      </c>
      <c r="B28" s="21">
        <f t="shared" ref="B28:B34" si="25">G27</f>
        <v>1055.5152</v>
      </c>
      <c r="C28" s="21">
        <f t="shared" ref="C28:C34" si="26">$B$10</f>
        <v>1000</v>
      </c>
      <c r="D28" s="21">
        <f t="shared" ref="D28:D34" si="27">(C28+B28)*$B$6</f>
        <v>205.55151999999998</v>
      </c>
      <c r="E28" s="21">
        <f t="shared" ref="E28:E34" si="28">H28*$B$9</f>
        <v>1.1630593689600006</v>
      </c>
      <c r="F28" s="23">
        <f t="shared" ref="F28:F34" si="29">(B28+C28+D28)*$B$8</f>
        <v>90.442668799999993</v>
      </c>
      <c r="G28" s="21">
        <f t="shared" ref="G28:G34" si="30">SUM(B28:D28)-F28-E28</f>
        <v>2169.4609918310398</v>
      </c>
      <c r="H28" s="21">
        <f>MAX((SUM(B28:D28)-F28)*1.1,SUM($C$27:C28))-SUM($C$27:C28)</f>
        <v>387.68645632000016</v>
      </c>
      <c r="I28" s="21">
        <f>P27</f>
        <v>869.26954295999997</v>
      </c>
      <c r="J28" s="21">
        <f t="shared" si="20"/>
        <v>823.55</v>
      </c>
      <c r="K28" s="21">
        <f t="shared" si="21"/>
        <v>169.28195429599998</v>
      </c>
      <c r="L28" s="21">
        <f t="shared" ref="L28:L34" si="31">(E28+F28)*B17</f>
        <v>75.441897433547012</v>
      </c>
      <c r="M28" s="21">
        <f t="shared" si="22"/>
        <v>142.93276798579623</v>
      </c>
      <c r="N28" s="21">
        <f t="shared" si="23"/>
        <v>131.49814654693253</v>
      </c>
      <c r="O28" s="21">
        <f t="shared" si="24"/>
        <v>0</v>
      </c>
      <c r="P28" s="21">
        <f t="shared" ref="P28:P34" si="32">SUM(I28:K28)-SUM(L28:O28)</f>
        <v>1512.2286852897244</v>
      </c>
    </row>
    <row r="29" spans="1:24" x14ac:dyDescent="0.35">
      <c r="A29">
        <f t="shared" ref="A29:A34" si="33">A28+1</f>
        <v>1</v>
      </c>
      <c r="B29" s="21">
        <f t="shared" si="25"/>
        <v>2169.4609918310398</v>
      </c>
      <c r="C29" s="21">
        <f t="shared" si="26"/>
        <v>1000</v>
      </c>
      <c r="D29" s="21">
        <f t="shared" si="27"/>
        <v>316.94609918310402</v>
      </c>
      <c r="E29" s="21">
        <f t="shared" si="28"/>
        <v>2.0449376643328083</v>
      </c>
      <c r="F29" s="23">
        <f t="shared" si="29"/>
        <v>139.45628364056574</v>
      </c>
      <c r="G29" s="21">
        <f t="shared" si="30"/>
        <v>3344.9058697092451</v>
      </c>
      <c r="H29" s="21">
        <f>MAX((SUM(B29:D29)-F29)*1.1,SUM($C$27:C29))-SUM($C$27:C29)</f>
        <v>681.64588811093608</v>
      </c>
      <c r="I29" s="21">
        <f t="shared" ref="I29:I34" si="34">P28</f>
        <v>1512.2286852897244</v>
      </c>
      <c r="J29" s="21">
        <f t="shared" si="20"/>
        <v>697.05271999999991</v>
      </c>
      <c r="K29" s="21">
        <f t="shared" si="21"/>
        <v>220.92814052897242</v>
      </c>
      <c r="L29" s="21">
        <f t="shared" si="31"/>
        <v>98.633811193901494</v>
      </c>
      <c r="M29" s="21">
        <f t="shared" si="22"/>
        <v>186.52605876998359</v>
      </c>
      <c r="N29" s="21">
        <f t="shared" si="23"/>
        <v>171.60397406838487</v>
      </c>
      <c r="O29" s="21">
        <f t="shared" si="24"/>
        <v>0</v>
      </c>
      <c r="P29" s="21">
        <f t="shared" si="32"/>
        <v>1973.445701786427</v>
      </c>
    </row>
    <row r="30" spans="1:24" x14ac:dyDescent="0.35">
      <c r="A30">
        <f t="shared" si="33"/>
        <v>2</v>
      </c>
      <c r="B30" s="21">
        <f t="shared" si="25"/>
        <v>3344.9058697092451</v>
      </c>
      <c r="C30" s="21">
        <f t="shared" si="26"/>
        <v>1000</v>
      </c>
      <c r="D30" s="21">
        <f t="shared" si="27"/>
        <v>434.49058697092454</v>
      </c>
      <c r="E30" s="21">
        <f t="shared" si="28"/>
        <v>3.1411279747627785</v>
      </c>
      <c r="F30" s="23">
        <f t="shared" si="29"/>
        <v>191.17585826720679</v>
      </c>
      <c r="G30" s="21">
        <f t="shared" si="30"/>
        <v>4585.0794704382006</v>
      </c>
      <c r="H30" s="21">
        <f>MAX((SUM(B30:D30)-F30)*1.1,SUM($C$27:C30))-SUM($C$27:C30)</f>
        <v>1047.0426582542595</v>
      </c>
      <c r="I30" s="21">
        <f t="shared" si="34"/>
        <v>1973.445701786427</v>
      </c>
      <c r="J30" s="21">
        <f t="shared" si="20"/>
        <v>589.98542220799993</v>
      </c>
      <c r="K30" s="21">
        <f t="shared" si="21"/>
        <v>256.34311239944259</v>
      </c>
      <c r="L30" s="21">
        <f t="shared" si="31"/>
        <v>114.64418917015452</v>
      </c>
      <c r="M30" s="21">
        <f t="shared" si="22"/>
        <v>216.41040377789716</v>
      </c>
      <c r="N30" s="21">
        <f t="shared" si="23"/>
        <v>199.09757147566535</v>
      </c>
      <c r="O30" s="21">
        <f t="shared" si="24"/>
        <v>0</v>
      </c>
      <c r="P30" s="21">
        <f t="shared" si="32"/>
        <v>2289.6220719701523</v>
      </c>
    </row>
    <row r="31" spans="1:24" x14ac:dyDescent="0.35">
      <c r="A31">
        <f t="shared" si="33"/>
        <v>3</v>
      </c>
      <c r="B31" s="21">
        <f t="shared" si="25"/>
        <v>4585.0794704382006</v>
      </c>
      <c r="C31" s="21">
        <f t="shared" si="26"/>
        <v>1000</v>
      </c>
      <c r="D31" s="21">
        <f t="shared" si="27"/>
        <v>558.50794704382008</v>
      </c>
      <c r="E31" s="21">
        <f t="shared" si="28"/>
        <v>4.4628849385830449</v>
      </c>
      <c r="F31" s="23">
        <f t="shared" si="29"/>
        <v>245.74349669928085</v>
      </c>
      <c r="G31" s="21">
        <f t="shared" si="30"/>
        <v>5893.3810358441579</v>
      </c>
      <c r="H31" s="21">
        <f>MAX((SUM(B31:D31)-F31)*1.1,SUM($C$27:C31))-SUM($C$27:C31)</f>
        <v>1487.6283128610148</v>
      </c>
      <c r="I31" s="21">
        <f t="shared" si="34"/>
        <v>2289.6220719701523</v>
      </c>
      <c r="J31" s="21">
        <f t="shared" si="20"/>
        <v>499.36366135685108</v>
      </c>
      <c r="K31" s="21">
        <f t="shared" si="21"/>
        <v>278.89857333270027</v>
      </c>
      <c r="L31" s="21">
        <f t="shared" si="31"/>
        <v>124.9439748295333</v>
      </c>
      <c r="M31" s="21">
        <f t="shared" si="22"/>
        <v>235.43522654641359</v>
      </c>
      <c r="N31" s="21">
        <f t="shared" si="23"/>
        <v>216.60040842270055</v>
      </c>
      <c r="O31" s="21">
        <f t="shared" si="24"/>
        <v>0</v>
      </c>
      <c r="P31" s="21">
        <f t="shared" si="32"/>
        <v>2490.9046968610564</v>
      </c>
    </row>
    <row r="32" spans="1:24" x14ac:dyDescent="0.35">
      <c r="A32">
        <f t="shared" si="33"/>
        <v>4</v>
      </c>
      <c r="B32" s="21">
        <f t="shared" si="25"/>
        <v>5893.3810358441579</v>
      </c>
      <c r="C32" s="21">
        <f t="shared" si="26"/>
        <v>1000</v>
      </c>
      <c r="D32" s="21">
        <f t="shared" si="27"/>
        <v>689.33810358441588</v>
      </c>
      <c r="E32" s="21">
        <f t="shared" si="28"/>
        <v>6.0220542337097216</v>
      </c>
      <c r="F32" s="23">
        <f t="shared" si="29"/>
        <v>303.30876557714294</v>
      </c>
      <c r="G32" s="21">
        <f t="shared" si="30"/>
        <v>7273.3883196177203</v>
      </c>
      <c r="H32" s="21">
        <f>MAX((SUM(B32:D32)-F32)*1.1,SUM($C$27:C32))-SUM($C$27:C32)</f>
        <v>2007.3514112365738</v>
      </c>
      <c r="I32" s="21">
        <f t="shared" si="34"/>
        <v>2490.9046968610564</v>
      </c>
      <c r="J32" s="21">
        <f t="shared" si="20"/>
        <v>422.66140297243868</v>
      </c>
      <c r="K32" s="21">
        <f t="shared" si="21"/>
        <v>291.35660998334947</v>
      </c>
      <c r="L32" s="21">
        <f t="shared" si="31"/>
        <v>130.74219828386961</v>
      </c>
      <c r="M32" s="21">
        <f t="shared" si="22"/>
        <v>245.93444092263792</v>
      </c>
      <c r="N32" s="21">
        <f t="shared" si="23"/>
        <v>226.25968564882689</v>
      </c>
      <c r="O32" s="21">
        <f t="shared" si="24"/>
        <v>0</v>
      </c>
      <c r="P32" s="21">
        <f t="shared" si="32"/>
        <v>2601.9863849615103</v>
      </c>
    </row>
    <row r="33" spans="1:16" x14ac:dyDescent="0.35">
      <c r="A33">
        <f t="shared" si="33"/>
        <v>5</v>
      </c>
      <c r="B33" s="21">
        <f t="shared" si="25"/>
        <v>7273.3883196177203</v>
      </c>
      <c r="C33" s="21">
        <f t="shared" si="26"/>
        <v>1000</v>
      </c>
      <c r="D33" s="21">
        <f t="shared" si="27"/>
        <v>827.33883196177203</v>
      </c>
      <c r="E33" s="21">
        <f t="shared" si="28"/>
        <v>7.8311036162038308</v>
      </c>
      <c r="F33" s="23">
        <f t="shared" si="29"/>
        <v>364.02908606317965</v>
      </c>
      <c r="G33" s="21">
        <f t="shared" si="30"/>
        <v>8728.8669619001084</v>
      </c>
      <c r="H33" s="21">
        <f>MAX((SUM(B33:D33)-F33)*1.1,SUM($C$27:C33))-SUM($C$27:C33)</f>
        <v>2610.3678720679436</v>
      </c>
      <c r="I33" s="21">
        <f t="shared" si="34"/>
        <v>2601.9863849615103</v>
      </c>
      <c r="J33" s="21">
        <f t="shared" si="20"/>
        <v>357.74061147587213</v>
      </c>
      <c r="K33" s="21">
        <f t="shared" si="21"/>
        <v>295.97269964373811</v>
      </c>
      <c r="L33" s="21">
        <f t="shared" si="31"/>
        <v>133.02949163943643</v>
      </c>
      <c r="M33" s="21">
        <f t="shared" si="22"/>
        <v>249.81361635533463</v>
      </c>
      <c r="N33" s="21">
        <f t="shared" si="23"/>
        <v>229.82852704690785</v>
      </c>
      <c r="O33" s="21">
        <f t="shared" si="24"/>
        <v>0</v>
      </c>
      <c r="P33" s="21">
        <f t="shared" si="32"/>
        <v>2643.028061039442</v>
      </c>
    </row>
    <row r="34" spans="1:16" x14ac:dyDescent="0.35">
      <c r="A34">
        <f t="shared" si="33"/>
        <v>6</v>
      </c>
      <c r="B34" s="21">
        <f t="shared" si="25"/>
        <v>8728.8669619001084</v>
      </c>
      <c r="C34" s="21">
        <f t="shared" si="26"/>
        <v>1000</v>
      </c>
      <c r="D34" s="21">
        <f t="shared" si="27"/>
        <v>972.88669619001087</v>
      </c>
      <c r="E34" s="21">
        <f t="shared" si="28"/>
        <v>9.9031555888294989</v>
      </c>
      <c r="F34" s="23">
        <f t="shared" si="29"/>
        <v>428.07014632360477</v>
      </c>
      <c r="G34" s="21">
        <f t="shared" si="30"/>
        <v>10263.780356177685</v>
      </c>
      <c r="H34" s="21">
        <f>MAX((SUM(B34:D34)-F34)*1.1,SUM($C$27:C34))-SUM($C$27:C34)</f>
        <v>3301.0518629431663</v>
      </c>
      <c r="I34" s="21">
        <f t="shared" si="34"/>
        <v>2643.028061039442</v>
      </c>
      <c r="J34" s="21">
        <f t="shared" si="20"/>
        <v>302.79165355317815</v>
      </c>
      <c r="K34" s="21">
        <f t="shared" si="21"/>
        <v>294.58197145926187</v>
      </c>
      <c r="L34" s="21">
        <f t="shared" si="31"/>
        <v>132.61466029821131</v>
      </c>
      <c r="M34" s="21">
        <f t="shared" si="22"/>
        <v>248.62296206029353</v>
      </c>
      <c r="N34" s="21">
        <f t="shared" si="23"/>
        <v>228.73312509547003</v>
      </c>
      <c r="O34" s="21">
        <f t="shared" si="24"/>
        <v>2630.4309385979054</v>
      </c>
      <c r="P34" s="21">
        <f t="shared" si="3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5D2C-930C-4CC2-B2BF-1FE8AD45B5D5}">
  <dimension ref="A1:X34"/>
  <sheetViews>
    <sheetView topLeftCell="K13" workbookViewId="0">
      <selection activeCell="X15" sqref="X15"/>
    </sheetView>
  </sheetViews>
  <sheetFormatPr defaultRowHeight="14.5" x14ac:dyDescent="0.35"/>
  <cols>
    <col min="1" max="1" width="25.1796875" bestFit="1" customWidth="1"/>
    <col min="2" max="2" width="38" bestFit="1" customWidth="1"/>
    <col min="3" max="3" width="16.81640625" bestFit="1" customWidth="1"/>
    <col min="4" max="4" width="11.81640625" bestFit="1" customWidth="1"/>
    <col min="5" max="5" width="14.81640625" bestFit="1" customWidth="1"/>
    <col min="6" max="6" width="11.81640625" bestFit="1" customWidth="1"/>
    <col min="7" max="7" width="10.90625" bestFit="1" customWidth="1"/>
    <col min="8" max="9" width="13.08984375" bestFit="1" customWidth="1"/>
    <col min="10" max="10" width="16.81640625" bestFit="1" customWidth="1"/>
    <col min="11" max="11" width="14.453125" bestFit="1" customWidth="1"/>
    <col min="12" max="12" width="8.54296875" bestFit="1" customWidth="1"/>
    <col min="13" max="13" width="19.90625" bestFit="1" customWidth="1"/>
    <col min="14" max="15" width="13.08984375" bestFit="1" customWidth="1"/>
    <col min="16" max="16" width="15.6328125" bestFit="1" customWidth="1"/>
    <col min="17" max="17" width="14.453125" bestFit="1" customWidth="1"/>
    <col min="18" max="18" width="8.54296875" bestFit="1" customWidth="1"/>
    <col min="19" max="19" width="6.54296875" hidden="1" customWidth="1"/>
    <col min="20" max="20" width="6" hidden="1" customWidth="1"/>
    <col min="21" max="21" width="6.54296875" bestFit="1" customWidth="1"/>
    <col min="22" max="22" width="15.6328125" bestFit="1" customWidth="1"/>
    <col min="23" max="23" width="14.36328125" bestFit="1" customWidth="1"/>
  </cols>
  <sheetData>
    <row r="1" spans="1:24" x14ac:dyDescent="0.35">
      <c r="A1" s="22" t="s">
        <v>57</v>
      </c>
    </row>
    <row r="2" spans="1:24" x14ac:dyDescent="0.35">
      <c r="B2" s="22" t="s">
        <v>86</v>
      </c>
      <c r="C2" s="22" t="s">
        <v>88</v>
      </c>
      <c r="D2" s="22" t="s">
        <v>89</v>
      </c>
    </row>
    <row r="3" spans="1:24" x14ac:dyDescent="0.35">
      <c r="A3" t="s">
        <v>58</v>
      </c>
      <c r="B3">
        <v>0.08</v>
      </c>
      <c r="C3">
        <f>Inforce!C3</f>
        <v>0.09</v>
      </c>
      <c r="D3">
        <v>0.02</v>
      </c>
    </row>
    <row r="4" spans="1:24" x14ac:dyDescent="0.35">
      <c r="A4" t="s">
        <v>59</v>
      </c>
      <c r="B4">
        <v>0.08</v>
      </c>
      <c r="C4">
        <f>Inforce!C4</f>
        <v>9.5000000000000001E-2</v>
      </c>
      <c r="D4">
        <v>9.5000000000000001E-2</v>
      </c>
    </row>
    <row r="5" spans="1:24" x14ac:dyDescent="0.35">
      <c r="A5" t="s">
        <v>50</v>
      </c>
      <c r="B5">
        <v>70</v>
      </c>
      <c r="C5">
        <f>Inforce!C5</f>
        <v>300</v>
      </c>
      <c r="D5">
        <v>20</v>
      </c>
    </row>
    <row r="6" spans="1:24" x14ac:dyDescent="0.35">
      <c r="A6" t="s">
        <v>63</v>
      </c>
      <c r="B6">
        <v>0.1</v>
      </c>
      <c r="C6">
        <f>Inforce!C6</f>
        <v>0.1</v>
      </c>
      <c r="D6">
        <v>0.1</v>
      </c>
    </row>
    <row r="7" spans="1:24" x14ac:dyDescent="0.35">
      <c r="A7" t="s">
        <v>60</v>
      </c>
      <c r="B7">
        <v>0.03</v>
      </c>
      <c r="C7">
        <f>Inforce!C7</f>
        <v>0.03</v>
      </c>
      <c r="D7">
        <v>0.03</v>
      </c>
    </row>
    <row r="8" spans="1:24" x14ac:dyDescent="0.35">
      <c r="A8" t="s">
        <v>82</v>
      </c>
      <c r="B8">
        <v>0.04</v>
      </c>
      <c r="C8">
        <f>Inforce!C8</f>
        <v>0.04</v>
      </c>
      <c r="D8">
        <v>0.04</v>
      </c>
    </row>
    <row r="9" spans="1:24" x14ac:dyDescent="0.35">
      <c r="A9" t="s">
        <v>61</v>
      </c>
      <c r="B9">
        <v>3.0000000000000001E-3</v>
      </c>
      <c r="C9">
        <f>Inforce!C9</f>
        <v>3.0000000000000001E-3</v>
      </c>
      <c r="D9">
        <v>3.0000000000000001E-3</v>
      </c>
    </row>
    <row r="10" spans="1:24" x14ac:dyDescent="0.35">
      <c r="A10" t="s">
        <v>47</v>
      </c>
      <c r="B10">
        <v>1000</v>
      </c>
      <c r="C10">
        <f>Inforce!C10</f>
        <v>1000</v>
      </c>
      <c r="D10">
        <v>1000</v>
      </c>
    </row>
    <row r="11" spans="1:24" x14ac:dyDescent="0.35">
      <c r="A11" t="s">
        <v>62</v>
      </c>
      <c r="B11" t="s">
        <v>85</v>
      </c>
    </row>
    <row r="13" spans="1:24" x14ac:dyDescent="0.35">
      <c r="M13" t="s">
        <v>55</v>
      </c>
    </row>
    <row r="14" spans="1:24" x14ac:dyDescent="0.35">
      <c r="A14" t="s">
        <v>54</v>
      </c>
      <c r="G14" t="s">
        <v>51</v>
      </c>
      <c r="H14" t="s">
        <v>51</v>
      </c>
      <c r="I14" t="s">
        <v>52</v>
      </c>
      <c r="J14" t="s">
        <v>51</v>
      </c>
      <c r="K14" t="s">
        <v>51</v>
      </c>
      <c r="L14" t="s">
        <v>52</v>
      </c>
      <c r="M14" t="s">
        <v>51</v>
      </c>
      <c r="N14" t="s">
        <v>51</v>
      </c>
      <c r="O14" t="s">
        <v>52</v>
      </c>
      <c r="P14" t="s">
        <v>51</v>
      </c>
      <c r="Q14" t="s">
        <v>51</v>
      </c>
      <c r="R14" t="s">
        <v>52</v>
      </c>
      <c r="S14" t="s">
        <v>51</v>
      </c>
      <c r="T14" t="s">
        <v>52</v>
      </c>
    </row>
    <row r="15" spans="1:24" x14ac:dyDescent="0.35">
      <c r="A15" t="s">
        <v>64</v>
      </c>
      <c r="B15" s="26" t="s">
        <v>69</v>
      </c>
      <c r="C15" s="26" t="s">
        <v>66</v>
      </c>
      <c r="D15" s="26" t="s">
        <v>67</v>
      </c>
      <c r="E15" s="26" t="s">
        <v>68</v>
      </c>
      <c r="F15" s="26" t="s">
        <v>70</v>
      </c>
      <c r="G15" t="s">
        <v>47</v>
      </c>
      <c r="H15" t="s">
        <v>78</v>
      </c>
      <c r="I15" t="s">
        <v>78</v>
      </c>
      <c r="J15" t="s">
        <v>48</v>
      </c>
      <c r="K15" t="s">
        <v>49</v>
      </c>
      <c r="L15" t="s">
        <v>50</v>
      </c>
      <c r="M15" t="s">
        <v>47</v>
      </c>
      <c r="N15" t="s">
        <v>78</v>
      </c>
      <c r="O15" t="s">
        <v>78</v>
      </c>
      <c r="P15" t="s">
        <v>48</v>
      </c>
      <c r="Q15" t="s">
        <v>49</v>
      </c>
      <c r="R15" t="s">
        <v>50</v>
      </c>
      <c r="S15" t="s">
        <v>53</v>
      </c>
      <c r="T15" t="s">
        <v>53</v>
      </c>
      <c r="U15" t="s">
        <v>53</v>
      </c>
      <c r="V15" t="s">
        <v>79</v>
      </c>
      <c r="W15" t="s">
        <v>87</v>
      </c>
      <c r="X15" t="s">
        <v>56</v>
      </c>
    </row>
    <row r="16" spans="1:24" x14ac:dyDescent="0.35">
      <c r="A16">
        <v>-2</v>
      </c>
      <c r="B16" s="26">
        <v>1</v>
      </c>
      <c r="C16" s="26">
        <f>B16*$C$3</f>
        <v>0.09</v>
      </c>
      <c r="D16" s="26">
        <f>(B16-C16)*$C$4</f>
        <v>8.6449999999999999E-2</v>
      </c>
      <c r="E16" s="26">
        <v>0</v>
      </c>
      <c r="F16" s="26">
        <f>B16-C16-D16-E16</f>
        <v>0.82355</v>
      </c>
      <c r="G16" s="21">
        <f t="shared" ref="G16:G23" si="0">J27</f>
        <v>1000</v>
      </c>
      <c r="H16" s="21">
        <f t="shared" ref="H16:H23" si="1">M27</f>
        <v>94.996368000000004</v>
      </c>
      <c r="I16" s="21">
        <f>(MAX(SUM($C$27:C27),1.1*G27)-G27)*C16</f>
        <v>9.4996368000000189</v>
      </c>
      <c r="J16" s="21">
        <f t="shared" ref="J16:K23" si="2">N27</f>
        <v>91.249289040000008</v>
      </c>
      <c r="K16" s="21">
        <f t="shared" si="2"/>
        <v>0</v>
      </c>
      <c r="L16" s="21">
        <f>$C$5*B16</f>
        <v>300</v>
      </c>
      <c r="M16" s="21">
        <f>G16+M17/(1+$B$6)</f>
        <v>3823.6005360208596</v>
      </c>
      <c r="N16" s="21">
        <f>(H16+N17)/(1+$B$6)</f>
        <v>972.13147084017328</v>
      </c>
      <c r="O16" s="21">
        <f>(I16+O17)/(1+$B$7)</f>
        <v>135.33803291822397</v>
      </c>
      <c r="P16" s="21">
        <f t="shared" ref="P16:Q23" si="3">(J16+P17)/(1+$B$6)</f>
        <v>1008.1637346892716</v>
      </c>
      <c r="Q16" s="21">
        <f t="shared" si="3"/>
        <v>1285.8325721251217</v>
      </c>
      <c r="R16" s="21">
        <f>L16+R17/(1+$B$7)</f>
        <v>543.08601846916531</v>
      </c>
      <c r="S16" s="20">
        <f>N16+P16+Q16-M16</f>
        <v>-557.47275836629296</v>
      </c>
      <c r="T16" s="20">
        <f>R16+O16</f>
        <v>678.42405138738923</v>
      </c>
      <c r="U16" s="20">
        <f>SUM(S16:T16)</f>
        <v>120.95129302109626</v>
      </c>
      <c r="V16" s="23">
        <f>(S16+G16)*$B$6-(L16-T16)*$B$7</f>
        <v>55.605445704992384</v>
      </c>
      <c r="W16" s="20">
        <f>SUM(N16:Q16)</f>
        <v>3401.4658105727904</v>
      </c>
      <c r="X16" s="20">
        <f>SUM(H16:K16)</f>
        <v>195.74529384000004</v>
      </c>
    </row>
    <row r="17" spans="1:24" x14ac:dyDescent="0.35">
      <c r="A17">
        <f>A16+1</f>
        <v>-1</v>
      </c>
      <c r="B17" s="26">
        <f>F16</f>
        <v>0.82355</v>
      </c>
      <c r="C17" s="26">
        <f>B17*$D$3</f>
        <v>1.6471E-2</v>
      </c>
      <c r="D17" s="26">
        <f>(B17-C17)*$D$4</f>
        <v>7.6672505000000002E-2</v>
      </c>
      <c r="E17" s="26">
        <v>0</v>
      </c>
      <c r="F17" s="26">
        <f>B17-C17-D17-E17</f>
        <v>0.73040649499999999</v>
      </c>
      <c r="G17" s="21">
        <f t="shared" si="0"/>
        <v>823.55</v>
      </c>
      <c r="H17" s="21">
        <f t="shared" si="1"/>
        <v>35.733191996449058</v>
      </c>
      <c r="I17" s="21">
        <f>(MAX(SUM($C$27:C28),1.1*G28)-G28)*C17</f>
        <v>3.5733191996449101</v>
      </c>
      <c r="J17" s="21">
        <f t="shared" si="2"/>
        <v>166.33800874347037</v>
      </c>
      <c r="K17" s="21">
        <f t="shared" si="2"/>
        <v>0</v>
      </c>
      <c r="L17" s="21">
        <f t="shared" ref="L17:L23" si="4">$B$5*B17</f>
        <v>57.648499999999999</v>
      </c>
      <c r="M17" s="21">
        <f t="shared" ref="M17:M23" si="5">G17+M18/(1+$B$6)</f>
        <v>3105.9605896229459</v>
      </c>
      <c r="N17" s="21">
        <f t="shared" ref="N17:N23" si="6">(H17+N18)/(1+$B$6)</f>
        <v>974.34824992419067</v>
      </c>
      <c r="O17" s="21">
        <f t="shared" ref="O17:O23" si="7">(I17+O18)/(1+$B$7)</f>
        <v>129.89853710577069</v>
      </c>
      <c r="P17" s="21">
        <f t="shared" si="3"/>
        <v>1017.7308191181988</v>
      </c>
      <c r="Q17" s="21">
        <f t="shared" si="3"/>
        <v>1414.415829337634</v>
      </c>
      <c r="R17" s="21">
        <f t="shared" ref="R17:R23" si="8">L17+R18/(1+$B$7)</f>
        <v>250.37859902324027</v>
      </c>
      <c r="S17" s="29">
        <f t="shared" ref="S17:S23" si="9">N17+P17+Q17-M17</f>
        <v>300.53430875707772</v>
      </c>
      <c r="T17" s="29">
        <f t="shared" ref="T17:T23" si="10">R17+O17</f>
        <v>380.27713612901096</v>
      </c>
      <c r="U17" s="29">
        <f t="shared" ref="U17:U23" si="11">SUM(S17:T17)</f>
        <v>680.81144488608868</v>
      </c>
      <c r="V17" s="23">
        <f>(S17+G17)*$C$6-(L17-T17)*$C$7</f>
        <v>122.0872899595781</v>
      </c>
      <c r="W17" s="20">
        <f t="shared" ref="W17:W23" si="12">SUM(N17:Q17)</f>
        <v>3536.3934354857943</v>
      </c>
      <c r="X17" s="20">
        <f t="shared" ref="X17:X23" si="13">SUM(H17:K17)</f>
        <v>205.64451993956433</v>
      </c>
    </row>
    <row r="18" spans="1:24" x14ac:dyDescent="0.35">
      <c r="A18">
        <f t="shared" ref="A18:A23" si="14">A17+1</f>
        <v>0</v>
      </c>
      <c r="B18" s="26">
        <f t="shared" ref="B18:B23" si="15">F17</f>
        <v>0.73040649499999999</v>
      </c>
      <c r="C18" s="26">
        <f t="shared" ref="C18:C23" si="16">B18*$B$3</f>
        <v>5.8432519600000003E-2</v>
      </c>
      <c r="D18" s="26">
        <f t="shared" ref="D18:D23" si="17">(B18-C18)*$B$4</f>
        <v>5.3757918032000002E-2</v>
      </c>
      <c r="E18" s="26">
        <v>0</v>
      </c>
      <c r="F18" s="26">
        <f t="shared" ref="F18:F23" si="18">B18-C18-D18-E18</f>
        <v>0.618216057368</v>
      </c>
      <c r="G18" s="21">
        <f t="shared" si="0"/>
        <v>730.40649499999995</v>
      </c>
      <c r="H18" s="21">
        <f t="shared" si="1"/>
        <v>195.45127779194053</v>
      </c>
      <c r="I18" s="21">
        <f>(MAX(SUM($C$27:C29),1.1*G29)-G29)*C18</f>
        <v>19.545127779194058</v>
      </c>
      <c r="J18" s="21">
        <f t="shared" si="2"/>
        <v>179.81517556858526</v>
      </c>
      <c r="K18" s="21">
        <f t="shared" si="2"/>
        <v>0</v>
      </c>
      <c r="L18" s="21">
        <f t="shared" si="4"/>
        <v>51.128454650000002</v>
      </c>
      <c r="M18" s="21">
        <f t="shared" si="5"/>
        <v>2510.6516485852408</v>
      </c>
      <c r="N18" s="21">
        <f t="shared" si="6"/>
        <v>1036.0498829201608</v>
      </c>
      <c r="O18" s="21">
        <f t="shared" si="7"/>
        <v>130.2221740192989</v>
      </c>
      <c r="P18" s="21">
        <f t="shared" si="3"/>
        <v>953.16589228654834</v>
      </c>
      <c r="Q18" s="21">
        <f t="shared" si="3"/>
        <v>1555.8574122713976</v>
      </c>
      <c r="R18" s="21">
        <f t="shared" si="8"/>
        <v>198.5120019939375</v>
      </c>
      <c r="S18" s="20">
        <f t="shared" si="9"/>
        <v>1034.421538892866</v>
      </c>
      <c r="T18" s="20">
        <f t="shared" si="10"/>
        <v>328.73417601323638</v>
      </c>
      <c r="U18" s="20">
        <f t="shared" si="11"/>
        <v>1363.1557149061023</v>
      </c>
      <c r="V18" s="23">
        <f t="shared" ref="V18:V23" si="19">(S18+G18)*$B$6-(L18-T18)*$B$7</f>
        <v>184.8109750301837</v>
      </c>
      <c r="W18" s="20">
        <f t="shared" si="12"/>
        <v>3675.2953614974053</v>
      </c>
      <c r="X18" s="20">
        <f t="shared" si="13"/>
        <v>394.81158113971981</v>
      </c>
    </row>
    <row r="19" spans="1:24" x14ac:dyDescent="0.35">
      <c r="A19">
        <f t="shared" si="14"/>
        <v>1</v>
      </c>
      <c r="B19" s="26">
        <f t="shared" si="15"/>
        <v>0.618216057368</v>
      </c>
      <c r="C19" s="26">
        <f t="shared" si="16"/>
        <v>4.9457284589440001E-2</v>
      </c>
      <c r="D19" s="26">
        <f t="shared" si="17"/>
        <v>4.55007018222848E-2</v>
      </c>
      <c r="E19" s="26">
        <v>0</v>
      </c>
      <c r="F19" s="26">
        <f t="shared" si="18"/>
        <v>0.52325807095627519</v>
      </c>
      <c r="G19" s="21">
        <f t="shared" si="0"/>
        <v>618.21605736799995</v>
      </c>
      <c r="H19" s="21">
        <f t="shared" si="1"/>
        <v>226.76558023466094</v>
      </c>
      <c r="I19" s="21">
        <f>(MAX(SUM($C$27:C30),1.1*G30)-G30)*C19</f>
        <v>22.676558023466111</v>
      </c>
      <c r="J19" s="21">
        <f t="shared" si="2"/>
        <v>208.62433381588806</v>
      </c>
      <c r="K19" s="21">
        <f t="shared" si="2"/>
        <v>0</v>
      </c>
      <c r="L19" s="21">
        <f t="shared" si="4"/>
        <v>43.275124015759999</v>
      </c>
      <c r="M19" s="21">
        <f t="shared" si="5"/>
        <v>1958.2696689437653</v>
      </c>
      <c r="N19" s="21">
        <f t="shared" si="6"/>
        <v>944.20359342023664</v>
      </c>
      <c r="O19" s="21">
        <f t="shared" si="7"/>
        <v>114.5837114606838</v>
      </c>
      <c r="P19" s="21">
        <f t="shared" si="3"/>
        <v>868.66730594661794</v>
      </c>
      <c r="Q19" s="21">
        <f t="shared" si="3"/>
        <v>1711.4431534985374</v>
      </c>
      <c r="R19" s="21">
        <f t="shared" si="8"/>
        <v>151.80505376425563</v>
      </c>
      <c r="S19" s="20">
        <f t="shared" si="9"/>
        <v>1566.0443839216268</v>
      </c>
      <c r="T19" s="20">
        <f t="shared" si="10"/>
        <v>266.38876522493945</v>
      </c>
      <c r="U19" s="20">
        <f t="shared" si="11"/>
        <v>1832.4331491465664</v>
      </c>
      <c r="V19" s="23">
        <f t="shared" si="19"/>
        <v>225.11945336523806</v>
      </c>
      <c r="W19" s="20">
        <f t="shared" si="12"/>
        <v>3638.897764326076</v>
      </c>
      <c r="X19" s="20">
        <f t="shared" si="13"/>
        <v>458.06647207401511</v>
      </c>
    </row>
    <row r="20" spans="1:24" x14ac:dyDescent="0.35">
      <c r="A20">
        <f t="shared" si="14"/>
        <v>2</v>
      </c>
      <c r="B20" s="26">
        <f t="shared" si="15"/>
        <v>0.52325807095627519</v>
      </c>
      <c r="C20" s="26">
        <f t="shared" si="16"/>
        <v>4.1860645676502016E-2</v>
      </c>
      <c r="D20" s="26">
        <f t="shared" si="17"/>
        <v>3.8511794022381855E-2</v>
      </c>
      <c r="E20" s="26">
        <v>0</v>
      </c>
      <c r="F20" s="26">
        <f t="shared" si="18"/>
        <v>0.44288563125739133</v>
      </c>
      <c r="G20" s="21">
        <f t="shared" si="0"/>
        <v>523.25807095627522</v>
      </c>
      <c r="H20" s="21">
        <f t="shared" si="1"/>
        <v>246.70073537808872</v>
      </c>
      <c r="I20" s="21">
        <f>(MAX(SUM($C$27:C31),1.1*G31)-G31)*C20</f>
        <v>24.670073537808875</v>
      </c>
      <c r="J20" s="21">
        <f t="shared" si="2"/>
        <v>226.96467654784163</v>
      </c>
      <c r="K20" s="21">
        <f t="shared" si="2"/>
        <v>0</v>
      </c>
      <c r="L20" s="21">
        <f t="shared" si="4"/>
        <v>36.628064966939263</v>
      </c>
      <c r="M20" s="21">
        <f t="shared" si="5"/>
        <v>1474.0589727333418</v>
      </c>
      <c r="N20" s="21">
        <f t="shared" si="6"/>
        <v>811.8583725275995</v>
      </c>
      <c r="O20" s="21">
        <f t="shared" si="7"/>
        <v>95.344664781038205</v>
      </c>
      <c r="P20" s="21">
        <f t="shared" si="3"/>
        <v>746.90970272539175</v>
      </c>
      <c r="Q20" s="21">
        <f t="shared" si="3"/>
        <v>1882.5874688483914</v>
      </c>
      <c r="R20" s="21">
        <f t="shared" si="8"/>
        <v>111.7858276409505</v>
      </c>
      <c r="S20" s="20">
        <f t="shared" si="9"/>
        <v>1967.296571368041</v>
      </c>
      <c r="T20" s="20">
        <f t="shared" si="10"/>
        <v>207.13049242198872</v>
      </c>
      <c r="U20" s="20">
        <f t="shared" si="11"/>
        <v>2174.4270637900299</v>
      </c>
      <c r="V20" s="23">
        <f t="shared" si="19"/>
        <v>254.17053705608311</v>
      </c>
      <c r="W20" s="20">
        <f t="shared" si="12"/>
        <v>3536.7002088824211</v>
      </c>
      <c r="X20" s="20">
        <f t="shared" si="13"/>
        <v>498.33548546373925</v>
      </c>
    </row>
    <row r="21" spans="1:24" x14ac:dyDescent="0.35">
      <c r="A21">
        <f t="shared" si="14"/>
        <v>3</v>
      </c>
      <c r="B21" s="26">
        <f t="shared" si="15"/>
        <v>0.44288563125739133</v>
      </c>
      <c r="C21" s="26">
        <f t="shared" si="16"/>
        <v>3.5430850500591304E-2</v>
      </c>
      <c r="D21" s="26">
        <f t="shared" si="17"/>
        <v>3.2596382460544006E-2</v>
      </c>
      <c r="E21" s="26">
        <v>0</v>
      </c>
      <c r="F21" s="26">
        <f t="shared" si="18"/>
        <v>0.374858398296256</v>
      </c>
      <c r="G21" s="21">
        <f t="shared" si="0"/>
        <v>442.88563125739131</v>
      </c>
      <c r="H21" s="21">
        <f t="shared" si="1"/>
        <v>257.70233418512242</v>
      </c>
      <c r="I21" s="21">
        <f>(MAX(SUM($C$27:C32),1.1*G32)-G32)*C21</f>
        <v>25.770233418512262</v>
      </c>
      <c r="J21" s="21">
        <f t="shared" si="2"/>
        <v>237.08614745031269</v>
      </c>
      <c r="K21" s="21">
        <f t="shared" si="2"/>
        <v>0</v>
      </c>
      <c r="L21" s="21">
        <f t="shared" si="4"/>
        <v>31.001994188017392</v>
      </c>
      <c r="M21" s="21">
        <f t="shared" si="5"/>
        <v>1045.8809919547734</v>
      </c>
      <c r="N21" s="21">
        <f t="shared" si="6"/>
        <v>646.34347440227089</v>
      </c>
      <c r="O21" s="21">
        <f t="shared" si="7"/>
        <v>73.534931186660472</v>
      </c>
      <c r="P21" s="21">
        <f t="shared" si="3"/>
        <v>594.63599645008935</v>
      </c>
      <c r="Q21" s="21">
        <f t="shared" si="3"/>
        <v>2070.8462157332306</v>
      </c>
      <c r="R21" s="21">
        <f t="shared" si="8"/>
        <v>77.412495554231583</v>
      </c>
      <c r="S21" s="20">
        <f t="shared" si="9"/>
        <v>2265.9446946308176</v>
      </c>
      <c r="T21" s="20">
        <f t="shared" si="10"/>
        <v>150.94742674089207</v>
      </c>
      <c r="U21" s="20">
        <f t="shared" si="11"/>
        <v>2416.8921213717094</v>
      </c>
      <c r="V21" s="23">
        <f t="shared" si="19"/>
        <v>274.48139556540713</v>
      </c>
      <c r="W21" s="20">
        <f t="shared" si="12"/>
        <v>3385.3606177722513</v>
      </c>
      <c r="X21" s="20">
        <f t="shared" si="13"/>
        <v>520.55871505394737</v>
      </c>
    </row>
    <row r="22" spans="1:24" x14ac:dyDescent="0.35">
      <c r="A22">
        <f t="shared" si="14"/>
        <v>4</v>
      </c>
      <c r="B22" s="26">
        <f t="shared" si="15"/>
        <v>0.374858398296256</v>
      </c>
      <c r="C22" s="26">
        <f t="shared" si="16"/>
        <v>2.9988671863700481E-2</v>
      </c>
      <c r="D22" s="26">
        <f t="shared" si="17"/>
        <v>2.7589578114604444E-2</v>
      </c>
      <c r="E22" s="26">
        <v>0</v>
      </c>
      <c r="F22" s="26">
        <f t="shared" si="18"/>
        <v>0.31728014831795109</v>
      </c>
      <c r="G22" s="21">
        <f t="shared" si="0"/>
        <v>374.85839829625598</v>
      </c>
      <c r="H22" s="21">
        <f t="shared" si="1"/>
        <v>261.76712706231848</v>
      </c>
      <c r="I22" s="21">
        <f>(MAX(SUM($C$27:C33),1.1*G33)-G33)*C22</f>
        <v>26.176712706231857</v>
      </c>
      <c r="J22" s="21">
        <f t="shared" si="2"/>
        <v>240.82575689733301</v>
      </c>
      <c r="K22" s="21">
        <f t="shared" si="2"/>
        <v>0</v>
      </c>
      <c r="L22" s="21">
        <f t="shared" si="4"/>
        <v>26.240087880737921</v>
      </c>
      <c r="M22" s="21">
        <f t="shared" si="5"/>
        <v>663.29489676712058</v>
      </c>
      <c r="N22" s="21">
        <f t="shared" si="6"/>
        <v>453.27548765737566</v>
      </c>
      <c r="O22" s="21">
        <f t="shared" si="7"/>
        <v>49.97074570374803</v>
      </c>
      <c r="P22" s="21">
        <f t="shared" si="3"/>
        <v>417.01344864478563</v>
      </c>
      <c r="Q22" s="21">
        <f t="shared" si="3"/>
        <v>2277.9308373065537</v>
      </c>
      <c r="R22" s="21">
        <f t="shared" si="8"/>
        <v>47.802816407200616</v>
      </c>
      <c r="S22" s="20">
        <f t="shared" si="9"/>
        <v>2484.9248768415946</v>
      </c>
      <c r="T22" s="20">
        <f t="shared" si="10"/>
        <v>97.773562110948646</v>
      </c>
      <c r="U22" s="20">
        <f t="shared" si="11"/>
        <v>2582.6984389525433</v>
      </c>
      <c r="V22" s="23">
        <f t="shared" si="19"/>
        <v>288.12433174069139</v>
      </c>
      <c r="W22" s="20">
        <f t="shared" si="12"/>
        <v>3198.190519312463</v>
      </c>
      <c r="X22" s="20">
        <f t="shared" si="13"/>
        <v>528.76959666588334</v>
      </c>
    </row>
    <row r="23" spans="1:24" x14ac:dyDescent="0.35">
      <c r="A23">
        <f t="shared" si="14"/>
        <v>5</v>
      </c>
      <c r="B23" s="26">
        <f t="shared" si="15"/>
        <v>0.31728014831795109</v>
      </c>
      <c r="C23" s="26">
        <f t="shared" si="16"/>
        <v>2.5382411865436088E-2</v>
      </c>
      <c r="D23" s="26">
        <f t="shared" si="17"/>
        <v>2.3351818916201198E-2</v>
      </c>
      <c r="E23" s="26">
        <f>B23-C23-D23</f>
        <v>0.26854591753631379</v>
      </c>
      <c r="F23" s="26">
        <f t="shared" si="18"/>
        <v>0</v>
      </c>
      <c r="G23" s="21">
        <f t="shared" si="0"/>
        <v>317.2801483179511</v>
      </c>
      <c r="H23" s="21">
        <f t="shared" si="1"/>
        <v>260.5195002968743</v>
      </c>
      <c r="I23" s="21">
        <f>(MAX(SUM($C$27:C34),1.1*G34)-G34)*C23</f>
        <v>26.051950029687479</v>
      </c>
      <c r="J23" s="21">
        <f t="shared" si="2"/>
        <v>239.67794027312434</v>
      </c>
      <c r="K23" s="21">
        <f t="shared" si="2"/>
        <v>2756.2963131409301</v>
      </c>
      <c r="L23" s="21">
        <f t="shared" si="4"/>
        <v>22.209610382256578</v>
      </c>
      <c r="M23" s="21">
        <f t="shared" si="5"/>
        <v>317.2801483179511</v>
      </c>
      <c r="N23" s="21">
        <f t="shared" si="6"/>
        <v>236.8359093607948</v>
      </c>
      <c r="O23" s="21">
        <f t="shared" si="7"/>
        <v>25.293155368628618</v>
      </c>
      <c r="P23" s="21">
        <f t="shared" si="3"/>
        <v>217.8890366119312</v>
      </c>
      <c r="Q23" s="21">
        <f t="shared" si="3"/>
        <v>2505.723921037209</v>
      </c>
      <c r="R23" s="21">
        <f t="shared" si="8"/>
        <v>22.209610382256578</v>
      </c>
      <c r="S23" s="20">
        <f t="shared" si="9"/>
        <v>2643.1687186919839</v>
      </c>
      <c r="T23" s="20">
        <f t="shared" si="10"/>
        <v>47.502765750885196</v>
      </c>
      <c r="U23" s="20">
        <f t="shared" si="11"/>
        <v>2690.6714844428693</v>
      </c>
      <c r="V23" s="23">
        <f t="shared" si="19"/>
        <v>296.80368136205237</v>
      </c>
      <c r="W23" s="20">
        <f t="shared" si="12"/>
        <v>2985.7420223785639</v>
      </c>
      <c r="X23" s="20">
        <f t="shared" si="13"/>
        <v>3282.5457037406163</v>
      </c>
    </row>
    <row r="25" spans="1:24" x14ac:dyDescent="0.35">
      <c r="A25" s="22" t="s">
        <v>71</v>
      </c>
      <c r="I25" t="s">
        <v>65</v>
      </c>
    </row>
    <row r="26" spans="1:24" x14ac:dyDescent="0.35">
      <c r="A26" t="s">
        <v>64</v>
      </c>
      <c r="B26" t="s">
        <v>72</v>
      </c>
      <c r="C26" t="s">
        <v>73</v>
      </c>
      <c r="D26" t="s">
        <v>60</v>
      </c>
      <c r="E26" t="s">
        <v>83</v>
      </c>
      <c r="F26" t="s">
        <v>82</v>
      </c>
      <c r="G26" t="s">
        <v>76</v>
      </c>
      <c r="H26" t="s">
        <v>81</v>
      </c>
      <c r="I26" t="s">
        <v>72</v>
      </c>
      <c r="J26" t="s">
        <v>73</v>
      </c>
      <c r="K26" t="s">
        <v>60</v>
      </c>
      <c r="L26" t="s">
        <v>74</v>
      </c>
      <c r="M26" t="s">
        <v>80</v>
      </c>
      <c r="N26" t="s">
        <v>77</v>
      </c>
      <c r="O26" t="s">
        <v>68</v>
      </c>
      <c r="P26" t="s">
        <v>75</v>
      </c>
    </row>
    <row r="27" spans="1:24" x14ac:dyDescent="0.35">
      <c r="A27">
        <v>-2</v>
      </c>
      <c r="B27" s="21">
        <v>0</v>
      </c>
      <c r="C27" s="21">
        <f>$C$10</f>
        <v>1000</v>
      </c>
      <c r="D27" s="21">
        <f>(C27+B27)*$C$6</f>
        <v>100</v>
      </c>
      <c r="E27" s="21">
        <f>H27*$C$9</f>
        <v>0.4848000000000004</v>
      </c>
      <c r="F27" s="23">
        <f>(B27+C27+D27)*$C$8</f>
        <v>44</v>
      </c>
      <c r="G27" s="21">
        <f>SUM(B27:D27)-F27-E27</f>
        <v>1055.5152</v>
      </c>
      <c r="H27" s="21">
        <f>MAX((SUM(B27:D27)-F27)*1.1,SUM($C$27:C27))-SUM($C$27:C27)</f>
        <v>161.60000000000014</v>
      </c>
      <c r="I27" s="21">
        <f>B27</f>
        <v>0</v>
      </c>
      <c r="J27" s="21">
        <f t="shared" ref="J27:J34" si="20">C27*B16</f>
        <v>1000</v>
      </c>
      <c r="K27" s="21">
        <f t="shared" ref="K27:K34" si="21">D27*B16</f>
        <v>100</v>
      </c>
      <c r="L27" s="21">
        <f>(E27+F27)*B16</f>
        <v>44.4848</v>
      </c>
      <c r="M27" s="21">
        <f t="shared" ref="M27:M34" si="22">G27*C16</f>
        <v>94.996368000000004</v>
      </c>
      <c r="N27" s="21">
        <f t="shared" ref="N27:N34" si="23">G27*D16</f>
        <v>91.249289040000008</v>
      </c>
      <c r="O27" s="21">
        <f t="shared" ref="O27:O34" si="24">G27*E16</f>
        <v>0</v>
      </c>
      <c r="P27" s="21">
        <f>SUM(I27:K27)-SUM(L27:O27)</f>
        <v>869.26954295999997</v>
      </c>
    </row>
    <row r="28" spans="1:24" x14ac:dyDescent="0.35">
      <c r="A28">
        <f>A27+1</f>
        <v>-1</v>
      </c>
      <c r="B28" s="21">
        <f t="shared" ref="B28:B34" si="25">G27</f>
        <v>1055.5152</v>
      </c>
      <c r="C28" s="21">
        <f>$D$10</f>
        <v>1000</v>
      </c>
      <c r="D28" s="21">
        <f>(C28+B28)*$D$6</f>
        <v>205.55151999999998</v>
      </c>
      <c r="E28" s="21">
        <f>H28*$D$9</f>
        <v>1.1630593689600006</v>
      </c>
      <c r="F28" s="23">
        <f>(B28+C28+D28)*$D$8</f>
        <v>90.442668799999993</v>
      </c>
      <c r="G28" s="21">
        <f t="shared" ref="G28:G34" si="26">SUM(B28:D28)-F28-E28</f>
        <v>2169.4609918310398</v>
      </c>
      <c r="H28" s="21">
        <f>MAX((SUM(B28:D28)-F28)*1.1,SUM($C$27:C28))-SUM($C$27:C28)</f>
        <v>387.68645632000016</v>
      </c>
      <c r="I28" s="21">
        <f>P27</f>
        <v>869.26954295999997</v>
      </c>
      <c r="J28" s="21">
        <f t="shared" si="20"/>
        <v>823.55</v>
      </c>
      <c r="K28" s="21">
        <f t="shared" si="21"/>
        <v>169.28195429599998</v>
      </c>
      <c r="L28" s="21">
        <f t="shared" ref="L28:L34" si="27">(E28+F28)*B17</f>
        <v>75.441897433547012</v>
      </c>
      <c r="M28" s="21">
        <f t="shared" si="22"/>
        <v>35.733191996449058</v>
      </c>
      <c r="N28" s="21">
        <f t="shared" si="23"/>
        <v>166.33800874347037</v>
      </c>
      <c r="O28" s="21">
        <f t="shared" si="24"/>
        <v>0</v>
      </c>
      <c r="P28" s="21">
        <f t="shared" ref="P28:P34" si="28">SUM(I28:K28)-SUM(L28:O28)</f>
        <v>1584.5883990825337</v>
      </c>
    </row>
    <row r="29" spans="1:24" x14ac:dyDescent="0.35">
      <c r="A29">
        <f t="shared" ref="A29:A34" si="29">A28+1</f>
        <v>0</v>
      </c>
      <c r="B29" s="21">
        <f t="shared" si="25"/>
        <v>2169.4609918310398</v>
      </c>
      <c r="C29" s="21">
        <f t="shared" ref="C29:C34" si="30">$B$10</f>
        <v>1000</v>
      </c>
      <c r="D29" s="21">
        <f t="shared" ref="D29:D34" si="31">(C29+B29)*$B$6</f>
        <v>316.94609918310402</v>
      </c>
      <c r="E29" s="21">
        <f t="shared" ref="E29:E34" si="32">H29*$B$9</f>
        <v>2.0449376643328083</v>
      </c>
      <c r="F29" s="23">
        <f t="shared" ref="F29:F34" si="33">(B29+C29+D29)*$B$8</f>
        <v>139.45628364056574</v>
      </c>
      <c r="G29" s="21">
        <f t="shared" si="26"/>
        <v>3344.9058697092451</v>
      </c>
      <c r="H29" s="21">
        <f>MAX((SUM(B29:D29)-F29)*1.1,SUM($C$27:C29))-SUM($C$27:C29)</f>
        <v>681.64588811093608</v>
      </c>
      <c r="I29" s="21">
        <f t="shared" ref="I29:I34" si="34">P28</f>
        <v>1584.5883990825337</v>
      </c>
      <c r="J29" s="21">
        <f t="shared" si="20"/>
        <v>730.40649499999995</v>
      </c>
      <c r="K29" s="21">
        <f t="shared" si="21"/>
        <v>231.49948940825337</v>
      </c>
      <c r="L29" s="21">
        <f t="shared" si="27"/>
        <v>103.35341109153029</v>
      </c>
      <c r="M29" s="21">
        <f t="shared" si="22"/>
        <v>195.45127779194053</v>
      </c>
      <c r="N29" s="21">
        <f t="shared" si="23"/>
        <v>179.81517556858526</v>
      </c>
      <c r="O29" s="21">
        <f t="shared" si="24"/>
        <v>0</v>
      </c>
      <c r="P29" s="21">
        <f t="shared" si="28"/>
        <v>2067.8745190387308</v>
      </c>
    </row>
    <row r="30" spans="1:24" x14ac:dyDescent="0.35">
      <c r="A30">
        <f t="shared" si="29"/>
        <v>1</v>
      </c>
      <c r="B30" s="21">
        <f t="shared" si="25"/>
        <v>3344.9058697092451</v>
      </c>
      <c r="C30" s="21">
        <f t="shared" si="30"/>
        <v>1000</v>
      </c>
      <c r="D30" s="21">
        <f t="shared" si="31"/>
        <v>434.49058697092454</v>
      </c>
      <c r="E30" s="21">
        <f t="shared" si="32"/>
        <v>3.1411279747627785</v>
      </c>
      <c r="F30" s="23">
        <f t="shared" si="33"/>
        <v>191.17585826720679</v>
      </c>
      <c r="G30" s="21">
        <f t="shared" si="26"/>
        <v>4585.0794704382006</v>
      </c>
      <c r="H30" s="21">
        <f>MAX((SUM(B30:D30)-F30)*1.1,SUM($C$27:C30))-SUM($C$27:C30)</f>
        <v>1047.0426582542595</v>
      </c>
      <c r="I30" s="21">
        <f t="shared" si="34"/>
        <v>2067.8745190387308</v>
      </c>
      <c r="J30" s="21">
        <f t="shared" si="20"/>
        <v>618.21605736799995</v>
      </c>
      <c r="K30" s="21">
        <f t="shared" si="21"/>
        <v>268.60905764067309</v>
      </c>
      <c r="L30" s="21">
        <f t="shared" si="27"/>
        <v>120.12988111414234</v>
      </c>
      <c r="M30" s="21">
        <f t="shared" si="22"/>
        <v>226.76558023466094</v>
      </c>
      <c r="N30" s="21">
        <f t="shared" si="23"/>
        <v>208.62433381588806</v>
      </c>
      <c r="O30" s="21">
        <f t="shared" si="24"/>
        <v>0</v>
      </c>
      <c r="P30" s="21">
        <f t="shared" si="28"/>
        <v>2399.1798388827124</v>
      </c>
    </row>
    <row r="31" spans="1:24" x14ac:dyDescent="0.35">
      <c r="A31">
        <f t="shared" si="29"/>
        <v>2</v>
      </c>
      <c r="B31" s="21">
        <f t="shared" si="25"/>
        <v>4585.0794704382006</v>
      </c>
      <c r="C31" s="21">
        <f t="shared" si="30"/>
        <v>1000</v>
      </c>
      <c r="D31" s="21">
        <f t="shared" si="31"/>
        <v>558.50794704382008</v>
      </c>
      <c r="E31" s="21">
        <f t="shared" si="32"/>
        <v>4.4628849385830449</v>
      </c>
      <c r="F31" s="23">
        <f t="shared" si="33"/>
        <v>245.74349669928085</v>
      </c>
      <c r="G31" s="21">
        <f t="shared" si="26"/>
        <v>5893.3810358441579</v>
      </c>
      <c r="H31" s="21">
        <f>MAX((SUM(B31:D31)-F31)*1.1,SUM($C$27:C31))-SUM($C$27:C31)</f>
        <v>1487.6283128610148</v>
      </c>
      <c r="I31" s="21">
        <f t="shared" si="34"/>
        <v>2399.1798388827124</v>
      </c>
      <c r="J31" s="21">
        <f t="shared" si="20"/>
        <v>523.25807095627522</v>
      </c>
      <c r="K31" s="21">
        <f t="shared" si="21"/>
        <v>292.2437909838988</v>
      </c>
      <c r="L31" s="21">
        <f t="shared" si="27"/>
        <v>130.92250859677827</v>
      </c>
      <c r="M31" s="21">
        <f t="shared" si="22"/>
        <v>246.70073537808872</v>
      </c>
      <c r="N31" s="21">
        <f t="shared" si="23"/>
        <v>226.96467654784163</v>
      </c>
      <c r="O31" s="21">
        <f t="shared" si="24"/>
        <v>0</v>
      </c>
      <c r="P31" s="21">
        <f t="shared" si="28"/>
        <v>2610.093780300178</v>
      </c>
    </row>
    <row r="32" spans="1:24" x14ac:dyDescent="0.35">
      <c r="A32">
        <f t="shared" si="29"/>
        <v>3</v>
      </c>
      <c r="B32" s="21">
        <f t="shared" si="25"/>
        <v>5893.3810358441579</v>
      </c>
      <c r="C32" s="21">
        <f t="shared" si="30"/>
        <v>1000</v>
      </c>
      <c r="D32" s="21">
        <f t="shared" si="31"/>
        <v>689.33810358441588</v>
      </c>
      <c r="E32" s="21">
        <f t="shared" si="32"/>
        <v>6.0220542337097216</v>
      </c>
      <c r="F32" s="23">
        <f t="shared" si="33"/>
        <v>303.30876557714294</v>
      </c>
      <c r="G32" s="21">
        <f t="shared" si="26"/>
        <v>7273.3883196177203</v>
      </c>
      <c r="H32" s="21">
        <f>MAX((SUM(B32:D32)-F32)*1.1,SUM($C$27:C32))-SUM($C$27:C32)</f>
        <v>2007.3514112365738</v>
      </c>
      <c r="I32" s="21">
        <f t="shared" si="34"/>
        <v>2610.093780300178</v>
      </c>
      <c r="J32" s="21">
        <f t="shared" si="20"/>
        <v>442.88563125739131</v>
      </c>
      <c r="K32" s="21">
        <f t="shared" si="21"/>
        <v>305.29794115575703</v>
      </c>
      <c r="L32" s="21">
        <f t="shared" si="27"/>
        <v>136.99817539929583</v>
      </c>
      <c r="M32" s="21">
        <f t="shared" si="22"/>
        <v>257.70233418512242</v>
      </c>
      <c r="N32" s="21">
        <f t="shared" si="23"/>
        <v>237.08614745031269</v>
      </c>
      <c r="O32" s="21">
        <f t="shared" si="24"/>
        <v>0</v>
      </c>
      <c r="P32" s="21">
        <f t="shared" si="28"/>
        <v>2726.4906956785953</v>
      </c>
    </row>
    <row r="33" spans="1:16" x14ac:dyDescent="0.35">
      <c r="A33">
        <f t="shared" si="29"/>
        <v>4</v>
      </c>
      <c r="B33" s="21">
        <f t="shared" si="25"/>
        <v>7273.3883196177203</v>
      </c>
      <c r="C33" s="21">
        <f t="shared" si="30"/>
        <v>1000</v>
      </c>
      <c r="D33" s="21">
        <f t="shared" si="31"/>
        <v>827.33883196177203</v>
      </c>
      <c r="E33" s="21">
        <f t="shared" si="32"/>
        <v>7.8311036162038308</v>
      </c>
      <c r="F33" s="23">
        <f t="shared" si="33"/>
        <v>364.02908606317965</v>
      </c>
      <c r="G33" s="21">
        <f t="shared" si="26"/>
        <v>8728.8669619001084</v>
      </c>
      <c r="H33" s="21">
        <f>MAX((SUM(B33:D33)-F33)*1.1,SUM($C$27:C33))-SUM($C$27:C33)</f>
        <v>2610.3678720679436</v>
      </c>
      <c r="I33" s="21">
        <f t="shared" si="34"/>
        <v>2726.4906956785953</v>
      </c>
      <c r="J33" s="21">
        <f t="shared" si="20"/>
        <v>374.85839829625598</v>
      </c>
      <c r="K33" s="21">
        <f t="shared" si="21"/>
        <v>310.13490939748516</v>
      </c>
      <c r="L33" s="21">
        <f t="shared" si="27"/>
        <v>139.39491509335565</v>
      </c>
      <c r="M33" s="21">
        <f t="shared" si="22"/>
        <v>261.76712706231848</v>
      </c>
      <c r="N33" s="21">
        <f t="shared" si="23"/>
        <v>240.82575689733301</v>
      </c>
      <c r="O33" s="21">
        <f t="shared" si="24"/>
        <v>0</v>
      </c>
      <c r="P33" s="21">
        <f t="shared" si="28"/>
        <v>2769.4962043193291</v>
      </c>
    </row>
    <row r="34" spans="1:16" x14ac:dyDescent="0.35">
      <c r="A34">
        <f t="shared" si="29"/>
        <v>5</v>
      </c>
      <c r="B34" s="21">
        <f t="shared" si="25"/>
        <v>8728.8669619001084</v>
      </c>
      <c r="C34" s="21">
        <f t="shared" si="30"/>
        <v>1000</v>
      </c>
      <c r="D34" s="21">
        <f t="shared" si="31"/>
        <v>972.88669619001087</v>
      </c>
      <c r="E34" s="21">
        <f t="shared" si="32"/>
        <v>9.9031555888294989</v>
      </c>
      <c r="F34" s="23">
        <f t="shared" si="33"/>
        <v>428.07014632360477</v>
      </c>
      <c r="G34" s="21">
        <f t="shared" si="26"/>
        <v>10263.780356177685</v>
      </c>
      <c r="H34" s="21">
        <f>MAX((SUM(B34:D34)-F34)*1.1,SUM($C$27:C34))-SUM($C$27:C34)</f>
        <v>3301.0518629431663</v>
      </c>
      <c r="I34" s="21">
        <f t="shared" si="34"/>
        <v>2769.4962043193291</v>
      </c>
      <c r="J34" s="21">
        <f t="shared" si="20"/>
        <v>317.2801483179511</v>
      </c>
      <c r="K34" s="21">
        <f t="shared" si="21"/>
        <v>308.67763526372806</v>
      </c>
      <c r="L34" s="21">
        <f t="shared" si="27"/>
        <v>138.96023419007992</v>
      </c>
      <c r="M34" s="21">
        <f t="shared" si="22"/>
        <v>260.5195002968743</v>
      </c>
      <c r="N34" s="21">
        <f t="shared" si="23"/>
        <v>239.67794027312434</v>
      </c>
      <c r="O34" s="21">
        <f t="shared" si="24"/>
        <v>2756.2963131409301</v>
      </c>
      <c r="P34" s="21">
        <f t="shared" si="28"/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EE6B715A08048ADEE35852ECB6708" ma:contentTypeVersion="16" ma:contentTypeDescription="Create a new document." ma:contentTypeScope="" ma:versionID="166768247869e0fed04390d45e43516c">
  <xsd:schema xmlns:xsd="http://www.w3.org/2001/XMLSchema" xmlns:xs="http://www.w3.org/2001/XMLSchema" xmlns:p="http://schemas.microsoft.com/office/2006/metadata/properties" xmlns:ns1="http://schemas.microsoft.com/sharepoint/v3" xmlns:ns2="2e62f9a1-6b4f-4142-a286-d5cd9a077995" xmlns:ns3="63ff88a5-1261-4e69-af65-167208e56433" targetNamespace="http://schemas.microsoft.com/office/2006/metadata/properties" ma:root="true" ma:fieldsID="78b3222690626eac82b10c7144d385b2" ns1:_="" ns2:_="" ns3:_="">
    <xsd:import namespace="http://schemas.microsoft.com/sharepoint/v3"/>
    <xsd:import namespace="2e62f9a1-6b4f-4142-a286-d5cd9a077995"/>
    <xsd:import namespace="63ff88a5-1261-4e69-af65-167208e56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2f9a1-6b4f-4142-a286-d5cd9a077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790f828-4d96-4d10-bc53-6c3febba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f88a5-1261-4e69-af65-167208e5643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6b6dbd-2851-4f6f-aa81-2e158a887d45}" ma:internalName="TaxCatchAll" ma:showField="CatchAllData" ma:web="63ff88a5-1261-4e69-af65-167208e56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71A76-8898-4370-8729-660BD4BFA3D1}"/>
</file>

<file path=customXml/itemProps2.xml><?xml version="1.0" encoding="utf-8"?>
<ds:datastoreItem xmlns:ds="http://schemas.openxmlformats.org/officeDocument/2006/customXml" ds:itemID="{76FCFB37-E06D-4306-AC9B-B44F6F835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Year 1</vt:lpstr>
      <vt:lpstr>Year 2</vt:lpstr>
      <vt:lpstr>Inputs</vt:lpstr>
      <vt:lpstr>Working Tabs Council---&gt;</vt:lpstr>
      <vt:lpstr>Rollforward</vt:lpstr>
      <vt:lpstr>Internal Working Tabs----&gt;</vt:lpstr>
      <vt:lpstr>NewBusiness</vt:lpstr>
      <vt:lpstr>Inforce</vt:lpstr>
      <vt:lpstr>Inforce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Harshal B Bhuravne</dc:creator>
  <cp:lastModifiedBy>Harshal Bhuravne (IN)</cp:lastModifiedBy>
  <dcterms:created xsi:type="dcterms:W3CDTF">2015-06-05T18:17:20Z</dcterms:created>
  <dcterms:modified xsi:type="dcterms:W3CDTF">2023-10-27T08:36:08Z</dcterms:modified>
</cp:coreProperties>
</file>