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hart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wtwonlinein-my.sharepoint.com/personal/abhishek_chadha_towerswatson_com/Documents/Documents/Client/IFRS 17/Academic/IAI October 2023 training/"/>
    </mc:Choice>
  </mc:AlternateContent>
  <xr:revisionPtr revIDLastSave="3871" documentId="11_F25DC773A252ABDACC1048D1415B6FA05BDE590B" xr6:coauthVersionLast="47" xr6:coauthVersionMax="47" xr10:uidLastSave="{91D06152-FC06-40E0-BE7D-A3FFAB888B7A}"/>
  <bookViews>
    <workbookView xWindow="-110" yWindow="-110" windowWidth="19420" windowHeight="10420" xr2:uid="{00000000-000D-0000-FFFF-FFFF00000000}"/>
  </bookViews>
  <sheets>
    <sheet name="Disclaimer" sheetId="17" r:id="rId1"/>
    <sheet name="Glossary" sheetId="16" r:id="rId2"/>
    <sheet name="Illustration for training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3" i="15" l="1"/>
  <c r="G173" i="15" s="1"/>
  <c r="F174" i="15"/>
  <c r="G174" i="15" s="1"/>
  <c r="F175" i="15"/>
  <c r="M145" i="15"/>
  <c r="M234" i="15" s="1"/>
  <c r="G201" i="15"/>
  <c r="D4" i="15"/>
  <c r="J148" i="15" s="1"/>
  <c r="J237" i="15" s="1"/>
  <c r="D16" i="15"/>
  <c r="C230" i="15" l="1"/>
  <c r="K139" i="15"/>
  <c r="J139" i="15"/>
  <c r="L228" i="15"/>
  <c r="K228" i="15"/>
  <c r="J228" i="15"/>
  <c r="M42" i="15"/>
  <c r="M141" i="15" s="1"/>
  <c r="J40" i="15"/>
  <c r="F224" i="15"/>
  <c r="M227" i="15"/>
  <c r="K227" i="15"/>
  <c r="J227" i="15"/>
  <c r="E135" i="15"/>
  <c r="M138" i="15"/>
  <c r="J138" i="15"/>
  <c r="L145" i="15"/>
  <c r="L146" i="15"/>
  <c r="M146" i="15"/>
  <c r="M235" i="15" s="1"/>
  <c r="M39" i="15"/>
  <c r="K37" i="15"/>
  <c r="J67" i="15"/>
  <c r="M68" i="15" s="1"/>
  <c r="D37" i="15" l="1"/>
  <c r="G243" i="15"/>
  <c r="G242" i="15"/>
  <c r="M230" i="15"/>
  <c r="G246" i="15" s="1"/>
  <c r="G155" i="15"/>
  <c r="G154" i="15"/>
  <c r="G158" i="15"/>
  <c r="C42" i="15"/>
  <c r="D141" i="15" s="1"/>
  <c r="C27" i="15"/>
  <c r="D12" i="15"/>
  <c r="J27" i="15"/>
  <c r="K28" i="15" s="1"/>
  <c r="K29" i="15" s="1"/>
  <c r="D29" i="15" s="1"/>
  <c r="D164" i="15"/>
  <c r="D252" i="15" s="1"/>
  <c r="D162" i="15"/>
  <c r="D250" i="15" s="1"/>
  <c r="E12" i="15" l="1"/>
  <c r="C13" i="15" s="1"/>
  <c r="E16" i="15"/>
  <c r="K27" i="15"/>
  <c r="K30" i="15" s="1"/>
  <c r="K34" i="15"/>
  <c r="G156" i="15"/>
  <c r="G164" i="15" s="1"/>
  <c r="D28" i="15"/>
  <c r="D32" i="15" s="1"/>
  <c r="J30" i="15"/>
  <c r="F17" i="15" l="1"/>
  <c r="J39" i="15"/>
  <c r="D34" i="15"/>
  <c r="D126" i="15"/>
  <c r="L28" i="15"/>
  <c r="L37" i="15"/>
  <c r="K39" i="15"/>
  <c r="L57" i="15"/>
  <c r="L36" i="15"/>
  <c r="K57" i="15"/>
  <c r="K36" i="15"/>
  <c r="C30" i="15"/>
  <c r="C91" i="15" s="1"/>
  <c r="C93" i="15" s="1"/>
  <c r="C115" i="15" s="1"/>
  <c r="C353" i="15"/>
  <c r="D353" i="15"/>
  <c r="F262" i="15"/>
  <c r="K31" i="15"/>
  <c r="G160" i="15"/>
  <c r="K126" i="15" l="1"/>
  <c r="K129" i="15" s="1"/>
  <c r="D129" i="15"/>
  <c r="L29" i="15"/>
  <c r="L27" i="15" s="1"/>
  <c r="E127" i="15"/>
  <c r="K58" i="15"/>
  <c r="K40" i="15"/>
  <c r="K138" i="15"/>
  <c r="L136" i="15"/>
  <c r="L59" i="15"/>
  <c r="D36" i="15"/>
  <c r="K59" i="15"/>
  <c r="D31" i="15"/>
  <c r="L31" i="15"/>
  <c r="C181" i="15" l="1"/>
  <c r="E130" i="15"/>
  <c r="G127" i="15"/>
  <c r="L127" i="15"/>
  <c r="L130" i="15" s="1"/>
  <c r="C193" i="15"/>
  <c r="G193" i="15" s="1"/>
  <c r="L34" i="15"/>
  <c r="L58" i="15" s="1"/>
  <c r="E128" i="15"/>
  <c r="E131" i="15"/>
  <c r="E136" i="15"/>
  <c r="L30" i="15"/>
  <c r="M28" i="15"/>
  <c r="C92" i="15"/>
  <c r="C94" i="15" s="1"/>
  <c r="K60" i="15"/>
  <c r="K61" i="15" s="1"/>
  <c r="C199" i="15" l="1"/>
  <c r="G199" i="15" s="1"/>
  <c r="L131" i="15"/>
  <c r="L128" i="15"/>
  <c r="L133" i="15" s="1"/>
  <c r="G128" i="15"/>
  <c r="E133" i="15"/>
  <c r="L40" i="15"/>
  <c r="L39" i="15"/>
  <c r="M57" i="15"/>
  <c r="M37" i="15"/>
  <c r="M36" i="15"/>
  <c r="E353" i="15"/>
  <c r="M31" i="15"/>
  <c r="M35" i="15"/>
  <c r="L139" i="15"/>
  <c r="M29" i="15"/>
  <c r="M34" i="15" s="1"/>
  <c r="C316" i="15"/>
  <c r="L126" i="15" l="1"/>
  <c r="L129" i="15" s="1"/>
  <c r="C182" i="15"/>
  <c r="F192" i="15"/>
  <c r="C348" i="15"/>
  <c r="D154" i="15"/>
  <c r="D242" i="15" s="1"/>
  <c r="E154" i="15"/>
  <c r="E242" i="15" s="1"/>
  <c r="C154" i="15"/>
  <c r="C242" i="15" s="1"/>
  <c r="M59" i="15"/>
  <c r="M58" i="15"/>
  <c r="M40" i="15"/>
  <c r="M127" i="15"/>
  <c r="E215" i="15" l="1"/>
  <c r="L215" i="15" s="1"/>
  <c r="L218" i="15" s="1"/>
  <c r="M225" i="15" s="1"/>
  <c r="F225" i="15" s="1"/>
  <c r="M131" i="15"/>
  <c r="F216" i="15"/>
  <c r="C108" i="15"/>
  <c r="F193" i="15"/>
  <c r="F261" i="15"/>
  <c r="G261" i="15" s="1"/>
  <c r="L68" i="15"/>
  <c r="M63" i="15" s="1"/>
  <c r="K68" i="15"/>
  <c r="K63" i="15" s="1"/>
  <c r="K65" i="15" s="1"/>
  <c r="M134" i="15"/>
  <c r="L42" i="15"/>
  <c r="K42" i="15"/>
  <c r="E158" i="15" s="1"/>
  <c r="E246" i="15" s="1"/>
  <c r="J42" i="15"/>
  <c r="C155" i="15"/>
  <c r="C243" i="15" s="1"/>
  <c r="F177" i="15"/>
  <c r="L227" i="15"/>
  <c r="E218" i="15"/>
  <c r="C269" i="15" s="1"/>
  <c r="L138" i="15"/>
  <c r="M136" i="15"/>
  <c r="M130" i="15"/>
  <c r="M128" i="15"/>
  <c r="F217" i="15" s="1"/>
  <c r="L141" i="15" l="1"/>
  <c r="F220" i="15"/>
  <c r="F219" i="15"/>
  <c r="F223" i="15"/>
  <c r="F194" i="15"/>
  <c r="C196" i="15" s="1"/>
  <c r="G196" i="15" s="1"/>
  <c r="M60" i="15"/>
  <c r="M61" i="15" s="1"/>
  <c r="M65" i="15" s="1"/>
  <c r="L63" i="15"/>
  <c r="L60" i="15"/>
  <c r="L61" i="15" s="1"/>
  <c r="F154" i="15"/>
  <c r="F242" i="15" s="1"/>
  <c r="D155" i="15"/>
  <c r="D243" i="15" s="1"/>
  <c r="C74" i="15"/>
  <c r="E155" i="15"/>
  <c r="E243" i="15" s="1"/>
  <c r="M133" i="15"/>
  <c r="M139" i="15" s="1"/>
  <c r="F158" i="15" l="1"/>
  <c r="F246" i="15" s="1"/>
  <c r="F195" i="15"/>
  <c r="F280" i="15" s="1"/>
  <c r="F281" i="15" s="1"/>
  <c r="F282" i="15" s="1"/>
  <c r="C284" i="15" s="1"/>
  <c r="C200" i="15"/>
  <c r="L65" i="15"/>
  <c r="J69" i="15" s="1"/>
  <c r="C346" i="15" s="1"/>
  <c r="D346" i="15" s="1"/>
  <c r="C156" i="15"/>
  <c r="C244" i="15" s="1"/>
  <c r="D156" i="15"/>
  <c r="D244" i="15" s="1"/>
  <c r="F155" i="15"/>
  <c r="F243" i="15" s="1"/>
  <c r="C162" i="15"/>
  <c r="C250" i="15" s="1"/>
  <c r="C69" i="15"/>
  <c r="E156" i="15"/>
  <c r="E244" i="15" s="1"/>
  <c r="E160" i="15"/>
  <c r="E248" i="15" s="1"/>
  <c r="C75" i="15"/>
  <c r="C76" i="15" s="1"/>
  <c r="C158" i="15"/>
  <c r="C246" i="15" s="1"/>
  <c r="C198" i="15" l="1"/>
  <c r="G200" i="15"/>
  <c r="C288" i="15"/>
  <c r="F283" i="15"/>
  <c r="C254" i="15"/>
  <c r="C332" i="15"/>
  <c r="F156" i="15"/>
  <c r="F160" i="15" s="1"/>
  <c r="C117" i="15"/>
  <c r="C164" i="15"/>
  <c r="C252" i="15" s="1"/>
  <c r="C160" i="15"/>
  <c r="C248" i="15" s="1"/>
  <c r="D158" i="15"/>
  <c r="D246" i="15" s="1"/>
  <c r="D160" i="15"/>
  <c r="D248" i="15" s="1"/>
  <c r="C77" i="15"/>
  <c r="D74" i="15" s="1"/>
  <c r="C166" i="15"/>
  <c r="C174" i="15" l="1"/>
  <c r="G198" i="15"/>
  <c r="F248" i="15"/>
  <c r="F244" i="15"/>
  <c r="D75" i="15"/>
  <c r="D76" i="15" s="1"/>
  <c r="C194" i="15" s="1"/>
  <c r="G194" i="15" s="1"/>
  <c r="C85" i="15"/>
  <c r="C96" i="15" s="1"/>
  <c r="C102" i="15" l="1"/>
  <c r="D77" i="15"/>
  <c r="E74" i="15" s="1"/>
  <c r="M216" i="15"/>
  <c r="E162" i="15"/>
  <c r="E164" i="15"/>
  <c r="E252" i="15" s="1"/>
  <c r="M220" i="15" l="1"/>
  <c r="C287" i="15"/>
  <c r="C286" i="15" s="1"/>
  <c r="C113" i="15"/>
  <c r="C119" i="15" s="1"/>
  <c r="C180" i="15" s="1"/>
  <c r="M219" i="15"/>
  <c r="M223" i="15"/>
  <c r="E75" i="15"/>
  <c r="E250" i="15"/>
  <c r="G244" i="15"/>
  <c r="M217" i="15"/>
  <c r="C98" i="15"/>
  <c r="C317" i="15"/>
  <c r="C318" i="15" s="1"/>
  <c r="G206" i="15" l="1"/>
  <c r="C195" i="15"/>
  <c r="G195" i="15" s="1"/>
  <c r="C281" i="15"/>
  <c r="M222" i="15"/>
  <c r="M228" i="15" s="1"/>
  <c r="C183" i="15"/>
  <c r="C205" i="15" s="1"/>
  <c r="D119" i="15"/>
  <c r="C319" i="15"/>
  <c r="C352" i="15"/>
  <c r="E76" i="15"/>
  <c r="C282" i="15" s="1"/>
  <c r="C320" i="15"/>
  <c r="G252" i="15"/>
  <c r="C274" i="15" s="1"/>
  <c r="E317" i="15" s="1"/>
  <c r="G248" i="15"/>
  <c r="C262" i="15" s="1"/>
  <c r="G205" i="15" l="1"/>
  <c r="F222" i="15"/>
  <c r="C270" i="15" s="1"/>
  <c r="C192" i="15"/>
  <c r="C207" i="15"/>
  <c r="G207" i="15" s="1"/>
  <c r="C184" i="15"/>
  <c r="D316" i="15" s="1"/>
  <c r="E77" i="15"/>
  <c r="C176" i="15"/>
  <c r="G192" i="15" l="1"/>
  <c r="F162" i="15"/>
  <c r="C203" i="15"/>
  <c r="G203" i="15" s="1"/>
  <c r="D352" i="15" l="1"/>
  <c r="F164" i="15"/>
  <c r="F250" i="15"/>
  <c r="C259" i="15" s="1"/>
  <c r="C209" i="15"/>
  <c r="C268" i="15" l="1"/>
  <c r="C271" i="15" s="1"/>
  <c r="C293" i="15" s="1"/>
  <c r="G209" i="15"/>
  <c r="C261" i="15"/>
  <c r="C294" i="15" s="1"/>
  <c r="C186" i="15"/>
  <c r="D317" i="15" s="1"/>
  <c r="D318" i="15" s="1"/>
  <c r="F252" i="15"/>
  <c r="D320" i="15" l="1"/>
  <c r="D319" i="15"/>
  <c r="C188" i="15"/>
  <c r="C263" i="15"/>
  <c r="C283" i="15" s="1"/>
  <c r="C264" i="15" l="1"/>
  <c r="C280" i="15"/>
  <c r="C295" i="15"/>
  <c r="C272" i="15"/>
  <c r="C291" i="15" l="1"/>
  <c r="C297" i="15" s="1"/>
  <c r="C337" i="15"/>
  <c r="C276" i="15"/>
  <c r="E316" i="15"/>
  <c r="E318" i="15" s="1"/>
  <c r="E320" i="15" s="1"/>
  <c r="E352" i="15" l="1"/>
  <c r="E319" i="15" l="1"/>
  <c r="D332" i="15"/>
</calcChain>
</file>

<file path=xl/sharedStrings.xml><?xml version="1.0" encoding="utf-8"?>
<sst xmlns="http://schemas.openxmlformats.org/spreadsheetml/2006/main" count="388" uniqueCount="206">
  <si>
    <t>Risk adjustment</t>
  </si>
  <si>
    <t>PV of income</t>
  </si>
  <si>
    <t>PV of outgo</t>
  </si>
  <si>
    <t>Time period</t>
  </si>
  <si>
    <t>PV of Future Cash flows</t>
  </si>
  <si>
    <t>CSM</t>
  </si>
  <si>
    <t>Insurance Contract Liability</t>
  </si>
  <si>
    <t>Loss recognised in the year</t>
  </si>
  <si>
    <t>Initial recognition</t>
  </si>
  <si>
    <t>Immediately after initial recognition</t>
  </si>
  <si>
    <t>Year 1</t>
  </si>
  <si>
    <t>Year 2</t>
  </si>
  <si>
    <t>Year 3</t>
  </si>
  <si>
    <t>Fulfilment cash flows</t>
  </si>
  <si>
    <t>Insurance contract liability</t>
  </si>
  <si>
    <t>Change related to future service</t>
  </si>
  <si>
    <t>Insurance finance expense</t>
  </si>
  <si>
    <t>Check</t>
  </si>
  <si>
    <t>Opening CSM</t>
  </si>
  <si>
    <t>Interest acreted to CSM</t>
  </si>
  <si>
    <t>New contracts</t>
  </si>
  <si>
    <t>Amortisation of CSM</t>
  </si>
  <si>
    <t>Closing CSM</t>
  </si>
  <si>
    <t>Initial recognition
(same as above)</t>
  </si>
  <si>
    <t>Year 1
(same as above)</t>
  </si>
  <si>
    <t>End of year 1: Subsequent measurement of CSM</t>
  </si>
  <si>
    <t>End of year 2: insurance contract liability</t>
  </si>
  <si>
    <t>End of year 2: Subsequent measurement of CSM</t>
  </si>
  <si>
    <t>End of year 2: P&amp;L</t>
  </si>
  <si>
    <t>Insurance service revenue</t>
  </si>
  <si>
    <t>Insurance service expense</t>
  </si>
  <si>
    <t>Investment component</t>
  </si>
  <si>
    <t>Insurance finance expenses</t>
  </si>
  <si>
    <t>…. Of which investment component</t>
  </si>
  <si>
    <t>End of year 1: P&amp;L</t>
  </si>
  <si>
    <t>Statement of profit and loss</t>
  </si>
  <si>
    <t>Insurance revenue</t>
  </si>
  <si>
    <t>Insurance service result</t>
  </si>
  <si>
    <t>Investment income</t>
  </si>
  <si>
    <t>Finance result</t>
  </si>
  <si>
    <t>Profit</t>
  </si>
  <si>
    <t>Statement of financial position</t>
  </si>
  <si>
    <t>Equity</t>
  </si>
  <si>
    <t>End of year 3: Subsequent measurement of CSM</t>
  </si>
  <si>
    <t>End of year 3: P&amp;L</t>
  </si>
  <si>
    <t>Insurance finance income</t>
  </si>
  <si>
    <t>Opening assets</t>
  </si>
  <si>
    <t>Cash flows at BoP</t>
  </si>
  <si>
    <t>Cash flows at EoP</t>
  </si>
  <si>
    <t>Closing assets</t>
  </si>
  <si>
    <t>Closing liabilities</t>
  </si>
  <si>
    <t>Insurance finance result</t>
  </si>
  <si>
    <t>Profit / (loss)</t>
  </si>
  <si>
    <t>IFRS 17 equity</t>
  </si>
  <si>
    <t>Beginning of year 1: Initial measurement and end of year 1 liabilities</t>
  </si>
  <si>
    <t>Asset</t>
  </si>
  <si>
    <t>Tracking the risk adjustment</t>
  </si>
  <si>
    <t>Opening</t>
  </si>
  <si>
    <t>Unwind (insurance finance expense)</t>
  </si>
  <si>
    <t>Release due to current service / run -off</t>
  </si>
  <si>
    <t xml:space="preserve">Closing </t>
  </si>
  <si>
    <t xml:space="preserve">NPV of insurance service results </t>
  </si>
  <si>
    <t>Check on reconciliation</t>
  </si>
  <si>
    <t>Coverage unit</t>
  </si>
  <si>
    <t>Death benefit in-force</t>
  </si>
  <si>
    <t>Number of policies</t>
  </si>
  <si>
    <t>Premium per policy</t>
  </si>
  <si>
    <t>Mortality rate</t>
  </si>
  <si>
    <t>Number of deaths</t>
  </si>
  <si>
    <t>Surrender rate</t>
  </si>
  <si>
    <t>Data and assumptions</t>
  </si>
  <si>
    <t>Number of surrenders</t>
  </si>
  <si>
    <t>Discount rate at initial recognition</t>
  </si>
  <si>
    <t>Year 4</t>
  </si>
  <si>
    <t>Proportion of service provided</t>
  </si>
  <si>
    <t>Once determined, can you now work out the CSM release for each year, assuming actual = expected?</t>
  </si>
  <si>
    <t>for simplicity, this model assumes profit emerging is distributed as dividends</t>
  </si>
  <si>
    <t>Premium received</t>
  </si>
  <si>
    <t>Claims paid</t>
  </si>
  <si>
    <t>Actuals data:</t>
  </si>
  <si>
    <t>Expectation of future cash flows:</t>
  </si>
  <si>
    <t>Expected # polices in-force</t>
  </si>
  <si>
    <t>Expected # deaths</t>
  </si>
  <si>
    <t>Expected # surrenders</t>
  </si>
  <si>
    <t>Expected premium income</t>
  </si>
  <si>
    <t>Expected claim payments</t>
  </si>
  <si>
    <t>Discount rate</t>
  </si>
  <si>
    <t>Description of product</t>
  </si>
  <si>
    <t>Year 1 : actual transactions and expectations at point of sale</t>
  </si>
  <si>
    <t>…. Assumptions underlying the expectated cash flows: -</t>
  </si>
  <si>
    <t>[this does not represent true calculation of risk adjustment, and is only provided for simplicity]</t>
  </si>
  <si>
    <t>Investment returns</t>
  </si>
  <si>
    <t>Year 1 - workings under IFRS 17</t>
  </si>
  <si>
    <t>CSM at initial recognition = - (PVCF + RA)</t>
  </si>
  <si>
    <t>CSM at subsequent measurement - shown below</t>
  </si>
  <si>
    <t>determined based on "coverage unit"</t>
  </si>
  <si>
    <t>Year 2 : actual transactions and expectations at point of sale</t>
  </si>
  <si>
    <t>Year 2 - workings under IFRS 17</t>
  </si>
  <si>
    <t>Year 3 : actual transactions and expectations at point of sale</t>
  </si>
  <si>
    <t>Year 3 - workings under IFRS 17</t>
  </si>
  <si>
    <t>End of year 3: insurance contract liability</t>
  </si>
  <si>
    <t>Dividend distribution</t>
  </si>
  <si>
    <t>Understanding these results</t>
  </si>
  <si>
    <t>if actual = expected,  IFRS 17 profits reflect CSM + RA</t>
  </si>
  <si>
    <t xml:space="preserve">NPV of insurance service revenue </t>
  </si>
  <si>
    <t>NPV of expected premium income</t>
  </si>
  <si>
    <t>Premium income</t>
  </si>
  <si>
    <t>in case of pure protection business, all of premium income gets recognised as revenue</t>
  </si>
  <si>
    <t>Year 1 -  VNB</t>
  </si>
  <si>
    <t>Claim outgo</t>
  </si>
  <si>
    <t>Interest income</t>
  </si>
  <si>
    <t>Reserves</t>
  </si>
  <si>
    <t>Increase in reserves</t>
  </si>
  <si>
    <t>Profit before tax</t>
  </si>
  <si>
    <t>VNB at point of sale</t>
  </si>
  <si>
    <t>Net cash flow</t>
  </si>
  <si>
    <t>VROI</t>
  </si>
  <si>
    <t>Acquisition expense as % of premium</t>
  </si>
  <si>
    <t>Maintenance expenses as % of premium</t>
  </si>
  <si>
    <t>Acquisition expense incurred</t>
  </si>
  <si>
    <t>Maintenance expense incurred</t>
  </si>
  <si>
    <t>Expected acquisition expenses</t>
  </si>
  <si>
    <t>Expected maintenance expenses</t>
  </si>
  <si>
    <t>Expense outgo</t>
  </si>
  <si>
    <t>Surrender value per policy</t>
  </si>
  <si>
    <t>Death claims paid</t>
  </si>
  <si>
    <t>Surrender claims paid</t>
  </si>
  <si>
    <t>Expected surrender payment</t>
  </si>
  <si>
    <t>Total income</t>
  </si>
  <si>
    <t>Total outgo</t>
  </si>
  <si>
    <t>Insurance component</t>
  </si>
  <si>
    <t>Maturity benefit</t>
  </si>
  <si>
    <t>Expected maturity payment</t>
  </si>
  <si>
    <t>Maturity benefit paid</t>
  </si>
  <si>
    <t>Sum assured per policy, payable on death</t>
  </si>
  <si>
    <t>Policy term (in years)</t>
  </si>
  <si>
    <t>Premium term (in years)</t>
  </si>
  <si>
    <t>Q) Can you identify which components of VNB have not been considered here?</t>
  </si>
  <si>
    <t>Maturity claims paid</t>
  </si>
  <si>
    <t>Expected incurred claims and expenses</t>
  </si>
  <si>
    <t>Change in risk adjustment for non-financial risks for the risk expired</t>
  </si>
  <si>
    <t>CSM recognised for services provided in the period</t>
  </si>
  <si>
    <t>Insurance acquisition cash flow recovery</t>
  </si>
  <si>
    <t>Incurred claims and expenses, excluding investment component</t>
  </si>
  <si>
    <t>Insurance acquisition cash flow amortisation</t>
  </si>
  <si>
    <t>Losses / reversals on groups of onerous contracts</t>
  </si>
  <si>
    <t>Not applicable for this example, not developed here</t>
  </si>
  <si>
    <t>Identify 1</t>
  </si>
  <si>
    <t>VNB at point of sale (before tax, CoC, CRNHR)</t>
  </si>
  <si>
    <t>Excericse 1:  Which existing KPI will reconcile with insurance service result?</t>
  </si>
  <si>
    <t>Excericse 2:  If experience aligns with expectations, what are the components of insurance service result?</t>
  </si>
  <si>
    <t>Excericse 4: How do we identify premium income no longer recognised as revenue?</t>
  </si>
  <si>
    <t>Excericse 3:  Is NPV insurance service revenue less than premium income?</t>
  </si>
  <si>
    <t>Loading for profits</t>
  </si>
  <si>
    <t>Loading for non-insurance events</t>
  </si>
  <si>
    <t>Sum of the above</t>
  </si>
  <si>
    <t>&lt;---- these cells need to completed during the training session</t>
  </si>
  <si>
    <t>Refer to definition provided in "Glossary" tab</t>
  </si>
  <si>
    <t>Refer to Glossary</t>
  </si>
  <si>
    <t>Refer to Glossary for coverage unit</t>
  </si>
  <si>
    <r>
      <t>Interest accretion on CSM - this shall always be on</t>
    </r>
    <r>
      <rPr>
        <b/>
        <i/>
        <sz val="11"/>
        <color theme="4"/>
        <rFont val="Arial"/>
        <family val="2"/>
        <scheme val="minor"/>
      </rPr>
      <t xml:space="preserve"> locked-in discount rate</t>
    </r>
  </si>
  <si>
    <r>
      <t xml:space="preserve">[This may also be referred to as </t>
    </r>
    <r>
      <rPr>
        <b/>
        <i/>
        <sz val="11"/>
        <color theme="1"/>
        <rFont val="Arial"/>
        <family val="2"/>
        <scheme val="minor"/>
      </rPr>
      <t>"locked-in" discount rate</t>
    </r>
    <r>
      <rPr>
        <i/>
        <sz val="11"/>
        <color theme="1"/>
        <rFont val="Arial"/>
        <family val="2"/>
        <scheme val="minor"/>
      </rPr>
      <t xml:space="preserve"> for this cohort.  Required to be stored by the system]</t>
    </r>
  </si>
  <si>
    <t>0, as actual = expected.  Reflects impact of change in non-eco assumptions and experience variance</t>
  </si>
  <si>
    <t>Summary of results:  Income statement and the balance sheet</t>
  </si>
  <si>
    <t>Based on IFRS 9 and not IFRS 17</t>
  </si>
  <si>
    <t>For this, let's first break the premium income into various components</t>
  </si>
  <si>
    <t>Loading for maintenance expenses</t>
  </si>
  <si>
    <t>Loading for acquisition expenses</t>
  </si>
  <si>
    <t>Loading for mortality risk</t>
  </si>
  <si>
    <t>Acquisition expense</t>
  </si>
  <si>
    <t>Interest</t>
  </si>
  <si>
    <t>Allocation for service</t>
  </si>
  <si>
    <t>Balance</t>
  </si>
  <si>
    <t>0 for year 1, as modelled as end of step</t>
  </si>
  <si>
    <t>Difference</t>
  </si>
  <si>
    <t>Based on the above, the component which is excluded from revenue is</t>
  </si>
  <si>
    <t>Identify 2</t>
  </si>
  <si>
    <t>Identify 3</t>
  </si>
  <si>
    <t>Scenario</t>
  </si>
  <si>
    <t>Base</t>
  </si>
  <si>
    <t>Higher Death</t>
  </si>
  <si>
    <t>Higher Surrender</t>
  </si>
  <si>
    <t>Non-Eco assumption</t>
  </si>
  <si>
    <t>Multiplicative</t>
  </si>
  <si>
    <t>Additive on surrender</t>
  </si>
  <si>
    <t>Additive on discount rate</t>
  </si>
  <si>
    <t>Stress</t>
  </si>
  <si>
    <t>[this does not represent true calculation of risk adjustment, and is only provided for simplicity. For simplicity, assumed to remain unchanged from expected]</t>
  </si>
  <si>
    <t>Check for BEL</t>
  </si>
  <si>
    <t>Variance from Expected</t>
  </si>
  <si>
    <t>Interest accreted to CSM</t>
  </si>
  <si>
    <t>Change related to future service - includes:</t>
  </si>
  <si>
    <t>Premium Variance</t>
  </si>
  <si>
    <t>Investment component variance</t>
  </si>
  <si>
    <t>Acquisition expense variance</t>
  </si>
  <si>
    <t>Change in PV cash flows</t>
  </si>
  <si>
    <t>Change from base</t>
  </si>
  <si>
    <t>This shall be estimated using the locked-in discount rate in the GMM approach</t>
  </si>
  <si>
    <t>Impact on FCF of change in discount rate</t>
  </si>
  <si>
    <t>Disclaimer</t>
  </si>
  <si>
    <t>This simple Excel model has been prepared for a training session to illustrate select aspects of a general measurement model approach under IFRS 17</t>
  </si>
  <si>
    <t>This model does not intended to replicate the workings of any particular CSM engine.  In some cases, this model adopts a simplified approach or approximate calculations</t>
  </si>
  <si>
    <t>This model does not intend to provide any guidance on observed best-practices or any guidance on accounting policy choices</t>
  </si>
  <si>
    <t>This model does not reflect the views of the firms to which the presenters belong</t>
  </si>
  <si>
    <t>Users are of this model are expected to review the model and fully understand the workings before adopting for any IFRS 17 exercise / implementation program</t>
  </si>
  <si>
    <t>Paste the base situation here (to be used for comparison):  copy and paste B152:G209 in cell I152 [copy values and formats!]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</si>
</sst>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i/>
      <sz val="11"/>
      <color theme="4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i/>
      <sz val="11"/>
      <color rgb="FFFF0000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i/>
      <sz val="11"/>
      <color theme="4"/>
      <name val="Arial"/>
      <family val="2"/>
      <scheme val="minor"/>
    </font>
    <font>
      <i/>
      <sz val="11"/>
      <color rgb="FFFF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0" xfId="0" applyFont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3" xfId="1" applyNumberFormat="1" applyFont="1" applyBorder="1"/>
    <xf numFmtId="164" fontId="0" fillId="2" borderId="4" xfId="1" applyNumberFormat="1" applyFont="1" applyFill="1" applyBorder="1"/>
    <xf numFmtId="164" fontId="0" fillId="3" borderId="0" xfId="1" applyNumberFormat="1" applyFont="1" applyFill="1"/>
    <xf numFmtId="164" fontId="0" fillId="3" borderId="4" xfId="1" applyNumberFormat="1" applyFont="1" applyFill="1" applyBorder="1"/>
    <xf numFmtId="164" fontId="0" fillId="3" borderId="3" xfId="1" applyNumberFormat="1" applyFont="1" applyFill="1" applyBorder="1"/>
    <xf numFmtId="0" fontId="3" fillId="0" borderId="0" xfId="0" applyFont="1" applyAlignment="1">
      <alignment horizontal="left" indent="2"/>
    </xf>
    <xf numFmtId="164" fontId="3" fillId="0" borderId="0" xfId="1" applyNumberFormat="1" applyFont="1"/>
    <xf numFmtId="164" fontId="2" fillId="0" borderId="3" xfId="1" applyNumberFormat="1" applyFont="1" applyBorder="1"/>
    <xf numFmtId="0" fontId="4" fillId="0" borderId="0" xfId="0" applyFont="1"/>
    <xf numFmtId="164" fontId="4" fillId="0" borderId="0" xfId="1" applyNumberFormat="1" applyFont="1"/>
    <xf numFmtId="0" fontId="0" fillId="0" borderId="0" xfId="0" applyAlignment="1">
      <alignment horizontal="center"/>
    </xf>
    <xf numFmtId="164" fontId="6" fillId="0" borderId="0" xfId="1" applyNumberFormat="1" applyFont="1"/>
    <xf numFmtId="0" fontId="0" fillId="0" borderId="4" xfId="0" applyBorder="1"/>
    <xf numFmtId="0" fontId="0" fillId="0" borderId="6" xfId="0" applyBorder="1"/>
    <xf numFmtId="164" fontId="0" fillId="0" borderId="6" xfId="0" applyNumberFormat="1" applyBorder="1"/>
    <xf numFmtId="0" fontId="0" fillId="0" borderId="7" xfId="0" applyBorder="1" applyAlignment="1">
      <alignment horizontal="center" vertical="center" wrapText="1"/>
    </xf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2" borderId="11" xfId="1" applyNumberFormat="1" applyFont="1" applyFill="1" applyBorder="1"/>
    <xf numFmtId="0" fontId="2" fillId="0" borderId="7" xfId="0" applyFont="1" applyBorder="1" applyAlignment="1">
      <alignment horizontal="center" vertical="center" wrapText="1"/>
    </xf>
    <xf numFmtId="0" fontId="3" fillId="0" borderId="0" xfId="0" applyFont="1"/>
    <xf numFmtId="165" fontId="0" fillId="0" borderId="0" xfId="2" applyNumberFormat="1" applyFont="1"/>
    <xf numFmtId="10" fontId="0" fillId="0" borderId="0" xfId="2" applyNumberFormat="1" applyFont="1"/>
    <xf numFmtId="166" fontId="0" fillId="0" borderId="0" xfId="2" applyNumberFormat="1" applyFont="1"/>
    <xf numFmtId="0" fontId="0" fillId="0" borderId="3" xfId="0" applyBorder="1"/>
    <xf numFmtId="0" fontId="7" fillId="5" borderId="0" xfId="0" applyFont="1" applyFill="1"/>
    <xf numFmtId="0" fontId="5" fillId="5" borderId="0" xfId="0" applyFont="1" applyFill="1"/>
    <xf numFmtId="164" fontId="0" fillId="6" borderId="8" xfId="1" applyNumberFormat="1" applyFont="1" applyFill="1" applyBorder="1"/>
    <xf numFmtId="164" fontId="0" fillId="6" borderId="0" xfId="1" applyNumberFormat="1" applyFont="1" applyFill="1"/>
    <xf numFmtId="164" fontId="0" fillId="6" borderId="9" xfId="1" applyNumberFormat="1" applyFont="1" applyFill="1" applyBorder="1"/>
    <xf numFmtId="164" fontId="0" fillId="6" borderId="4" xfId="1" applyNumberFormat="1" applyFont="1" applyFill="1" applyBorder="1"/>
    <xf numFmtId="164" fontId="0" fillId="6" borderId="10" xfId="1" applyNumberFormat="1" applyFont="1" applyFill="1" applyBorder="1"/>
    <xf numFmtId="164" fontId="0" fillId="6" borderId="3" xfId="1" applyNumberFormat="1" applyFont="1" applyFill="1" applyBorder="1"/>
    <xf numFmtId="164" fontId="0" fillId="6" borderId="0" xfId="0" applyNumberFormat="1" applyFill="1"/>
    <xf numFmtId="8" fontId="0" fillId="0" borderId="0" xfId="0" applyNumberFormat="1"/>
    <xf numFmtId="0" fontId="8" fillId="0" borderId="0" xfId="0" applyFont="1"/>
    <xf numFmtId="9" fontId="0" fillId="0" borderId="0" xfId="2" applyFont="1"/>
    <xf numFmtId="164" fontId="3" fillId="6" borderId="0" xfId="1" applyNumberFormat="1" applyFont="1" applyFill="1"/>
    <xf numFmtId="164" fontId="9" fillId="0" borderId="0" xfId="1" applyNumberFormat="1" applyFont="1"/>
    <xf numFmtId="0" fontId="7" fillId="4" borderId="0" xfId="0" applyFont="1" applyFill="1"/>
    <xf numFmtId="0" fontId="5" fillId="4" borderId="0" xfId="0" applyFont="1" applyFill="1"/>
    <xf numFmtId="0" fontId="0" fillId="7" borderId="0" xfId="0" applyFill="1"/>
    <xf numFmtId="0" fontId="5" fillId="7" borderId="0" xfId="0" applyFont="1" applyFill="1"/>
    <xf numFmtId="164" fontId="0" fillId="7" borderId="0" xfId="1" applyNumberFormat="1" applyFont="1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 wrapText="1"/>
    </xf>
    <xf numFmtId="164" fontId="0" fillId="7" borderId="0" xfId="0" applyNumberFormat="1" applyFill="1"/>
    <xf numFmtId="164" fontId="6" fillId="7" borderId="0" xfId="1" applyNumberFormat="1" applyFont="1" applyFill="1"/>
    <xf numFmtId="0" fontId="2" fillId="0" borderId="12" xfId="0" applyFont="1" applyBorder="1"/>
    <xf numFmtId="0" fontId="2" fillId="0" borderId="13" xfId="0" applyFont="1" applyBorder="1"/>
    <xf numFmtId="0" fontId="0" fillId="0" borderId="14" xfId="0" applyBorder="1"/>
    <xf numFmtId="0" fontId="0" fillId="0" borderId="15" xfId="0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5" xfId="0" applyNumberFormat="1" applyBorder="1"/>
    <xf numFmtId="9" fontId="0" fillId="0" borderId="16" xfId="2" applyFont="1" applyBorder="1"/>
    <xf numFmtId="164" fontId="0" fillId="0" borderId="17" xfId="1" applyNumberFormat="1" applyFont="1" applyBorder="1"/>
    <xf numFmtId="164" fontId="0" fillId="0" borderId="14" xfId="0" applyNumberFormat="1" applyBorder="1"/>
    <xf numFmtId="0" fontId="0" fillId="0" borderId="17" xfId="0" applyBorder="1"/>
    <xf numFmtId="164" fontId="0" fillId="0" borderId="18" xfId="1" applyNumberFormat="1" applyFont="1" applyBorder="1"/>
    <xf numFmtId="10" fontId="0" fillId="0" borderId="0" xfId="0" applyNumberFormat="1"/>
    <xf numFmtId="164" fontId="0" fillId="0" borderId="1" xfId="1" applyNumberFormat="1" applyFont="1" applyBorder="1"/>
    <xf numFmtId="164" fontId="0" fillId="0" borderId="2" xfId="1" applyNumberFormat="1" applyFont="1" applyBorder="1"/>
    <xf numFmtId="0" fontId="10" fillId="0" borderId="0" xfId="0" applyFont="1"/>
    <xf numFmtId="0" fontId="0" fillId="6" borderId="0" xfId="0" applyFill="1"/>
    <xf numFmtId="9" fontId="0" fillId="6" borderId="0" xfId="2" applyFont="1" applyFill="1"/>
    <xf numFmtId="164" fontId="11" fillId="0" borderId="0" xfId="1" applyNumberFormat="1" applyFont="1" applyFill="1" applyBorder="1"/>
    <xf numFmtId="164" fontId="2" fillId="0" borderId="0" xfId="0" applyNumberFormat="1" applyFont="1"/>
    <xf numFmtId="0" fontId="3" fillId="0" borderId="0" xfId="0" applyFont="1" applyAlignment="1">
      <alignment horizontal="left" wrapText="1" indent="2"/>
    </xf>
    <xf numFmtId="0" fontId="0" fillId="6" borderId="18" xfId="0" applyFill="1" applyBorder="1"/>
    <xf numFmtId="0" fontId="0" fillId="8" borderId="0" xfId="0" applyFill="1"/>
    <xf numFmtId="164" fontId="0" fillId="8" borderId="0" xfId="1" applyNumberFormat="1" applyFont="1" applyFill="1"/>
    <xf numFmtId="0" fontId="0" fillId="8" borderId="6" xfId="0" applyFill="1" applyBorder="1"/>
    <xf numFmtId="164" fontId="0" fillId="8" borderId="6" xfId="1" applyNumberFormat="1" applyFont="1" applyFill="1" applyBorder="1"/>
    <xf numFmtId="0" fontId="2" fillId="8" borderId="6" xfId="0" applyFont="1" applyFill="1" applyBorder="1"/>
    <xf numFmtId="164" fontId="2" fillId="8" borderId="6" xfId="1" applyNumberFormat="1" applyFont="1" applyFill="1" applyBorder="1"/>
    <xf numFmtId="164" fontId="0" fillId="0" borderId="0" xfId="1" applyNumberFormat="1" applyFont="1" applyFill="1"/>
    <xf numFmtId="10" fontId="0" fillId="0" borderId="0" xfId="2" applyNumberFormat="1" applyFont="1" applyFill="1"/>
    <xf numFmtId="164" fontId="0" fillId="0" borderId="3" xfId="1" applyNumberFormat="1" applyFont="1" applyFill="1" applyBorder="1"/>
    <xf numFmtId="164" fontId="2" fillId="6" borderId="5" xfId="1" applyNumberFormat="1" applyFont="1" applyFill="1" applyBorder="1"/>
    <xf numFmtId="164" fontId="2" fillId="6" borderId="3" xfId="1" applyNumberFormat="1" applyFont="1" applyFill="1" applyBorder="1"/>
    <xf numFmtId="0" fontId="2" fillId="0" borderId="19" xfId="0" applyFont="1" applyBorder="1"/>
    <xf numFmtId="0" fontId="2" fillId="0" borderId="20" xfId="0" applyFont="1" applyBorder="1"/>
    <xf numFmtId="0" fontId="0" fillId="7" borderId="21" xfId="0" applyFill="1" applyBorder="1"/>
    <xf numFmtId="165" fontId="1" fillId="0" borderId="22" xfId="2" applyNumberFormat="1" applyFont="1" applyBorder="1"/>
    <xf numFmtId="0" fontId="0" fillId="0" borderId="19" xfId="0" applyBorder="1"/>
    <xf numFmtId="9" fontId="0" fillId="0" borderId="23" xfId="0" applyNumberFormat="1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9" fontId="0" fillId="0" borderId="26" xfId="0" applyNumberFormat="1" applyBorder="1"/>
    <xf numFmtId="0" fontId="0" fillId="0" borderId="22" xfId="0" applyBorder="1"/>
    <xf numFmtId="164" fontId="0" fillId="9" borderId="15" xfId="0" applyNumberFormat="1" applyFill="1" applyBorder="1"/>
    <xf numFmtId="165" fontId="0" fillId="9" borderId="15" xfId="2" applyNumberFormat="1" applyFont="1" applyFill="1" applyBorder="1"/>
    <xf numFmtId="43" fontId="0" fillId="0" borderId="0" xfId="0" applyNumberFormat="1"/>
    <xf numFmtId="0" fontId="0" fillId="7" borderId="0" xfId="0" applyFill="1" applyAlignment="1">
      <alignment horizontal="right"/>
    </xf>
    <xf numFmtId="0" fontId="13" fillId="0" borderId="0" xfId="0" applyFont="1"/>
    <xf numFmtId="164" fontId="13" fillId="0" borderId="0" xfId="1" applyNumberFormat="1" applyFont="1"/>
    <xf numFmtId="164" fontId="13" fillId="0" borderId="0" xfId="0" applyNumberFormat="1" applyFont="1"/>
    <xf numFmtId="43" fontId="4" fillId="0" borderId="0" xfId="0" applyNumberFormat="1" applyFont="1"/>
    <xf numFmtId="164" fontId="0" fillId="8" borderId="8" xfId="1" applyNumberFormat="1" applyFont="1" applyFill="1" applyBorder="1"/>
    <xf numFmtId="164" fontId="3" fillId="0" borderId="8" xfId="1" applyNumberFormat="1" applyFont="1" applyBorder="1"/>
    <xf numFmtId="164" fontId="0" fillId="8" borderId="11" xfId="1" applyNumberFormat="1" applyFont="1" applyFill="1" applyBorder="1"/>
    <xf numFmtId="164" fontId="2" fillId="8" borderId="11" xfId="1" applyNumberFormat="1" applyFont="1" applyFill="1" applyBorder="1"/>
    <xf numFmtId="0" fontId="7" fillId="10" borderId="7" xfId="0" applyFont="1" applyFill="1" applyBorder="1"/>
    <xf numFmtId="164" fontId="6" fillId="7" borderId="0" xfId="1" applyNumberFormat="1" applyFont="1" applyFill="1" applyAlignment="1">
      <alignment wrapText="1"/>
    </xf>
    <xf numFmtId="0" fontId="0" fillId="0" borderId="20" xfId="0" applyBorder="1" applyAlignment="1">
      <alignment wrapText="1"/>
    </xf>
    <xf numFmtId="164" fontId="3" fillId="0" borderId="25" xfId="1" applyNumberFormat="1" applyFont="1" applyBorder="1"/>
    <xf numFmtId="164" fontId="3" fillId="0" borderId="22" xfId="1" applyNumberFormat="1" applyFont="1" applyBorder="1"/>
    <xf numFmtId="0" fontId="0" fillId="0" borderId="23" xfId="0" applyBorder="1"/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10" fontId="0" fillId="0" borderId="25" xfId="2" applyNumberFormat="1" applyFont="1" applyFill="1" applyBorder="1"/>
    <xf numFmtId="164" fontId="0" fillId="0" borderId="26" xfId="0" applyNumberFormat="1" applyBorder="1"/>
    <xf numFmtId="10" fontId="0" fillId="0" borderId="22" xfId="2" applyNumberFormat="1" applyFont="1" applyFill="1" applyBorder="1"/>
    <xf numFmtId="164" fontId="0" fillId="0" borderId="25" xfId="0" applyNumberFormat="1" applyBorder="1"/>
    <xf numFmtId="164" fontId="0" fillId="0" borderId="22" xfId="0" applyNumberFormat="1" applyBorder="1"/>
    <xf numFmtId="164" fontId="0" fillId="0" borderId="0" xfId="0" applyNumberFormat="1" applyFill="1"/>
    <xf numFmtId="164" fontId="0" fillId="0" borderId="26" xfId="0" applyNumberFormat="1" applyFill="1" applyBorder="1"/>
    <xf numFmtId="10" fontId="0" fillId="6" borderId="25" xfId="2" applyNumberFormat="1" applyFont="1" applyFill="1" applyBorder="1"/>
    <xf numFmtId="164" fontId="0" fillId="6" borderId="26" xfId="0" applyNumberFormat="1" applyFill="1" applyBorder="1"/>
    <xf numFmtId="10" fontId="0" fillId="6" borderId="22" xfId="2" applyNumberFormat="1" applyFont="1" applyFill="1" applyBorder="1"/>
    <xf numFmtId="164" fontId="0" fillId="6" borderId="25" xfId="0" applyNumberFormat="1" applyFill="1" applyBorder="1"/>
    <xf numFmtId="164" fontId="0" fillId="6" borderId="22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rgb="FFE6E6E6"/>
        </patternFill>
      </fill>
    </dxf>
    <dxf>
      <fill>
        <patternFill>
          <bgColor rgb="FFBFBFBF"/>
        </patternFill>
      </fill>
    </dxf>
    <dxf>
      <border>
        <bottom style="thick">
          <color auto="1"/>
        </bottom>
      </border>
    </dxf>
    <dxf>
      <font>
        <b/>
        <i val="0"/>
        <color rgb="FFFFFFFF"/>
      </font>
      <fill>
        <patternFill patternType="solid">
          <fgColor auto="1"/>
          <bgColor rgb="FF48086F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>
        <top style="medium">
          <color auto="1"/>
        </top>
        <bottom style="medium">
          <color auto="1"/>
        </bottom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WTW Table Style" pivot="0" count="5" xr9:uid="{65FE1F05-AE22-47A0-A44C-76F5B5F343C9}">
      <tableStyleElement type="wholeTable" dxfId="4"/>
      <tableStyleElement type="headerRow" dxfId="3"/>
      <tableStyleElement type="firstColumn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Insurance</a:t>
            </a:r>
            <a:r>
              <a:rPr lang="en-US" baseline="0"/>
              <a:t> Service Revenue</a:t>
            </a:r>
            <a:r>
              <a:rPr lang="en-US"/>
              <a:t> vs Premium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'Illustration for training'!$B$352</c:f>
              <c:strCache>
                <c:ptCount val="1"/>
                <c:pt idx="0">
                  <c:v>Insurance revenue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  <a:effectLst/>
          </c:spPr>
          <c:invertIfNegative val="0"/>
          <c:cat>
            <c:numRef>
              <c:f>'Illustration for training'!$C$351:$E$351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'Illustration for training'!$C$352:$E$352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C-4DC3-830C-DB0212ADC32B}"/>
            </c:ext>
          </c:extLst>
        </c:ser>
        <c:ser>
          <c:idx val="1"/>
          <c:order val="1"/>
          <c:tx>
            <c:strRef>
              <c:f>'Illustration for training'!$B$353</c:f>
              <c:strCache>
                <c:ptCount val="1"/>
                <c:pt idx="0">
                  <c:v>Premium income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3">
                  <a:lumMod val="75000"/>
                </a:schemeClr>
              </a:solidFill>
              <a:prstDash val="solid"/>
            </a:ln>
            <a:effectLst/>
          </c:spPr>
          <c:invertIfNegative val="0"/>
          <c:cat>
            <c:numRef>
              <c:f>'Illustration for training'!$C$351:$E$351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'Illustration for training'!$C$353:$E$353</c:f>
              <c:numCache>
                <c:formatCode>_(* #,##0_);_(* \(#,##0\);_(* "-"??_);_(@_)</c:formatCode>
                <c:ptCount val="3"/>
                <c:pt idx="0">
                  <c:v>100000</c:v>
                </c:pt>
                <c:pt idx="1">
                  <c:v>79200</c:v>
                </c:pt>
                <c:pt idx="2">
                  <c:v>70567.199999999997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C-4DC3-830C-DB0212ADC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967432"/>
        <c:axId val="780974992"/>
      </c:barChart>
      <c:catAx>
        <c:axId val="78096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974992"/>
        <c:crosses val="autoZero"/>
        <c:auto val="1"/>
        <c:lblAlgn val="ctr"/>
        <c:lblOffset val="100"/>
        <c:noMultiLvlLbl val="0"/>
      </c:catAx>
      <c:valAx>
        <c:axId val="7809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96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Profit</a:t>
            </a:r>
            <a:r>
              <a:rPr lang="en-US" baseline="0"/>
              <a:t> under current GAAP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8086F"/>
            </a:solidFill>
            <a:ln>
              <a:noFill/>
            </a:ln>
            <a:effectLst/>
          </c:spPr>
          <c:invertIfNegative val="0"/>
          <c:val>
            <c:numRef>
              <c:f>'Illustration for training'!$K$65:$M$65</c:f>
              <c:numCache>
                <c:formatCode>_(* #,##0_);_(* \(#,##0\);_(* "-"??_);_(@_)</c:formatCode>
                <c:ptCount val="3"/>
                <c:pt idx="0">
                  <c:v>-82135.412795857992</c:v>
                </c:pt>
                <c:pt idx="1">
                  <c:v>16926.434127958593</c:v>
                </c:pt>
                <c:pt idx="2">
                  <c:v>92503.081973076929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E-4041-9708-3B1771902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127712"/>
        <c:axId val="875126992"/>
      </c:barChart>
      <c:catAx>
        <c:axId val="87512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126992"/>
        <c:crosses val="autoZero"/>
        <c:auto val="1"/>
        <c:lblAlgn val="ctr"/>
        <c:lblOffset val="100"/>
        <c:noMultiLvlLbl val="0"/>
      </c:catAx>
      <c:valAx>
        <c:axId val="87512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12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Profit</a:t>
            </a:r>
            <a:r>
              <a:rPr lang="en-US" baseline="0"/>
              <a:t> emergence: Current GAAP vs IFRS 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IFRS 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'Illustration for training'!$C$351:$E$351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'Illustration for training'!$C$311:$E$311</c:f>
              <c:numCache>
                <c:formatCode>_(* #,##0_);_(* \(#,##0\);_(* "-"??_);_(@_)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076-4E25-982C-D3A03D60A44C}"/>
            </c:ext>
          </c:extLst>
        </c:ser>
        <c:ser>
          <c:idx val="1"/>
          <c:order val="1"/>
          <c:tx>
            <c:v>Current GAAP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'Illustration for training'!$C$351:$E$351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'Illustration for training'!$K$65:$M$65</c:f>
              <c:numCache>
                <c:formatCode>_(* #,##0_);_(* \(#,##0\);_(* "-"??_);_(@_)</c:formatCode>
                <c:ptCount val="3"/>
                <c:pt idx="0">
                  <c:v>-82135.412795857992</c:v>
                </c:pt>
                <c:pt idx="1">
                  <c:v>16926.434127958593</c:v>
                </c:pt>
                <c:pt idx="2">
                  <c:v>92503.081973076929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6-4E25-982C-D3A03D60A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967432"/>
        <c:axId val="780974992"/>
      </c:barChart>
      <c:catAx>
        <c:axId val="78096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974992"/>
        <c:crosses val="autoZero"/>
        <c:auto val="1"/>
        <c:lblAlgn val="ctr"/>
        <c:lblOffset val="100"/>
        <c:noMultiLvlLbl val="0"/>
      </c:catAx>
      <c:valAx>
        <c:axId val="7809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96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660399</xdr:colOff>
      <xdr:row>2</xdr:row>
      <xdr:rowOff>0</xdr:rowOff>
    </xdr:from>
    <xdr:to>
      <xdr:col>6</xdr:col>
      <xdr:colOff>551038</xdr:colOff>
      <xdr:row>23</xdr:row>
      <xdr:rowOff>158750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2E47EBB-DCA2-C2C7-4091-3626BDE6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799" y="355600"/>
          <a:ext cx="6920089" cy="389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6</xdr:col>
      <xdr:colOff>577850</xdr:colOff>
      <xdr:row>49</xdr:row>
      <xdr:rowOff>173832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F0D7BBD-B483-8B7E-42D1-EF5ABAB3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0" y="4978400"/>
          <a:ext cx="6946900" cy="3907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641350</xdr:colOff>
      <xdr:row>53</xdr:row>
      <xdr:rowOff>120649</xdr:rowOff>
    </xdr:from>
    <xdr:to>
      <xdr:col>6</xdr:col>
      <xdr:colOff>577146</xdr:colOff>
      <xdr:row>75</xdr:row>
      <xdr:rowOff>127000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C9794F5-78F7-EBBB-1480-F157984C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0" y="9544049"/>
          <a:ext cx="6965246" cy="3917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645054</xdr:colOff>
      <xdr:row>359</xdr:row>
      <xdr:rowOff>14289</xdr:rowOff>
    </xdr:from>
    <xdr:to>
      <xdr:col>5</xdr:col>
      <xdr:colOff>103188</xdr:colOff>
      <xdr:row>374</xdr:row>
      <xdr:rowOff>142347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351E55-0B96-E9B0-E757-763ABE890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757953</xdr:colOff>
      <xdr:row>71</xdr:row>
      <xdr:rowOff>113503</xdr:rowOff>
    </xdr:from>
    <xdr:to>
      <xdr:col>15</xdr:col>
      <xdr:colOff>406847</xdr:colOff>
      <xdr:row>84</xdr:row>
      <xdr:rowOff>114030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0BF232-8B48-42A2-590C-4AE543A82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750887</xdr:colOff>
      <xdr:row>358</xdr:row>
      <xdr:rowOff>171979</xdr:rowOff>
    </xdr:from>
    <xdr:to>
      <xdr:col>10</xdr:col>
      <xdr:colOff>661458</xdr:colOff>
      <xdr:row>383</xdr:row>
      <xdr:rowOff>79374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90B50E-EFD7-4E10-AFBD-7D25291BD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WTW_2022">
  <a:themeElements>
    <a:clrScheme name="Custom 37">
      <a:dk1>
        <a:srgbClr val="000000"/>
      </a:dk1>
      <a:lt1>
        <a:srgbClr val="FFFFFF"/>
      </a:lt1>
      <a:dk2>
        <a:srgbClr val="7F35B2"/>
      </a:dk2>
      <a:lt2>
        <a:srgbClr val="E6E6E6"/>
      </a:lt2>
      <a:accent1>
        <a:srgbClr val="48086F"/>
      </a:accent1>
      <a:accent2>
        <a:srgbClr val="C900AC"/>
      </a:accent2>
      <a:accent3>
        <a:srgbClr val="F6517F"/>
      </a:accent3>
      <a:accent4>
        <a:srgbClr val="FF8204"/>
      </a:accent4>
      <a:accent5>
        <a:srgbClr val="FFB92A"/>
      </a:accent5>
      <a:accent6>
        <a:srgbClr val="3ADCC9"/>
      </a:accent6>
      <a:hlink>
        <a:srgbClr val="7F34B2"/>
      </a:hlink>
      <a:folHlink>
        <a:srgbClr val="48086F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chemeClr val="accent1"/>
        </a:solidFill>
        <a:ln>
          <a:noFill/>
        </a:ln>
        <a:effectLst/>
      </a:spPr>
      <a:bodyPr rot="0" spcFirstLastPara="0" vertOverflow="overflow" horzOverflow="overflow" vert="horz" wrap="square" lIns="182880" tIns="0" rIns="182880" bIns="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sz="1600" b="0" i="0">
            <a:solidFill>
              <a:schemeClr val="bg1"/>
            </a:solidFill>
            <a:latin typeface="+mn-lt"/>
            <a:ea typeface="Roboto" panose="02000000000000000000" pitchFamily="2" charset="0"/>
            <a:cs typeface="Roboto" panose="02000000000000000000" pitchFamily="2" charset="0"/>
          </a:defRPr>
        </a:defPPr>
      </a:lstStyle>
    </a:spDef>
    <a:txDef>
      <a:spPr>
        <a:noFill/>
      </a:spPr>
      <a:bodyPr wrap="square" lIns="0" tIns="91440" rIns="0" bIns="0" rtlCol="0">
        <a:normAutofit/>
      </a:bodyPr>
      <a:lstStyle>
        <a:defPPr marL="0" indent="-3657600" algn="l">
          <a:spcAft>
            <a:spcPts val="600"/>
          </a:spcAft>
          <a:defRPr sz="1600" b="0" i="0">
            <a:solidFill>
              <a:schemeClr val="tx2"/>
            </a:solidFill>
            <a:latin typeface="+mn-lt"/>
            <a:ea typeface="Roboto" panose="02000000000000000000" pitchFamily="2" charset="0"/>
            <a:cs typeface="Times New Roman" panose="02020603050405020304" pitchFamily="18" charset="0"/>
          </a:defRPr>
        </a:defPPr>
      </a:lstStyle>
    </a:txDef>
  </a:objectDefaults>
  <a:extraClrSchemeLst/>
  <a:custClrLst>
    <a:custClr name="Ultraviolet">
      <a:srgbClr val="7F35B2"/>
    </a:custClr>
    <a:custClr name="Black">
      <a:srgbClr val="000000"/>
    </a:custClr>
    <a:custClr name="White">
      <a:srgbClr val="FFFFFF"/>
    </a:custClr>
    <a:custClr name="Gray Matter Light">
      <a:srgbClr val="E6E6E6"/>
    </a:custClr>
    <a:custClr name="Gray Matter">
      <a:srgbClr val="BFBFBF"/>
    </a:custClr>
    <a:custClr name="Gray Matter Dark">
      <a:srgbClr val="808080"/>
    </a:custClr>
    <a:custClr name="White">
      <a:srgbClr val="FFFFFF"/>
    </a:custClr>
    <a:custClr name="White">
      <a:srgbClr val="FFFFFF"/>
    </a:custClr>
    <a:custClr name="White">
      <a:srgbClr val="FFFFFF"/>
    </a:custClr>
    <a:custClr name="White">
      <a:srgbClr val="FFFFFF"/>
    </a:custClr>
    <a:custClr name="Ultraviolet Dark">
      <a:srgbClr val="48086F"/>
    </a:custClr>
    <a:custClr name="Fireworks">
      <a:srgbClr val="C900AC"/>
    </a:custClr>
    <a:custClr name="Coral Reef">
      <a:srgbClr val="F6517F"/>
    </a:custClr>
    <a:custClr name="Mandarin">
      <a:srgbClr val="FF8204"/>
    </a:custClr>
    <a:custClr name="Submarine">
      <a:srgbClr val="FFB92A"/>
    </a:custClr>
    <a:custClr name="Infinity">
      <a:srgbClr val="3ADCC9"/>
    </a:custClr>
    <a:custClr name="Stratosphere">
      <a:srgbClr val="327FEF"/>
    </a:custClr>
    <a:custClr name="White">
      <a:srgbClr val="FFFFFF"/>
    </a:custClr>
    <a:custClr name="White">
      <a:srgbClr val="FFFFFF"/>
    </a:custClr>
    <a:custClr name="White">
      <a:srgbClr val="FFFFFF"/>
    </a:custClr>
    <a:custClr name="Ultraviolet Light">
      <a:srgbClr val="C2A8F0"/>
    </a:custClr>
    <a:custClr name="Fireworks Light">
      <a:srgbClr val="E377DC"/>
    </a:custClr>
    <a:custClr name="Coral Reef Light">
      <a:srgbClr val="FFA3C2"/>
    </a:custClr>
    <a:custClr name="Mandarin Light">
      <a:srgbClr val="FFBFAC"/>
    </a:custClr>
    <a:custClr name="Submarine Light">
      <a:srgbClr val="F8E19A"/>
    </a:custClr>
    <a:custClr name="Infinity Light">
      <a:srgbClr val="A8E8E2"/>
    </a:custClr>
    <a:custClr name="Stratosphere Light">
      <a:srgbClr val="C3D7FE"/>
    </a:custClr>
    <a:custClr name="White">
      <a:srgbClr val="FFFFFF"/>
    </a:custClr>
    <a:custClr name="White">
      <a:srgbClr val="FFFFFF"/>
    </a:custClr>
    <a:custClr name="White">
      <a:srgbClr val="FFFFFF"/>
    </a:custClr>
  </a:custClrLst>
  <a:extLst>
    <a:ext uri="{05A4C25C-085E-4340-85A3-A5531E510DB2}">
      <thm15:themeFamily xmlns:thm15="http://schemas.microsoft.com/office/thememl/2012/main" name="WTW_2022" id="{3DC6405E-D6AC-4F2E-A3D2-755339B4E3C5}" vid="{C14EC84F-CF3F-4126-8C6E-3F16F558F8E2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412A-173D-49DE-8CB2-D8894CCAB91E}">
  <dimension ref="B2:B12"/>
  <sheetViews>
    <sheetView showGridLines="0" tabSelected="1" workbookViewId="0">
      <selection activeCell="E17" sqref="E17"/>
    </sheetView>
  </sheetViews>
  <sheetFormatPr defaultRowHeight="14" x14ac:dyDescent="0.3"/>
  <sheetData>
    <row r="2" spans="2:2" x14ac:dyDescent="0.3">
      <c r="B2" s="5" t="s">
        <v>199</v>
      </c>
    </row>
    <row r="4" spans="2:2" x14ac:dyDescent="0.3">
      <c r="B4" t="s">
        <v>200</v>
      </c>
    </row>
    <row r="6" spans="2:2" x14ac:dyDescent="0.3">
      <c r="B6" t="s">
        <v>201</v>
      </c>
    </row>
    <row r="8" spans="2:2" x14ac:dyDescent="0.3">
      <c r="B8" t="s">
        <v>202</v>
      </c>
    </row>
    <row r="10" spans="2:2" x14ac:dyDescent="0.3">
      <c r="B10" t="s">
        <v>203</v>
      </c>
    </row>
    <row r="12" spans="2:2" x14ac:dyDescent="0.3">
      <c r="B1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400F3-04B0-493A-AE2A-1ABC93A51C3B}">
  <dimension ref="A1"/>
  <sheetViews>
    <sheetView showGridLines="0" zoomScaleNormal="100" workbookViewId="0">
      <selection activeCell="H52" sqref="H52"/>
    </sheetView>
  </sheetViews>
  <sheetFormatPr defaultRowHeight="14" x14ac:dyDescent="0.3"/>
  <cols>
    <col min="3" max="3" width="57.58203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C873A-F911-4E30-9D39-78E82255CED0}">
  <dimension ref="A1:Y358"/>
  <sheetViews>
    <sheetView zoomScale="46" zoomScaleNormal="70" workbookViewId="0">
      <selection activeCell="D199" sqref="D199"/>
    </sheetView>
  </sheetViews>
  <sheetFormatPr defaultRowHeight="14" x14ac:dyDescent="0.3"/>
  <cols>
    <col min="1" max="1" width="15.08203125" customWidth="1"/>
    <col min="2" max="2" width="61.08203125" customWidth="1"/>
    <col min="3" max="3" width="15" customWidth="1"/>
    <col min="4" max="4" width="18.6640625" customWidth="1"/>
    <col min="5" max="5" width="26.58203125" customWidth="1"/>
    <col min="6" max="6" width="20.33203125" customWidth="1"/>
    <col min="7" max="7" width="16.58203125" customWidth="1"/>
    <col min="8" max="9" width="41.58203125" customWidth="1"/>
    <col min="10" max="10" width="12.25" customWidth="1"/>
    <col min="11" max="11" width="11.33203125" customWidth="1"/>
    <col min="12" max="12" width="11" bestFit="1" customWidth="1"/>
    <col min="13" max="13" width="11.58203125" bestFit="1" customWidth="1"/>
    <col min="14" max="14" width="9.83203125" bestFit="1" customWidth="1"/>
    <col min="15" max="15" width="11.58203125" bestFit="1" customWidth="1"/>
    <col min="16" max="16" width="11.08203125" customWidth="1"/>
    <col min="17" max="17" width="11.58203125" bestFit="1" customWidth="1"/>
    <col min="19" max="19" width="11.58203125" bestFit="1" customWidth="1"/>
  </cols>
  <sheetData>
    <row r="1" spans="2:25" ht="14.5" thickBot="1" x14ac:dyDescent="0.35">
      <c r="C1" s="79"/>
      <c r="D1" s="5" t="s">
        <v>156</v>
      </c>
    </row>
    <row r="2" spans="2:25" ht="14.5" thickBot="1" x14ac:dyDescent="0.35">
      <c r="D2" s="5"/>
      <c r="F2" s="95" t="s">
        <v>179</v>
      </c>
      <c r="G2" s="96">
        <v>0</v>
      </c>
      <c r="H2" s="97"/>
    </row>
    <row r="3" spans="2:25" x14ac:dyDescent="0.3">
      <c r="C3" s="91" t="s">
        <v>178</v>
      </c>
      <c r="D3" s="92" t="s">
        <v>186</v>
      </c>
      <c r="F3" s="98" t="s">
        <v>180</v>
      </c>
      <c r="G3" s="1">
        <v>0.2</v>
      </c>
      <c r="H3" s="99" t="s">
        <v>183</v>
      </c>
    </row>
    <row r="4" spans="2:25" ht="14.5" thickBot="1" x14ac:dyDescent="0.35">
      <c r="C4" s="93" t="s">
        <v>179</v>
      </c>
      <c r="D4" s="94">
        <f>VLOOKUP(C4,$F$2:$G$6,2,FALSE)</f>
        <v>0</v>
      </c>
      <c r="F4" s="98" t="s">
        <v>181</v>
      </c>
      <c r="G4" s="1">
        <v>0.2</v>
      </c>
      <c r="H4" s="99" t="s">
        <v>183</v>
      </c>
    </row>
    <row r="5" spans="2:25" x14ac:dyDescent="0.3">
      <c r="F5" s="98" t="s">
        <v>182</v>
      </c>
      <c r="G5" s="1">
        <v>0.2</v>
      </c>
      <c r="H5" s="99" t="s">
        <v>184</v>
      </c>
    </row>
    <row r="6" spans="2:25" ht="14.5" thickBot="1" x14ac:dyDescent="0.35">
      <c r="F6" s="100" t="s">
        <v>86</v>
      </c>
      <c r="G6" s="101">
        <v>-0.01</v>
      </c>
      <c r="H6" s="102" t="s">
        <v>185</v>
      </c>
    </row>
    <row r="7" spans="2:25" x14ac:dyDescent="0.3">
      <c r="B7" s="49" t="s">
        <v>87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2:25" x14ac:dyDescent="0.3">
      <c r="H8" s="51"/>
    </row>
    <row r="9" spans="2:25" x14ac:dyDescent="0.3">
      <c r="B9" s="5" t="s">
        <v>3</v>
      </c>
      <c r="C9" s="5">
        <v>0</v>
      </c>
      <c r="D9" s="5">
        <v>1</v>
      </c>
      <c r="E9" s="5">
        <v>2</v>
      </c>
      <c r="F9" s="5">
        <v>3</v>
      </c>
      <c r="H9" s="51"/>
    </row>
    <row r="10" spans="2:25" x14ac:dyDescent="0.3">
      <c r="B10" s="45" t="s">
        <v>70</v>
      </c>
      <c r="C10" s="5"/>
      <c r="D10" s="5"/>
      <c r="E10" s="5"/>
      <c r="F10" s="5"/>
      <c r="H10" s="51"/>
    </row>
    <row r="11" spans="2:25" x14ac:dyDescent="0.3">
      <c r="B11" t="s">
        <v>65</v>
      </c>
      <c r="C11">
        <v>1000</v>
      </c>
      <c r="H11" s="51"/>
    </row>
    <row r="12" spans="2:25" x14ac:dyDescent="0.3">
      <c r="B12" t="s">
        <v>66</v>
      </c>
      <c r="C12">
        <v>100</v>
      </c>
      <c r="D12">
        <f>C12</f>
        <v>100</v>
      </c>
      <c r="E12">
        <f>D12</f>
        <v>100</v>
      </c>
      <c r="H12" s="51"/>
    </row>
    <row r="13" spans="2:25" x14ac:dyDescent="0.3">
      <c r="B13" t="s">
        <v>134</v>
      </c>
      <c r="C13">
        <f>SUM(C12:E12)*6</f>
        <v>1800</v>
      </c>
      <c r="H13" s="51"/>
    </row>
    <row r="14" spans="2:25" x14ac:dyDescent="0.3">
      <c r="B14" t="s">
        <v>135</v>
      </c>
      <c r="C14">
        <v>3</v>
      </c>
      <c r="H14" s="51"/>
    </row>
    <row r="15" spans="2:25" x14ac:dyDescent="0.3">
      <c r="B15" t="s">
        <v>136</v>
      </c>
      <c r="C15">
        <v>3</v>
      </c>
      <c r="H15" s="51"/>
    </row>
    <row r="16" spans="2:25" x14ac:dyDescent="0.3">
      <c r="B16" t="s">
        <v>124</v>
      </c>
      <c r="D16">
        <f>SUM(C12:$C$12)*30%</f>
        <v>30</v>
      </c>
      <c r="E16">
        <f>SUM($C12:D$12)*50%</f>
        <v>100</v>
      </c>
      <c r="F16">
        <v>0</v>
      </c>
      <c r="H16" s="51"/>
    </row>
    <row r="17" spans="2:25" x14ac:dyDescent="0.3">
      <c r="B17" t="s">
        <v>131</v>
      </c>
      <c r="F17">
        <f>SUM(C12:E12)*70%</f>
        <v>210</v>
      </c>
      <c r="H17" s="51"/>
    </row>
    <row r="18" spans="2:25" x14ac:dyDescent="0.3">
      <c r="B18" t="s">
        <v>117</v>
      </c>
      <c r="C18" s="46">
        <v>0.3</v>
      </c>
      <c r="D18" s="1"/>
      <c r="E18" s="1"/>
      <c r="H18" s="51"/>
    </row>
    <row r="19" spans="2:25" x14ac:dyDescent="0.3">
      <c r="B19" t="s">
        <v>118</v>
      </c>
      <c r="C19" s="46"/>
      <c r="D19" s="1">
        <v>0.1</v>
      </c>
      <c r="E19" s="1">
        <v>0.1</v>
      </c>
      <c r="H19" s="51"/>
    </row>
    <row r="20" spans="2:25" x14ac:dyDescent="0.3">
      <c r="C20" s="46"/>
      <c r="D20" s="1"/>
      <c r="E20" s="1"/>
      <c r="H20" s="51"/>
    </row>
    <row r="21" spans="2:25" ht="14.5" x14ac:dyDescent="0.35">
      <c r="B21" s="74" t="s">
        <v>31</v>
      </c>
      <c r="C21" s="75"/>
      <c r="D21" s="38"/>
      <c r="E21" s="38"/>
      <c r="F21" s="38"/>
      <c r="G21" s="74"/>
      <c r="H21" s="57" t="s">
        <v>157</v>
      </c>
    </row>
    <row r="22" spans="2:25" x14ac:dyDescent="0.3">
      <c r="B22" s="74" t="s">
        <v>130</v>
      </c>
      <c r="C22" s="75"/>
      <c r="D22" s="43"/>
      <c r="E22" s="43"/>
      <c r="F22" s="43"/>
      <c r="G22" s="74"/>
      <c r="H22" s="51"/>
    </row>
    <row r="23" spans="2:25" x14ac:dyDescent="0.3">
      <c r="B23" s="49" t="s">
        <v>88</v>
      </c>
      <c r="C23" s="50"/>
      <c r="D23" s="50"/>
      <c r="E23" s="50"/>
      <c r="F23" s="50"/>
      <c r="G23" s="50"/>
      <c r="H23" s="52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2:25" x14ac:dyDescent="0.3">
      <c r="H24" s="51"/>
    </row>
    <row r="25" spans="2:25" x14ac:dyDescent="0.3">
      <c r="C25" s="58">
        <v>0</v>
      </c>
      <c r="D25" s="59">
        <v>1</v>
      </c>
      <c r="E25" s="5">
        <v>2</v>
      </c>
      <c r="F25" s="5">
        <v>3</v>
      </c>
      <c r="H25" s="51"/>
      <c r="J25" s="5">
        <v>0</v>
      </c>
      <c r="K25" s="5">
        <v>1</v>
      </c>
      <c r="L25" s="5">
        <v>2</v>
      </c>
      <c r="M25" s="5">
        <v>3</v>
      </c>
    </row>
    <row r="26" spans="2:25" ht="14.5" thickBot="1" x14ac:dyDescent="0.35">
      <c r="B26" s="45" t="s">
        <v>79</v>
      </c>
      <c r="C26" s="60"/>
      <c r="D26" s="61"/>
      <c r="H26" s="51"/>
      <c r="I26" s="45" t="s">
        <v>80</v>
      </c>
    </row>
    <row r="27" spans="2:25" ht="14.5" thickBot="1" x14ac:dyDescent="0.35">
      <c r="B27" t="s">
        <v>65</v>
      </c>
      <c r="C27" s="62">
        <f>C11</f>
        <v>1000</v>
      </c>
      <c r="D27" s="63"/>
      <c r="H27" s="51"/>
      <c r="I27" t="s">
        <v>81</v>
      </c>
      <c r="J27" s="69">
        <f>C11</f>
        <v>1000</v>
      </c>
      <c r="K27" s="2">
        <f>J27-K28-K29</f>
        <v>792</v>
      </c>
      <c r="L27" s="2">
        <f t="shared" ref="L27" si="0">K27-L28-L29</f>
        <v>705.67200000000003</v>
      </c>
      <c r="M27" s="2">
        <v>0</v>
      </c>
    </row>
    <row r="28" spans="2:25" x14ac:dyDescent="0.3">
      <c r="B28" t="s">
        <v>68</v>
      </c>
      <c r="C28" s="60"/>
      <c r="D28" s="64">
        <f>K28</f>
        <v>10</v>
      </c>
      <c r="H28" s="51"/>
      <c r="I28" t="s">
        <v>82</v>
      </c>
      <c r="K28" s="3">
        <f>J27*K46</f>
        <v>10</v>
      </c>
      <c r="L28" s="3">
        <f>K27*L46</f>
        <v>7.92</v>
      </c>
      <c r="M28" s="3">
        <f>L27*M46</f>
        <v>7.0567200000000003</v>
      </c>
    </row>
    <row r="29" spans="2:25" x14ac:dyDescent="0.3">
      <c r="B29" t="s">
        <v>71</v>
      </c>
      <c r="C29" s="60"/>
      <c r="D29" s="64">
        <f>K29</f>
        <v>198</v>
      </c>
      <c r="H29" s="51"/>
      <c r="I29" t="s">
        <v>83</v>
      </c>
      <c r="K29" s="3">
        <f>(J27-K28)*K47</f>
        <v>198</v>
      </c>
      <c r="L29" s="3">
        <f>(K27-L28)*L47</f>
        <v>78.408000000000015</v>
      </c>
      <c r="M29" s="3">
        <f>(L27-M28)*M47</f>
        <v>0</v>
      </c>
    </row>
    <row r="30" spans="2:25" x14ac:dyDescent="0.3">
      <c r="B30" t="s">
        <v>77</v>
      </c>
      <c r="C30" s="62">
        <f>J30</f>
        <v>100000</v>
      </c>
      <c r="D30" s="63"/>
      <c r="H30" s="51"/>
      <c r="I30" t="s">
        <v>84</v>
      </c>
      <c r="J30" s="2">
        <f>J27*C12</f>
        <v>100000</v>
      </c>
      <c r="K30" s="2">
        <f>K27*D12</f>
        <v>79200</v>
      </c>
      <c r="L30" s="2">
        <f>L27*E12</f>
        <v>70567.199999999997</v>
      </c>
      <c r="M30" s="2"/>
    </row>
    <row r="31" spans="2:25" x14ac:dyDescent="0.3">
      <c r="B31" t="s">
        <v>125</v>
      </c>
      <c r="C31" s="62"/>
      <c r="D31" s="63">
        <f>K31</f>
        <v>18000</v>
      </c>
      <c r="H31" s="51"/>
      <c r="I31" t="s">
        <v>85</v>
      </c>
      <c r="J31" s="2">
        <v>0</v>
      </c>
      <c r="K31" s="2">
        <f>$C$13*K28</f>
        <v>18000</v>
      </c>
      <c r="L31" s="2">
        <f t="shared" ref="L31:M31" si="1">$C$13*L28</f>
        <v>14256</v>
      </c>
      <c r="M31" s="2">
        <f t="shared" si="1"/>
        <v>12702.096000000001</v>
      </c>
      <c r="O31" s="2"/>
    </row>
    <row r="32" spans="2:25" x14ac:dyDescent="0.3">
      <c r="B32" t="s">
        <v>33</v>
      </c>
      <c r="C32" s="62"/>
      <c r="D32" s="63">
        <f>D28*D21</f>
        <v>0</v>
      </c>
      <c r="H32" s="51"/>
      <c r="I32" t="s">
        <v>33</v>
      </c>
      <c r="J32" s="2"/>
      <c r="K32" s="38"/>
      <c r="L32" s="38"/>
      <c r="M32" s="38"/>
      <c r="O32" s="2"/>
    </row>
    <row r="33" spans="2:15" x14ac:dyDescent="0.3">
      <c r="C33" s="62"/>
      <c r="D33" s="63"/>
      <c r="H33" s="51"/>
      <c r="J33" s="2"/>
      <c r="K33" s="2"/>
      <c r="L33" s="2"/>
      <c r="M33" s="2"/>
      <c r="O33" s="2"/>
    </row>
    <row r="34" spans="2:15" x14ac:dyDescent="0.3">
      <c r="B34" t="s">
        <v>126</v>
      </c>
      <c r="C34" s="62"/>
      <c r="D34" s="63">
        <f>K34</f>
        <v>5940</v>
      </c>
      <c r="H34" s="51"/>
      <c r="I34" t="s">
        <v>127</v>
      </c>
      <c r="J34" s="2"/>
      <c r="K34" s="2">
        <f>K29*D16</f>
        <v>5940</v>
      </c>
      <c r="L34" s="2">
        <f>L29*E16</f>
        <v>7840.8000000000011</v>
      </c>
      <c r="M34" s="2">
        <f>M29*F16</f>
        <v>0</v>
      </c>
      <c r="O34" s="2"/>
    </row>
    <row r="35" spans="2:15" x14ac:dyDescent="0.3">
      <c r="B35" t="s">
        <v>133</v>
      </c>
      <c r="C35" s="62"/>
      <c r="D35" s="63"/>
      <c r="H35" s="51"/>
      <c r="I35" t="s">
        <v>132</v>
      </c>
      <c r="J35" s="2"/>
      <c r="K35" s="2">
        <v>0</v>
      </c>
      <c r="L35" s="2">
        <v>0</v>
      </c>
      <c r="M35" s="2">
        <f>(L27-M28)*$F$17</f>
        <v>146709.20879999999</v>
      </c>
      <c r="O35" s="2"/>
    </row>
    <row r="36" spans="2:15" x14ac:dyDescent="0.3">
      <c r="B36" t="s">
        <v>119</v>
      </c>
      <c r="C36" s="62"/>
      <c r="D36" s="63">
        <f>K36</f>
        <v>30000</v>
      </c>
      <c r="H36" s="51"/>
      <c r="I36" t="s">
        <v>121</v>
      </c>
      <c r="K36" s="2">
        <f>J30*C$18</f>
        <v>30000</v>
      </c>
      <c r="L36" s="2">
        <f>K30*D$18</f>
        <v>0</v>
      </c>
      <c r="M36" s="2">
        <f>L30*E$18</f>
        <v>0</v>
      </c>
      <c r="O36" s="2"/>
    </row>
    <row r="37" spans="2:15" x14ac:dyDescent="0.3">
      <c r="B37" t="s">
        <v>120</v>
      </c>
      <c r="C37" s="62"/>
      <c r="D37" s="63">
        <f>K37</f>
        <v>0</v>
      </c>
      <c r="H37" s="51"/>
      <c r="I37" t="s">
        <v>122</v>
      </c>
      <c r="K37" s="2">
        <f>J31*C$18</f>
        <v>0</v>
      </c>
      <c r="L37" s="2">
        <f>D$19*K30</f>
        <v>7920</v>
      </c>
      <c r="M37" s="2">
        <f>E$19*L30</f>
        <v>7056.72</v>
      </c>
      <c r="O37" s="2"/>
    </row>
    <row r="38" spans="2:15" x14ac:dyDescent="0.3">
      <c r="C38" s="62"/>
      <c r="D38" s="63"/>
      <c r="H38" s="51"/>
      <c r="K38" s="2"/>
      <c r="L38" s="2"/>
      <c r="M38" s="2"/>
    </row>
    <row r="39" spans="2:15" ht="14.5" thickBot="1" x14ac:dyDescent="0.35">
      <c r="C39" s="62"/>
      <c r="D39" s="63"/>
      <c r="H39" s="51"/>
      <c r="I39" s="21" t="s">
        <v>128</v>
      </c>
      <c r="J39" s="22">
        <f>J30</f>
        <v>100000</v>
      </c>
      <c r="K39" s="22">
        <f t="shared" ref="K39:M39" si="2">K30</f>
        <v>79200</v>
      </c>
      <c r="L39" s="22">
        <f t="shared" si="2"/>
        <v>70567.199999999997</v>
      </c>
      <c r="M39" s="22">
        <f t="shared" si="2"/>
        <v>0</v>
      </c>
    </row>
    <row r="40" spans="2:15" ht="14.5" thickBot="1" x14ac:dyDescent="0.35">
      <c r="C40" s="62"/>
      <c r="D40" s="63"/>
      <c r="H40" s="51"/>
      <c r="I40" s="21" t="s">
        <v>129</v>
      </c>
      <c r="J40" s="22">
        <f>J31+SUM(J34:J37)</f>
        <v>0</v>
      </c>
      <c r="K40" s="22">
        <f t="shared" ref="K40:M40" si="3">K31+SUM(K34:K37)</f>
        <v>53940</v>
      </c>
      <c r="L40" s="22">
        <f t="shared" si="3"/>
        <v>30016.800000000003</v>
      </c>
      <c r="M40" s="22">
        <f t="shared" si="3"/>
        <v>166468.02479999998</v>
      </c>
    </row>
    <row r="41" spans="2:15" x14ac:dyDescent="0.3">
      <c r="C41" s="62"/>
      <c r="D41" s="63"/>
      <c r="H41" s="51"/>
      <c r="J41" s="2"/>
      <c r="K41" s="2"/>
      <c r="L41" s="2"/>
      <c r="M41" s="2"/>
    </row>
    <row r="42" spans="2:15" ht="14.5" x14ac:dyDescent="0.35">
      <c r="B42" t="s">
        <v>91</v>
      </c>
      <c r="C42" s="65">
        <f>J49</f>
        <v>0.05</v>
      </c>
      <c r="D42" s="66"/>
      <c r="H42" s="51"/>
      <c r="I42" t="s">
        <v>0</v>
      </c>
      <c r="J42" s="2">
        <f>NPV($J$49,K40:M40)*2%</f>
        <v>4447.9777959183675</v>
      </c>
      <c r="K42" s="2">
        <f t="shared" ref="K42:M42" si="4">NPV($J$49,L40:N40)*2%</f>
        <v>3591.5766857142844</v>
      </c>
      <c r="L42" s="2">
        <f t="shared" si="4"/>
        <v>3170.8195199999996</v>
      </c>
      <c r="M42" s="2">
        <f t="shared" si="4"/>
        <v>0</v>
      </c>
      <c r="N42" s="30" t="s">
        <v>90</v>
      </c>
    </row>
    <row r="43" spans="2:15" x14ac:dyDescent="0.3">
      <c r="H43" s="51"/>
    </row>
    <row r="44" spans="2:15" x14ac:dyDescent="0.3">
      <c r="H44" s="51"/>
      <c r="I44" s="73" t="s">
        <v>89</v>
      </c>
    </row>
    <row r="45" spans="2:15" x14ac:dyDescent="0.3">
      <c r="H45" s="51"/>
    </row>
    <row r="46" spans="2:15" x14ac:dyDescent="0.3">
      <c r="H46" s="51"/>
      <c r="I46" t="s">
        <v>67</v>
      </c>
      <c r="K46" s="31">
        <v>0.01</v>
      </c>
      <c r="L46" s="31">
        <v>0.01</v>
      </c>
      <c r="M46" s="31">
        <v>0.01</v>
      </c>
    </row>
    <row r="47" spans="2:15" x14ac:dyDescent="0.3">
      <c r="H47" s="51"/>
      <c r="I47" t="s">
        <v>69</v>
      </c>
      <c r="K47" s="1">
        <v>0.2</v>
      </c>
      <c r="L47" s="1">
        <v>0.1</v>
      </c>
      <c r="M47" s="1">
        <v>0</v>
      </c>
    </row>
    <row r="48" spans="2:15" x14ac:dyDescent="0.3">
      <c r="H48" s="51"/>
      <c r="K48" s="1"/>
      <c r="L48" s="1"/>
      <c r="M48" s="1"/>
    </row>
    <row r="49" spans="1:25" ht="14.5" x14ac:dyDescent="0.35">
      <c r="H49" s="51"/>
      <c r="I49" s="5" t="s">
        <v>72</v>
      </c>
      <c r="J49" s="1">
        <v>0.05</v>
      </c>
      <c r="K49" s="1"/>
      <c r="L49" s="1"/>
      <c r="M49" s="1"/>
      <c r="N49" s="30" t="s">
        <v>161</v>
      </c>
    </row>
    <row r="50" spans="1:25" x14ac:dyDescent="0.3">
      <c r="H50" s="51"/>
    </row>
    <row r="51" spans="1:25" x14ac:dyDescent="0.3">
      <c r="D51" s="1"/>
      <c r="E51" s="1"/>
      <c r="F51" s="1"/>
      <c r="H51" s="51"/>
    </row>
    <row r="52" spans="1:25" x14ac:dyDescent="0.3">
      <c r="B52" s="35" t="s">
        <v>92</v>
      </c>
      <c r="C52" s="36"/>
      <c r="D52" s="36"/>
      <c r="E52" s="36"/>
      <c r="F52" s="36"/>
      <c r="G52" s="36"/>
      <c r="H52" s="52"/>
      <c r="I52" s="35" t="s">
        <v>108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x14ac:dyDescent="0.3">
      <c r="H53" s="51"/>
    </row>
    <row r="54" spans="1:25" x14ac:dyDescent="0.3">
      <c r="A54" s="5" t="s">
        <v>54</v>
      </c>
      <c r="D54" s="18"/>
      <c r="E54" s="18"/>
      <c r="F54" s="18"/>
      <c r="G54" s="18"/>
      <c r="H54" s="54"/>
    </row>
    <row r="55" spans="1:25" ht="14.5" thickBot="1" x14ac:dyDescent="0.35">
      <c r="C55" s="18"/>
      <c r="D55" s="18"/>
      <c r="E55" s="18"/>
      <c r="F55" s="18"/>
      <c r="G55" s="18"/>
      <c r="H55" s="54"/>
    </row>
    <row r="56" spans="1:25" ht="28" x14ac:dyDescent="0.3">
      <c r="C56" s="29" t="s">
        <v>8</v>
      </c>
      <c r="D56" s="4" t="s">
        <v>9</v>
      </c>
      <c r="E56" s="29" t="s">
        <v>10</v>
      </c>
      <c r="F56" s="4" t="s">
        <v>11</v>
      </c>
      <c r="G56" s="4" t="s">
        <v>12</v>
      </c>
      <c r="H56" s="55"/>
      <c r="I56" s="4"/>
      <c r="K56" s="5">
        <v>1</v>
      </c>
      <c r="L56" s="5">
        <v>2</v>
      </c>
      <c r="M56" s="5">
        <v>3</v>
      </c>
    </row>
    <row r="57" spans="1:25" x14ac:dyDescent="0.3">
      <c r="B57" t="s">
        <v>1</v>
      </c>
      <c r="C57" s="37"/>
      <c r="D57" s="38"/>
      <c r="E57" s="37"/>
      <c r="F57" s="38"/>
      <c r="G57" s="38"/>
      <c r="H57" s="53"/>
      <c r="I57" s="2" t="s">
        <v>106</v>
      </c>
      <c r="K57" s="3">
        <f>J30</f>
        <v>100000</v>
      </c>
      <c r="L57" s="3">
        <f t="shared" ref="L57:M57" si="5">K30</f>
        <v>79200</v>
      </c>
      <c r="M57" s="3">
        <f t="shared" si="5"/>
        <v>70567.199999999997</v>
      </c>
      <c r="O57" s="2"/>
      <c r="Q57" s="2"/>
    </row>
    <row r="58" spans="1:25" x14ac:dyDescent="0.3">
      <c r="B58" t="s">
        <v>2</v>
      </c>
      <c r="C58" s="37"/>
      <c r="D58" s="38"/>
      <c r="E58" s="37"/>
      <c r="F58" s="38"/>
      <c r="G58" s="38"/>
      <c r="H58" s="53"/>
      <c r="I58" s="2" t="s">
        <v>109</v>
      </c>
      <c r="K58" s="3">
        <f>K31+K34+K35</f>
        <v>23940</v>
      </c>
      <c r="L58" s="3">
        <f t="shared" ref="L58" si="6">L31+L34+L35</f>
        <v>22096.800000000003</v>
      </c>
      <c r="M58" s="3">
        <f>M31+M34+M35</f>
        <v>159411.30479999998</v>
      </c>
      <c r="O58" s="2"/>
      <c r="Q58" s="2"/>
    </row>
    <row r="59" spans="1:25" ht="14.5" x14ac:dyDescent="0.35">
      <c r="B59" t="s">
        <v>4</v>
      </c>
      <c r="C59" s="39"/>
      <c r="D59" s="40"/>
      <c r="E59" s="39"/>
      <c r="F59" s="40"/>
      <c r="G59" s="40"/>
      <c r="H59" s="57" t="s">
        <v>158</v>
      </c>
      <c r="I59" t="s">
        <v>123</v>
      </c>
      <c r="K59" s="3">
        <f>K36+K37</f>
        <v>30000</v>
      </c>
      <c r="L59" s="3">
        <f t="shared" ref="L59:M59" si="7">L36+L37</f>
        <v>7920</v>
      </c>
      <c r="M59" s="3">
        <f t="shared" si="7"/>
        <v>7056.72</v>
      </c>
      <c r="O59" s="2"/>
      <c r="Q59" s="2"/>
    </row>
    <row r="60" spans="1:25" x14ac:dyDescent="0.3">
      <c r="C60" s="24"/>
      <c r="D60" s="7"/>
      <c r="E60" s="24"/>
      <c r="F60" s="7"/>
      <c r="G60" s="7"/>
      <c r="H60" s="53"/>
      <c r="I60" s="2" t="s">
        <v>110</v>
      </c>
      <c r="K60" s="3">
        <f>(K57+J68)*$J$49</f>
        <v>5000</v>
      </c>
      <c r="L60" s="3">
        <f>(L57+K68)*$J$49</f>
        <v>10619.7706397929</v>
      </c>
      <c r="M60" s="3">
        <f>(M57+L68)*$J$49</f>
        <v>12331.957465384616</v>
      </c>
      <c r="O60" s="3"/>
    </row>
    <row r="61" spans="1:25" ht="14.5" x14ac:dyDescent="0.35">
      <c r="B61" t="s">
        <v>0</v>
      </c>
      <c r="C61" s="37"/>
      <c r="D61" s="38"/>
      <c r="E61" s="37"/>
      <c r="F61" s="38"/>
      <c r="G61" s="38"/>
      <c r="H61" s="57" t="s">
        <v>158</v>
      </c>
      <c r="I61" s="2" t="s">
        <v>115</v>
      </c>
      <c r="K61" s="3">
        <f>K57+K60-SUM(K58:K59)</f>
        <v>51060</v>
      </c>
      <c r="L61" s="3">
        <f t="shared" ref="L61:M61" si="8">L57+L60-SUM(L58:L59)</f>
        <v>59802.970639792897</v>
      </c>
      <c r="M61" s="3">
        <f t="shared" si="8"/>
        <v>-83568.867334615366</v>
      </c>
      <c r="Q61" s="3"/>
    </row>
    <row r="62" spans="1:25" x14ac:dyDescent="0.3">
      <c r="C62" s="24"/>
      <c r="D62" s="2"/>
      <c r="E62" s="24"/>
      <c r="F62" s="2"/>
      <c r="G62" s="2"/>
      <c r="H62" s="53"/>
      <c r="I62" s="2"/>
    </row>
    <row r="63" spans="1:25" ht="15" thickBot="1" x14ac:dyDescent="0.4">
      <c r="B63" t="s">
        <v>13</v>
      </c>
      <c r="C63" s="41"/>
      <c r="D63" s="42"/>
      <c r="E63" s="41"/>
      <c r="F63" s="42"/>
      <c r="G63" s="42"/>
      <c r="H63" s="57" t="s">
        <v>158</v>
      </c>
      <c r="I63" s="2" t="s">
        <v>112</v>
      </c>
      <c r="K63" s="3">
        <f>K68-J68</f>
        <v>133195.41279585799</v>
      </c>
      <c r="L63" s="3">
        <f>L68-K68</f>
        <v>42876.536511834303</v>
      </c>
      <c r="M63" s="3">
        <f>M68-L68</f>
        <v>-176071.9493076923</v>
      </c>
    </row>
    <row r="64" spans="1:25" ht="14.5" thickTop="1" x14ac:dyDescent="0.3">
      <c r="C64" s="24"/>
      <c r="D64" s="2"/>
      <c r="E64" s="24"/>
      <c r="F64" s="2"/>
      <c r="G64" s="2"/>
      <c r="H64" s="53"/>
      <c r="I64" s="2"/>
    </row>
    <row r="65" spans="1:13" ht="14.5" x14ac:dyDescent="0.35">
      <c r="B65" t="s">
        <v>5</v>
      </c>
      <c r="C65" s="39"/>
      <c r="D65" s="40"/>
      <c r="E65" s="39"/>
      <c r="F65" s="9"/>
      <c r="G65" s="9"/>
      <c r="H65" s="57" t="s">
        <v>93</v>
      </c>
      <c r="I65" s="2" t="s">
        <v>113</v>
      </c>
      <c r="K65" s="3">
        <f t="shared" ref="K65:M65" si="9">K61-K63</f>
        <v>-82135.412795857992</v>
      </c>
      <c r="L65" s="3">
        <f t="shared" si="9"/>
        <v>16926.434127958593</v>
      </c>
      <c r="M65" s="3">
        <f t="shared" si="9"/>
        <v>92503.081973076929</v>
      </c>
    </row>
    <row r="66" spans="1:13" ht="14.5" x14ac:dyDescent="0.35">
      <c r="C66" s="24"/>
      <c r="D66" s="2"/>
      <c r="E66" s="24"/>
      <c r="F66" s="2"/>
      <c r="G66" s="2"/>
      <c r="H66" s="57" t="s">
        <v>94</v>
      </c>
      <c r="I66" s="19"/>
    </row>
    <row r="67" spans="1:13" ht="14.5" thickBot="1" x14ac:dyDescent="0.35">
      <c r="B67" t="s">
        <v>6</v>
      </c>
      <c r="C67" s="41"/>
      <c r="D67" s="42"/>
      <c r="E67" s="41"/>
      <c r="F67" s="9"/>
      <c r="G67" s="9"/>
      <c r="H67" s="53"/>
      <c r="I67" s="2" t="s">
        <v>116</v>
      </c>
      <c r="J67" s="70">
        <f>J49-1%</f>
        <v>0.04</v>
      </c>
    </row>
    <row r="68" spans="1:13" ht="15" thickTop="1" thickBot="1" x14ac:dyDescent="0.35">
      <c r="C68" s="24"/>
      <c r="D68" s="2"/>
      <c r="E68" s="24"/>
      <c r="F68" s="2"/>
      <c r="G68" s="2"/>
      <c r="H68" s="53"/>
      <c r="I68" s="2" t="s">
        <v>111</v>
      </c>
      <c r="J68" s="2"/>
      <c r="K68" s="2">
        <f>(NPV($J$67,L58:M58)+NPV($J$67,L59:M59))*1.1-NPV($J$67,M57)</f>
        <v>133195.41279585799</v>
      </c>
      <c r="L68" s="2">
        <f>(NPV($J$67,M58:N58)+NPV($J$67,M59:N59))*1.1-NPV($J$67,N57)</f>
        <v>176071.9493076923</v>
      </c>
      <c r="M68" s="2">
        <f>(NPV($J$67,N58:O58)+NPV($J$67,N59:O59))*1.1-NPV($J$67,O57)</f>
        <v>0</v>
      </c>
    </row>
    <row r="69" spans="1:13" ht="14.5" thickBot="1" x14ac:dyDescent="0.35">
      <c r="B69" t="s">
        <v>7</v>
      </c>
      <c r="C69" s="27">
        <f>MAX(C61+C59,0)</f>
        <v>0</v>
      </c>
      <c r="D69" s="9"/>
      <c r="E69" s="28"/>
      <c r="F69" s="9"/>
      <c r="G69" s="9"/>
      <c r="H69" s="53"/>
      <c r="I69" s="71" t="s">
        <v>114</v>
      </c>
      <c r="J69" s="72">
        <f>NPV(J49,K65:M65)</f>
        <v>17036.212244897975</v>
      </c>
    </row>
    <row r="70" spans="1:13" x14ac:dyDescent="0.3">
      <c r="H70" s="51"/>
    </row>
    <row r="71" spans="1:13" x14ac:dyDescent="0.3">
      <c r="H71" s="51"/>
      <c r="I71" s="76" t="s">
        <v>137</v>
      </c>
    </row>
    <row r="72" spans="1:13" x14ac:dyDescent="0.3">
      <c r="B72" s="5" t="s">
        <v>56</v>
      </c>
      <c r="H72" s="51"/>
    </row>
    <row r="73" spans="1:13" x14ac:dyDescent="0.3">
      <c r="H73" s="51"/>
    </row>
    <row r="74" spans="1:13" x14ac:dyDescent="0.3">
      <c r="B74" s="20" t="s">
        <v>57</v>
      </c>
      <c r="C74" s="6">
        <f>J42</f>
        <v>4447.9777959183675</v>
      </c>
      <c r="D74" s="6">
        <f>C77</f>
        <v>3591.5766857142844</v>
      </c>
      <c r="E74" s="6">
        <f>D77</f>
        <v>3170.8195199999996</v>
      </c>
      <c r="F74" s="6"/>
      <c r="G74" s="6"/>
      <c r="H74" s="51"/>
    </row>
    <row r="75" spans="1:13" x14ac:dyDescent="0.3">
      <c r="B75" t="s">
        <v>58</v>
      </c>
      <c r="C75" s="2">
        <f>C74*$J$49</f>
        <v>222.39888979591839</v>
      </c>
      <c r="D75" s="2">
        <f>D74*$J$49</f>
        <v>179.57883428571424</v>
      </c>
      <c r="E75" s="2">
        <f>E74*$J$49</f>
        <v>158.540976</v>
      </c>
      <c r="F75" s="2"/>
      <c r="G75" s="2"/>
      <c r="H75" s="51"/>
    </row>
    <row r="76" spans="1:13" x14ac:dyDescent="0.3">
      <c r="B76" t="s">
        <v>59</v>
      </c>
      <c r="C76" s="2">
        <f>K42-SUM(C74:C75)</f>
        <v>-1078.8000000000011</v>
      </c>
      <c r="D76" s="2">
        <f>L42-SUM(D74:D75)</f>
        <v>-600.33599999999888</v>
      </c>
      <c r="E76" s="2">
        <f>M42-SUM(E74:E75)</f>
        <v>-3329.3604959999993</v>
      </c>
      <c r="F76" s="2"/>
      <c r="G76" s="2"/>
      <c r="H76" s="51"/>
    </row>
    <row r="77" spans="1:13" ht="14.5" thickBot="1" x14ac:dyDescent="0.35">
      <c r="B77" s="34" t="s">
        <v>60</v>
      </c>
      <c r="C77" s="8">
        <f>SUM(C74:C76)</f>
        <v>3591.5766857142844</v>
      </c>
      <c r="D77" s="8">
        <f>SUM(D74:D76)</f>
        <v>3170.8195199999996</v>
      </c>
      <c r="E77" s="8">
        <f>SUM(E74:E76)</f>
        <v>0</v>
      </c>
      <c r="F77" s="8"/>
      <c r="G77" s="8"/>
      <c r="H77" s="51"/>
    </row>
    <row r="78" spans="1:13" ht="14.5" thickTop="1" x14ac:dyDescent="0.3">
      <c r="H78" s="51"/>
    </row>
    <row r="79" spans="1:13" ht="14.5" thickBot="1" x14ac:dyDescent="0.35">
      <c r="A79" s="5" t="s">
        <v>25</v>
      </c>
      <c r="H79" s="51"/>
    </row>
    <row r="80" spans="1:13" ht="14.5" x14ac:dyDescent="0.35">
      <c r="B80" t="s">
        <v>18</v>
      </c>
      <c r="C80" s="38"/>
      <c r="E80" s="91" t="s">
        <v>63</v>
      </c>
      <c r="F80" s="120"/>
      <c r="G80" s="97"/>
      <c r="H80" s="57" t="s">
        <v>159</v>
      </c>
    </row>
    <row r="81" spans="1:9" ht="28" x14ac:dyDescent="0.3">
      <c r="B81" t="s">
        <v>20</v>
      </c>
      <c r="C81" s="38"/>
      <c r="E81" s="98"/>
      <c r="F81" s="121" t="s">
        <v>64</v>
      </c>
      <c r="G81" s="122" t="s">
        <v>74</v>
      </c>
      <c r="H81" s="51"/>
    </row>
    <row r="82" spans="1:9" ht="14.5" x14ac:dyDescent="0.35">
      <c r="B82" t="s">
        <v>19</v>
      </c>
      <c r="C82" s="38"/>
      <c r="E82" s="98" t="s">
        <v>10</v>
      </c>
      <c r="F82" s="43"/>
      <c r="G82" s="130"/>
      <c r="H82" s="57" t="s">
        <v>160</v>
      </c>
    </row>
    <row r="83" spans="1:9" ht="14.5" x14ac:dyDescent="0.35">
      <c r="B83" t="s">
        <v>15</v>
      </c>
      <c r="C83" s="38"/>
      <c r="E83" s="98" t="s">
        <v>11</v>
      </c>
      <c r="F83" s="43"/>
      <c r="G83" s="130"/>
      <c r="H83" s="57" t="s">
        <v>162</v>
      </c>
    </row>
    <row r="84" spans="1:9" ht="14.5" x14ac:dyDescent="0.35">
      <c r="B84" t="s">
        <v>21</v>
      </c>
      <c r="C84" s="38"/>
      <c r="E84" s="98" t="s">
        <v>12</v>
      </c>
      <c r="F84" s="43"/>
      <c r="G84" s="130"/>
      <c r="H84" s="57" t="s">
        <v>95</v>
      </c>
    </row>
    <row r="85" spans="1:9" ht="14.5" thickBot="1" x14ac:dyDescent="0.35">
      <c r="B85" t="s">
        <v>22</v>
      </c>
      <c r="C85" s="8">
        <f>SUM(C80:C84)</f>
        <v>0</v>
      </c>
      <c r="E85" s="100" t="s">
        <v>73</v>
      </c>
      <c r="F85" s="131"/>
      <c r="G85" s="132"/>
      <c r="H85" s="51"/>
    </row>
    <row r="86" spans="1:9" ht="15" thickTop="1" x14ac:dyDescent="0.35">
      <c r="H86" s="51"/>
      <c r="I86" s="19" t="s">
        <v>75</v>
      </c>
    </row>
    <row r="87" spans="1:9" x14ac:dyDescent="0.3">
      <c r="H87" s="51"/>
    </row>
    <row r="88" spans="1:9" x14ac:dyDescent="0.3">
      <c r="A88" s="5" t="s">
        <v>53</v>
      </c>
      <c r="H88" s="51"/>
    </row>
    <row r="89" spans="1:9" x14ac:dyDescent="0.3">
      <c r="H89" s="51"/>
    </row>
    <row r="90" spans="1:9" x14ac:dyDescent="0.3">
      <c r="B90" s="80" t="s">
        <v>46</v>
      </c>
      <c r="C90" s="81">
        <v>0</v>
      </c>
      <c r="D90" s="2"/>
      <c r="H90" s="51"/>
    </row>
    <row r="91" spans="1:9" x14ac:dyDescent="0.3">
      <c r="B91" t="s">
        <v>47</v>
      </c>
      <c r="C91" s="2">
        <f>C30</f>
        <v>100000</v>
      </c>
      <c r="D91" s="2"/>
      <c r="H91" s="51"/>
    </row>
    <row r="92" spans="1:9" x14ac:dyDescent="0.3">
      <c r="B92" t="s">
        <v>48</v>
      </c>
      <c r="C92" s="2">
        <f>-D31-D36-D37-D34</f>
        <v>-53940</v>
      </c>
      <c r="D92" s="2"/>
      <c r="H92" s="51"/>
    </row>
    <row r="93" spans="1:9" x14ac:dyDescent="0.3">
      <c r="B93" t="s">
        <v>38</v>
      </c>
      <c r="C93" s="2">
        <f>SUM(C90:C91)*C42</f>
        <v>5000</v>
      </c>
      <c r="D93" s="2"/>
      <c r="H93" s="51"/>
    </row>
    <row r="94" spans="1:9" ht="14.5" thickBot="1" x14ac:dyDescent="0.35">
      <c r="B94" s="82" t="s">
        <v>49</v>
      </c>
      <c r="C94" s="83">
        <f>SUM(C90:C93)</f>
        <v>51060</v>
      </c>
      <c r="D94" s="2"/>
      <c r="H94" s="51"/>
    </row>
    <row r="95" spans="1:9" x14ac:dyDescent="0.3">
      <c r="C95" s="2"/>
      <c r="D95" s="2"/>
      <c r="H95" s="51"/>
    </row>
    <row r="96" spans="1:9" ht="14.5" thickBot="1" x14ac:dyDescent="0.35">
      <c r="B96" s="82" t="s">
        <v>50</v>
      </c>
      <c r="C96" s="83">
        <f>E67</f>
        <v>0</v>
      </c>
      <c r="D96" s="2"/>
      <c r="H96" s="51"/>
    </row>
    <row r="97" spans="1:8" x14ac:dyDescent="0.3">
      <c r="C97" s="2"/>
      <c r="D97" s="2"/>
      <c r="H97" s="51"/>
    </row>
    <row r="98" spans="1:8" ht="14.5" thickBot="1" x14ac:dyDescent="0.35">
      <c r="B98" s="84" t="s">
        <v>42</v>
      </c>
      <c r="C98" s="85">
        <f>C94-C96</f>
        <v>51060</v>
      </c>
      <c r="D98" s="2"/>
      <c r="H98" s="51"/>
    </row>
    <row r="99" spans="1:8" x14ac:dyDescent="0.3">
      <c r="C99" s="2"/>
      <c r="D99" s="2"/>
      <c r="H99" s="51"/>
    </row>
    <row r="100" spans="1:8" ht="14.5" thickBot="1" x14ac:dyDescent="0.35">
      <c r="A100" s="5" t="s">
        <v>34</v>
      </c>
      <c r="C100" s="2"/>
      <c r="D100" s="2"/>
      <c r="H100" s="51"/>
    </row>
    <row r="101" spans="1:8" x14ac:dyDescent="0.3">
      <c r="C101" s="2"/>
      <c r="D101" s="2"/>
      <c r="E101" s="91" t="s">
        <v>142</v>
      </c>
      <c r="F101" s="117"/>
      <c r="H101" s="51"/>
    </row>
    <row r="102" spans="1:8" x14ac:dyDescent="0.3">
      <c r="B102" s="80" t="s">
        <v>29</v>
      </c>
      <c r="C102" s="81">
        <f>SUM(C103:C106)</f>
        <v>0</v>
      </c>
      <c r="D102" s="2"/>
      <c r="E102" s="98" t="s">
        <v>169</v>
      </c>
      <c r="F102" s="133"/>
      <c r="H102" s="51"/>
    </row>
    <row r="103" spans="1:8" ht="14.5" x14ac:dyDescent="0.35">
      <c r="B103" s="13" t="s">
        <v>139</v>
      </c>
      <c r="C103" s="47"/>
      <c r="D103" s="2"/>
      <c r="E103" s="98" t="s">
        <v>170</v>
      </c>
      <c r="F103" s="133"/>
      <c r="H103" s="57" t="s">
        <v>173</v>
      </c>
    </row>
    <row r="104" spans="1:8" ht="14.5" x14ac:dyDescent="0.35">
      <c r="B104" s="13" t="s">
        <v>140</v>
      </c>
      <c r="C104" s="47"/>
      <c r="D104" s="2"/>
      <c r="E104" s="98" t="s">
        <v>171</v>
      </c>
      <c r="F104" s="133"/>
      <c r="H104" s="51"/>
    </row>
    <row r="105" spans="1:8" ht="15" thickBot="1" x14ac:dyDescent="0.4">
      <c r="B105" s="13" t="s">
        <v>141</v>
      </c>
      <c r="C105" s="47"/>
      <c r="D105" s="2"/>
      <c r="E105" s="100" t="s">
        <v>172</v>
      </c>
      <c r="F105" s="134"/>
      <c r="H105" s="51"/>
    </row>
    <row r="106" spans="1:8" ht="14.5" x14ac:dyDescent="0.35">
      <c r="B106" s="13" t="s">
        <v>142</v>
      </c>
      <c r="C106" s="47"/>
      <c r="D106" s="2"/>
      <c r="H106" s="51"/>
    </row>
    <row r="107" spans="1:8" x14ac:dyDescent="0.3">
      <c r="C107" s="2"/>
      <c r="D107" s="2"/>
      <c r="H107" s="51"/>
    </row>
    <row r="108" spans="1:8" x14ac:dyDescent="0.3">
      <c r="B108" s="80" t="s">
        <v>30</v>
      </c>
      <c r="C108" s="81">
        <f>SUM(C109:C111)</f>
        <v>0</v>
      </c>
      <c r="D108" s="2"/>
      <c r="H108" s="51"/>
    </row>
    <row r="109" spans="1:8" ht="14.5" x14ac:dyDescent="0.35">
      <c r="B109" s="78" t="s">
        <v>143</v>
      </c>
      <c r="C109" s="47"/>
      <c r="D109" s="2"/>
      <c r="H109" s="51"/>
    </row>
    <row r="110" spans="1:8" ht="14.5" x14ac:dyDescent="0.35">
      <c r="B110" s="13" t="s">
        <v>144</v>
      </c>
      <c r="C110" s="38"/>
      <c r="D110" s="2"/>
      <c r="H110" s="51"/>
    </row>
    <row r="111" spans="1:8" ht="14.5" x14ac:dyDescent="0.35">
      <c r="B111" s="13" t="s">
        <v>145</v>
      </c>
      <c r="C111" s="38"/>
      <c r="D111" s="2"/>
      <c r="H111" s="57" t="s">
        <v>146</v>
      </c>
    </row>
    <row r="112" spans="1:8" x14ac:dyDescent="0.3">
      <c r="C112" s="38"/>
      <c r="D112" s="2"/>
      <c r="H112" s="51"/>
    </row>
    <row r="113" spans="2:25" ht="14.5" thickBot="1" x14ac:dyDescent="0.35">
      <c r="B113" s="82" t="s">
        <v>37</v>
      </c>
      <c r="C113" s="83">
        <f>C102+C108</f>
        <v>0</v>
      </c>
      <c r="D113" s="2"/>
      <c r="H113" s="51"/>
    </row>
    <row r="114" spans="2:25" x14ac:dyDescent="0.3">
      <c r="C114" s="2"/>
      <c r="D114" s="2"/>
      <c r="H114" s="51"/>
    </row>
    <row r="115" spans="2:25" ht="14.5" x14ac:dyDescent="0.35">
      <c r="B115" t="s">
        <v>45</v>
      </c>
      <c r="C115" s="2">
        <f>C93</f>
        <v>5000</v>
      </c>
      <c r="D115" s="2"/>
      <c r="H115" s="57" t="s">
        <v>164</v>
      </c>
    </row>
    <row r="116" spans="2:25" x14ac:dyDescent="0.3">
      <c r="B116" t="s">
        <v>16</v>
      </c>
      <c r="C116" s="38"/>
      <c r="D116" s="2"/>
      <c r="H116" s="51"/>
    </row>
    <row r="117" spans="2:25" ht="14.5" thickBot="1" x14ac:dyDescent="0.35">
      <c r="B117" s="82" t="s">
        <v>51</v>
      </c>
      <c r="C117" s="83">
        <f>C115+C116</f>
        <v>5000</v>
      </c>
      <c r="D117" s="2"/>
      <c r="H117" s="51"/>
    </row>
    <row r="118" spans="2:25" x14ac:dyDescent="0.3">
      <c r="C118" s="2"/>
      <c r="D118" s="2"/>
      <c r="H118" s="51"/>
    </row>
    <row r="119" spans="2:25" ht="15" thickBot="1" x14ac:dyDescent="0.4">
      <c r="B119" s="84" t="s">
        <v>52</v>
      </c>
      <c r="C119" s="85">
        <f>C113+C117</f>
        <v>5000</v>
      </c>
      <c r="D119" s="2">
        <f>C119-C98</f>
        <v>-46060</v>
      </c>
      <c r="E119" s="48"/>
      <c r="H119" s="57" t="s">
        <v>76</v>
      </c>
    </row>
    <row r="120" spans="2:25" x14ac:dyDescent="0.3">
      <c r="C120" s="1"/>
      <c r="H120" s="51"/>
    </row>
    <row r="122" spans="2:25" x14ac:dyDescent="0.3">
      <c r="B122" s="49" t="s">
        <v>96</v>
      </c>
      <c r="C122" s="50"/>
      <c r="D122" s="50"/>
      <c r="E122" s="50"/>
      <c r="F122" s="50"/>
      <c r="G122" s="50"/>
      <c r="H122" s="52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2:25" x14ac:dyDescent="0.3">
      <c r="H123" s="51"/>
    </row>
    <row r="124" spans="2:25" x14ac:dyDescent="0.3">
      <c r="C124" s="5">
        <v>0</v>
      </c>
      <c r="D124" s="58">
        <v>1</v>
      </c>
      <c r="E124" s="59">
        <v>2</v>
      </c>
      <c r="F124" s="5">
        <v>3</v>
      </c>
      <c r="G124" s="16" t="s">
        <v>189</v>
      </c>
      <c r="H124" s="51"/>
      <c r="J124" s="5">
        <v>0</v>
      </c>
      <c r="K124" s="5">
        <v>1</v>
      </c>
      <c r="L124" s="5">
        <v>2</v>
      </c>
      <c r="M124" s="5">
        <v>3</v>
      </c>
    </row>
    <row r="125" spans="2:25" ht="14.5" thickBot="1" x14ac:dyDescent="0.35">
      <c r="B125" s="45" t="s">
        <v>79</v>
      </c>
      <c r="D125" s="60"/>
      <c r="E125" s="61"/>
      <c r="G125" s="16"/>
      <c r="H125" s="51"/>
      <c r="I125" s="45" t="s">
        <v>80</v>
      </c>
    </row>
    <row r="126" spans="2:25" ht="14.5" thickBot="1" x14ac:dyDescent="0.35">
      <c r="B126" t="s">
        <v>65</v>
      </c>
      <c r="C126" s="2"/>
      <c r="D126" s="62">
        <f>C27-D28-D29</f>
        <v>792</v>
      </c>
      <c r="E126" s="61"/>
      <c r="G126" s="16"/>
      <c r="H126" s="51"/>
      <c r="I126" t="s">
        <v>81</v>
      </c>
      <c r="J126" s="2"/>
      <c r="K126" s="69">
        <f>D126</f>
        <v>792</v>
      </c>
      <c r="L126" s="2">
        <f t="shared" ref="L126" si="10">K126-L127-L128</f>
        <v>705.67200000000003</v>
      </c>
      <c r="M126" s="2">
        <v>0</v>
      </c>
    </row>
    <row r="127" spans="2:25" x14ac:dyDescent="0.3">
      <c r="B127" t="s">
        <v>68</v>
      </c>
      <c r="D127" s="67"/>
      <c r="E127" s="103">
        <f>L28*IF($C$4=F3,1+D4,1)</f>
        <v>7.92</v>
      </c>
      <c r="G127" s="110">
        <f>E127-L28</f>
        <v>0</v>
      </c>
      <c r="H127" s="51"/>
      <c r="I127" t="s">
        <v>82</v>
      </c>
      <c r="K127" s="3"/>
      <c r="L127" s="56">
        <f>E127</f>
        <v>7.92</v>
      </c>
      <c r="M127" s="3">
        <f>L126*M145</f>
        <v>7.0567200000000003</v>
      </c>
    </row>
    <row r="128" spans="2:25" x14ac:dyDescent="0.3">
      <c r="B128" t="s">
        <v>71</v>
      </c>
      <c r="D128" s="67"/>
      <c r="E128" s="103">
        <f>L29*IF($C$4=F4,1+D4,1)</f>
        <v>78.408000000000015</v>
      </c>
      <c r="G128" s="110">
        <f>E128-L29</f>
        <v>0</v>
      </c>
      <c r="H128" s="51"/>
      <c r="I128" t="s">
        <v>83</v>
      </c>
      <c r="K128" s="3"/>
      <c r="L128" s="56">
        <f>E128</f>
        <v>78.408000000000015</v>
      </c>
      <c r="M128" s="3">
        <f>(L126-M127)*M146</f>
        <v>0</v>
      </c>
    </row>
    <row r="129" spans="2:14" x14ac:dyDescent="0.3">
      <c r="B129" t="s">
        <v>77</v>
      </c>
      <c r="C129" s="2"/>
      <c r="D129" s="62">
        <f>D126*D12</f>
        <v>79200</v>
      </c>
      <c r="E129" s="61"/>
      <c r="H129" s="51"/>
      <c r="I129" t="s">
        <v>84</v>
      </c>
      <c r="J129" s="2"/>
      <c r="K129" s="2">
        <f>K126*D12</f>
        <v>79200</v>
      </c>
      <c r="L129" s="2">
        <f>L126*E12</f>
        <v>70567.199999999997</v>
      </c>
      <c r="M129" s="2"/>
    </row>
    <row r="130" spans="2:14" x14ac:dyDescent="0.3">
      <c r="B130" t="s">
        <v>125</v>
      </c>
      <c r="C130" s="2"/>
      <c r="D130" s="62"/>
      <c r="E130" s="63">
        <f>E127*C13</f>
        <v>14256</v>
      </c>
      <c r="H130" s="51"/>
      <c r="I130" t="s">
        <v>85</v>
      </c>
      <c r="J130" s="2"/>
      <c r="K130" s="2"/>
      <c r="L130" s="2">
        <f>$C$13*L127</f>
        <v>14256</v>
      </c>
      <c r="M130" s="2">
        <f t="shared" ref="M130" si="11">$C$13*M127</f>
        <v>12702.096000000001</v>
      </c>
    </row>
    <row r="131" spans="2:14" x14ac:dyDescent="0.3">
      <c r="B131" t="s">
        <v>33</v>
      </c>
      <c r="C131" s="2"/>
      <c r="D131" s="62"/>
      <c r="E131" s="64">
        <f>E127*E21</f>
        <v>0</v>
      </c>
      <c r="H131" s="51"/>
      <c r="I131" t="s">
        <v>33</v>
      </c>
      <c r="J131" s="2"/>
      <c r="K131" s="2"/>
      <c r="L131" s="2">
        <f>L127*E21</f>
        <v>0</v>
      </c>
      <c r="M131" s="2">
        <f>M127*F21</f>
        <v>0</v>
      </c>
    </row>
    <row r="132" spans="2:14" x14ac:dyDescent="0.3">
      <c r="C132" s="2"/>
      <c r="D132" s="62"/>
      <c r="E132" s="64"/>
      <c r="H132" s="51"/>
      <c r="J132" s="2"/>
      <c r="K132" s="2"/>
      <c r="L132" s="2"/>
      <c r="M132" s="2"/>
    </row>
    <row r="133" spans="2:14" x14ac:dyDescent="0.3">
      <c r="B133" t="s">
        <v>126</v>
      </c>
      <c r="C133" s="2"/>
      <c r="D133" s="62"/>
      <c r="E133" s="64">
        <f>E128*E16</f>
        <v>7840.8000000000011</v>
      </c>
      <c r="H133" s="51"/>
      <c r="I133" t="s">
        <v>127</v>
      </c>
      <c r="J133" s="2"/>
      <c r="K133" s="2"/>
      <c r="L133" s="2">
        <f>L128*E16</f>
        <v>7840.8000000000011</v>
      </c>
      <c r="M133" s="2">
        <f>M128*F16</f>
        <v>0</v>
      </c>
    </row>
    <row r="134" spans="2:14" x14ac:dyDescent="0.3">
      <c r="B134" t="s">
        <v>138</v>
      </c>
      <c r="C134" s="2"/>
      <c r="D134" s="62"/>
      <c r="E134" s="64"/>
      <c r="H134" s="51"/>
      <c r="I134" t="s">
        <v>132</v>
      </c>
      <c r="J134" s="2"/>
      <c r="K134" s="2"/>
      <c r="L134" s="2"/>
      <c r="M134" s="2">
        <f>(L126-M127)*$F$17</f>
        <v>146709.20879999999</v>
      </c>
    </row>
    <row r="135" spans="2:14" x14ac:dyDescent="0.3">
      <c r="B135" t="s">
        <v>119</v>
      </c>
      <c r="C135" s="2"/>
      <c r="D135" s="62"/>
      <c r="E135" s="64">
        <f>L135</f>
        <v>0</v>
      </c>
      <c r="H135" s="51"/>
      <c r="I135" t="s">
        <v>121</v>
      </c>
      <c r="J135" s="2"/>
      <c r="K135" s="2">
        <v>0</v>
      </c>
      <c r="L135" s="2">
        <v>0</v>
      </c>
      <c r="M135" s="2">
        <v>0</v>
      </c>
    </row>
    <row r="136" spans="2:14" x14ac:dyDescent="0.3">
      <c r="B136" t="s">
        <v>120</v>
      </c>
      <c r="C136" s="2"/>
      <c r="D136" s="62"/>
      <c r="E136" s="64">
        <f>L136</f>
        <v>7920</v>
      </c>
      <c r="H136" s="51"/>
      <c r="I136" t="s">
        <v>122</v>
      </c>
      <c r="J136" s="2"/>
      <c r="K136" s="2"/>
      <c r="L136" s="2">
        <f>K129*D19</f>
        <v>7920</v>
      </c>
      <c r="M136" s="2">
        <f>L129*E19</f>
        <v>7056.72</v>
      </c>
    </row>
    <row r="137" spans="2:14" x14ac:dyDescent="0.3">
      <c r="C137" s="2"/>
      <c r="D137" s="62"/>
      <c r="E137" s="61"/>
      <c r="H137" s="51"/>
      <c r="J137" s="2"/>
      <c r="K137" s="2"/>
      <c r="L137" s="2"/>
      <c r="M137" s="2"/>
    </row>
    <row r="138" spans="2:14" ht="14.5" thickBot="1" x14ac:dyDescent="0.35">
      <c r="C138" s="2"/>
      <c r="D138" s="62"/>
      <c r="E138" s="61"/>
      <c r="H138" s="51"/>
      <c r="I138" s="21" t="s">
        <v>128</v>
      </c>
      <c r="J138" s="22">
        <f>J129</f>
        <v>0</v>
      </c>
      <c r="K138" s="22">
        <f t="shared" ref="K138:M138" si="12">K129</f>
        <v>79200</v>
      </c>
      <c r="L138" s="22">
        <f t="shared" si="12"/>
        <v>70567.199999999997</v>
      </c>
      <c r="M138" s="22">
        <f t="shared" si="12"/>
        <v>0</v>
      </c>
    </row>
    <row r="139" spans="2:14" ht="14.5" thickBot="1" x14ac:dyDescent="0.35">
      <c r="C139" s="2"/>
      <c r="D139" s="62"/>
      <c r="E139" s="61"/>
      <c r="H139" s="51"/>
      <c r="I139" s="21" t="s">
        <v>129</v>
      </c>
      <c r="J139" s="22">
        <f>J130+SUM(J133:J136)</f>
        <v>0</v>
      </c>
      <c r="K139" s="22">
        <f t="shared" ref="K139:M139" si="13">K130+SUM(K133:K136)</f>
        <v>0</v>
      </c>
      <c r="L139" s="22">
        <f t="shared" si="13"/>
        <v>30016.800000000003</v>
      </c>
      <c r="M139" s="22">
        <f t="shared" si="13"/>
        <v>166468.02479999998</v>
      </c>
    </row>
    <row r="140" spans="2:14" x14ac:dyDescent="0.3">
      <c r="C140" s="2"/>
      <c r="D140" s="62"/>
      <c r="E140" s="61"/>
      <c r="H140" s="51"/>
      <c r="J140" s="2"/>
      <c r="K140" s="2"/>
      <c r="L140" s="2"/>
      <c r="M140" s="2"/>
    </row>
    <row r="141" spans="2:14" ht="14.5" x14ac:dyDescent="0.35">
      <c r="B141" t="s">
        <v>91</v>
      </c>
      <c r="D141" s="65">
        <f>C42</f>
        <v>0.05</v>
      </c>
      <c r="E141" s="68"/>
      <c r="H141" s="51"/>
      <c r="I141" t="s">
        <v>0</v>
      </c>
      <c r="J141" s="2"/>
      <c r="K141" s="2"/>
      <c r="L141" s="2">
        <f>L42</f>
        <v>3170.8195199999996</v>
      </c>
      <c r="M141" s="2">
        <f>M42</f>
        <v>0</v>
      </c>
      <c r="N141" s="30" t="s">
        <v>187</v>
      </c>
    </row>
    <row r="142" spans="2:14" x14ac:dyDescent="0.3">
      <c r="H142" s="51"/>
    </row>
    <row r="143" spans="2:14" ht="14.5" x14ac:dyDescent="0.35">
      <c r="H143" s="51"/>
      <c r="I143" s="30" t="s">
        <v>89</v>
      </c>
    </row>
    <row r="144" spans="2:14" x14ac:dyDescent="0.3">
      <c r="H144" s="51"/>
    </row>
    <row r="145" spans="1:25" x14ac:dyDescent="0.3">
      <c r="H145" s="51"/>
      <c r="I145" t="s">
        <v>67</v>
      </c>
      <c r="K145" s="31"/>
      <c r="L145" s="31">
        <f t="shared" ref="L145:M146" si="14">L46</f>
        <v>0.01</v>
      </c>
      <c r="M145" s="104">
        <f>M46*IF($C$4=F5,1+G5,1)</f>
        <v>0.01</v>
      </c>
    </row>
    <row r="146" spans="1:25" x14ac:dyDescent="0.3">
      <c r="H146" s="51"/>
      <c r="I146" t="s">
        <v>69</v>
      </c>
      <c r="K146" s="1"/>
      <c r="L146" s="1">
        <f t="shared" si="14"/>
        <v>0.1</v>
      </c>
      <c r="M146" s="1">
        <f t="shared" si="14"/>
        <v>0</v>
      </c>
    </row>
    <row r="147" spans="1:25" x14ac:dyDescent="0.3">
      <c r="H147" s="51"/>
      <c r="K147" s="1"/>
      <c r="L147" s="1"/>
      <c r="M147" s="1"/>
    </row>
    <row r="148" spans="1:25" x14ac:dyDescent="0.3">
      <c r="H148" s="51"/>
      <c r="I148" t="s">
        <v>86</v>
      </c>
      <c r="J148" s="104">
        <f>J49+IF(C4=F6,D4,0)</f>
        <v>0.05</v>
      </c>
      <c r="K148" s="1"/>
      <c r="L148" s="1"/>
      <c r="M148" s="1"/>
    </row>
    <row r="149" spans="1:25" x14ac:dyDescent="0.3">
      <c r="H149" s="51"/>
    </row>
    <row r="150" spans="1:25" x14ac:dyDescent="0.3">
      <c r="B150" s="35" t="s">
        <v>97</v>
      </c>
      <c r="C150" s="36"/>
      <c r="D150" s="36"/>
      <c r="E150" s="36"/>
      <c r="F150" s="36"/>
      <c r="G150" s="36"/>
      <c r="H150" s="52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x14ac:dyDescent="0.3">
      <c r="H151" s="51"/>
      <c r="I151" s="5" t="s">
        <v>205</v>
      </c>
    </row>
    <row r="152" spans="1:25" ht="14.5" thickBot="1" x14ac:dyDescent="0.35">
      <c r="A152" s="5" t="s">
        <v>26</v>
      </c>
      <c r="H152" s="51"/>
    </row>
    <row r="153" spans="1:25" ht="42" x14ac:dyDescent="0.3">
      <c r="C153" s="4" t="s">
        <v>23</v>
      </c>
      <c r="D153" s="4" t="s">
        <v>9</v>
      </c>
      <c r="E153" s="4" t="s">
        <v>24</v>
      </c>
      <c r="F153" s="23" t="s">
        <v>11</v>
      </c>
      <c r="G153" s="4" t="s">
        <v>12</v>
      </c>
      <c r="H153" s="55"/>
    </row>
    <row r="154" spans="1:25" x14ac:dyDescent="0.3">
      <c r="B154" t="s">
        <v>1</v>
      </c>
      <c r="C154" s="10">
        <f>C57</f>
        <v>0</v>
      </c>
      <c r="D154" s="10">
        <f t="shared" ref="D154:E154" si="15">D57</f>
        <v>0</v>
      </c>
      <c r="E154" s="10">
        <f t="shared" si="15"/>
        <v>0</v>
      </c>
      <c r="F154" s="24">
        <f>L138+NPV($J$148,M138:O138)</f>
        <v>70567.199999999997</v>
      </c>
      <c r="G154" s="2">
        <f>M129+NPV($J$148,N129:P129)</f>
        <v>0</v>
      </c>
      <c r="H154" s="53"/>
    </row>
    <row r="155" spans="1:25" x14ac:dyDescent="0.3">
      <c r="B155" t="s">
        <v>2</v>
      </c>
      <c r="C155" s="10">
        <f t="shared" ref="C155:E155" si="16">C58</f>
        <v>0</v>
      </c>
      <c r="D155" s="10">
        <f t="shared" si="16"/>
        <v>0</v>
      </c>
      <c r="E155" s="10">
        <f t="shared" si="16"/>
        <v>0</v>
      </c>
      <c r="F155" s="24">
        <f>-NPV($J$148,M139)</f>
        <v>-158540.97599999997</v>
      </c>
      <c r="G155" s="2">
        <f>-NPV($J$148,N130)</f>
        <v>0</v>
      </c>
      <c r="H155" s="53"/>
    </row>
    <row r="156" spans="1:25" x14ac:dyDescent="0.3">
      <c r="B156" t="s">
        <v>4</v>
      </c>
      <c r="C156" s="11">
        <f t="shared" ref="C156:E156" si="17">C59</f>
        <v>0</v>
      </c>
      <c r="D156" s="11">
        <f t="shared" si="17"/>
        <v>0</v>
      </c>
      <c r="E156" s="11">
        <f t="shared" si="17"/>
        <v>0</v>
      </c>
      <c r="F156" s="25">
        <f t="shared" ref="F156:G156" si="18">-(F154+F155)</f>
        <v>87973.775999999969</v>
      </c>
      <c r="G156" s="6">
        <f t="shared" si="18"/>
        <v>0</v>
      </c>
      <c r="H156" s="53"/>
    </row>
    <row r="157" spans="1:25" x14ac:dyDescent="0.3">
      <c r="C157" s="7"/>
      <c r="D157" s="7"/>
      <c r="E157" s="7"/>
      <c r="F157" s="24"/>
      <c r="G157" s="7"/>
      <c r="H157" s="53"/>
    </row>
    <row r="158" spans="1:25" x14ac:dyDescent="0.3">
      <c r="B158" t="s">
        <v>0</v>
      </c>
      <c r="C158" s="10">
        <f>C61</f>
        <v>0</v>
      </c>
      <c r="D158" s="10">
        <f>D61</f>
        <v>0</v>
      </c>
      <c r="E158" s="10">
        <f>E61</f>
        <v>0</v>
      </c>
      <c r="F158" s="24">
        <f>L141</f>
        <v>3170.8195199999996</v>
      </c>
      <c r="G158" s="2">
        <f>M141</f>
        <v>0</v>
      </c>
      <c r="H158" s="53"/>
    </row>
    <row r="159" spans="1:25" x14ac:dyDescent="0.3">
      <c r="C159" s="2"/>
      <c r="D159" s="2"/>
      <c r="E159" s="2"/>
      <c r="F159" s="24"/>
      <c r="G159" s="2"/>
      <c r="H159" s="53"/>
    </row>
    <row r="160" spans="1:25" ht="14.5" thickBot="1" x14ac:dyDescent="0.35">
      <c r="B160" t="s">
        <v>13</v>
      </c>
      <c r="C160" s="12">
        <f>C63</f>
        <v>0</v>
      </c>
      <c r="D160" s="12">
        <f>D63</f>
        <v>0</v>
      </c>
      <c r="E160" s="12">
        <f>E63</f>
        <v>0</v>
      </c>
      <c r="F160" s="26">
        <f t="shared" ref="F160:G160" si="19">F158+F156</f>
        <v>91144.595519999973</v>
      </c>
      <c r="G160" s="8">
        <f t="shared" si="19"/>
        <v>0</v>
      </c>
      <c r="H160" s="53"/>
    </row>
    <row r="161" spans="2:8" ht="14.5" thickTop="1" x14ac:dyDescent="0.3">
      <c r="C161" s="2"/>
      <c r="D161" s="2"/>
      <c r="E161" s="2"/>
      <c r="F161" s="24"/>
      <c r="G161" s="2"/>
      <c r="H161" s="53"/>
    </row>
    <row r="162" spans="2:8" x14ac:dyDescent="0.3">
      <c r="B162" t="s">
        <v>5</v>
      </c>
      <c r="C162" s="11">
        <f>C65</f>
        <v>0</v>
      </c>
      <c r="D162" s="11">
        <f>D65</f>
        <v>0</v>
      </c>
      <c r="E162" s="11">
        <f>E65</f>
        <v>0</v>
      </c>
      <c r="F162" s="25">
        <f>C176</f>
        <v>0</v>
      </c>
      <c r="G162" s="9"/>
      <c r="H162" s="53"/>
    </row>
    <row r="163" spans="2:8" x14ac:dyDescent="0.3">
      <c r="C163" s="2"/>
      <c r="D163" s="2"/>
      <c r="E163" s="2"/>
      <c r="F163" s="24"/>
      <c r="G163" s="2"/>
      <c r="H163" s="53"/>
    </row>
    <row r="164" spans="2:8" ht="14.5" thickBot="1" x14ac:dyDescent="0.35">
      <c r="B164" t="s">
        <v>6</v>
      </c>
      <c r="C164" s="12">
        <f>C67</f>
        <v>0</v>
      </c>
      <c r="D164" s="12">
        <f>D67</f>
        <v>0</v>
      </c>
      <c r="E164" s="12">
        <f>E67</f>
        <v>0</v>
      </c>
      <c r="F164" s="26">
        <f>F162+F158+F156</f>
        <v>91144.595519999973</v>
      </c>
      <c r="G164" s="8">
        <f>G162+G158+G156</f>
        <v>0</v>
      </c>
      <c r="H164" s="53"/>
    </row>
    <row r="165" spans="2:8" ht="14.5" thickTop="1" x14ac:dyDescent="0.3">
      <c r="C165" s="2"/>
      <c r="D165" s="2"/>
      <c r="E165" s="2"/>
      <c r="F165" s="24"/>
      <c r="G165" s="2"/>
      <c r="H165" s="53"/>
    </row>
    <row r="166" spans="2:8" ht="14.5" thickBot="1" x14ac:dyDescent="0.35">
      <c r="B166" t="s">
        <v>7</v>
      </c>
      <c r="C166" s="6">
        <f>MAX(C158+C156,0)</f>
        <v>0</v>
      </c>
      <c r="D166" s="9"/>
      <c r="E166" s="9"/>
      <c r="F166" s="28"/>
      <c r="G166" s="9"/>
      <c r="H166" s="53"/>
    </row>
    <row r="167" spans="2:8" x14ac:dyDescent="0.3">
      <c r="H167" s="51"/>
    </row>
    <row r="168" spans="2:8" x14ac:dyDescent="0.3">
      <c r="H168" s="51"/>
    </row>
    <row r="169" spans="2:8" x14ac:dyDescent="0.3">
      <c r="C169" s="5" t="s">
        <v>27</v>
      </c>
      <c r="H169" s="51"/>
    </row>
    <row r="170" spans="2:8" ht="14.5" thickBot="1" x14ac:dyDescent="0.35">
      <c r="C170" s="5"/>
      <c r="H170" s="51"/>
    </row>
    <row r="171" spans="2:8" x14ac:dyDescent="0.3">
      <c r="B171" t="s">
        <v>18</v>
      </c>
      <c r="C171" s="38"/>
      <c r="D171" s="3"/>
      <c r="E171" s="91" t="s">
        <v>63</v>
      </c>
      <c r="F171" s="120"/>
      <c r="G171" s="97"/>
      <c r="H171" s="51"/>
    </row>
    <row r="172" spans="2:8" ht="28" x14ac:dyDescent="0.3">
      <c r="B172" t="s">
        <v>20</v>
      </c>
      <c r="C172" s="38"/>
      <c r="E172" s="98"/>
      <c r="F172" s="121" t="s">
        <v>64</v>
      </c>
      <c r="G172" s="122" t="s">
        <v>74</v>
      </c>
      <c r="H172" s="51"/>
    </row>
    <row r="173" spans="2:8" x14ac:dyDescent="0.3">
      <c r="B173" t="s">
        <v>190</v>
      </c>
      <c r="C173" s="38"/>
      <c r="D173" s="2"/>
      <c r="E173" s="98" t="s">
        <v>11</v>
      </c>
      <c r="F173" s="128">
        <f>$C$13*K126</f>
        <v>1425600</v>
      </c>
      <c r="G173" s="123">
        <f>F173/SUM(F173:$F$176)</f>
        <v>0.52882072977260708</v>
      </c>
      <c r="H173" s="106"/>
    </row>
    <row r="174" spans="2:8" x14ac:dyDescent="0.3">
      <c r="B174" t="s">
        <v>15</v>
      </c>
      <c r="C174" s="3">
        <f>SUM(F180:F183)</f>
        <v>0</v>
      </c>
      <c r="D174" s="3"/>
      <c r="E174" s="98" t="s">
        <v>12</v>
      </c>
      <c r="F174" s="128">
        <f>$C$13*L126</f>
        <v>1270209.6000000001</v>
      </c>
      <c r="G174" s="123">
        <f>F174/SUM(F174:$F$176)</f>
        <v>1</v>
      </c>
      <c r="H174" s="53"/>
    </row>
    <row r="175" spans="2:8" ht="14.5" thickBot="1" x14ac:dyDescent="0.35">
      <c r="B175" t="s">
        <v>21</v>
      </c>
      <c r="C175" s="38"/>
      <c r="E175" s="100" t="s">
        <v>73</v>
      </c>
      <c r="F175" s="129">
        <f>$C$13*E87</f>
        <v>0</v>
      </c>
      <c r="G175" s="125">
        <v>0</v>
      </c>
      <c r="H175" s="51"/>
    </row>
    <row r="176" spans="2:8" ht="14.5" thickBot="1" x14ac:dyDescent="0.35">
      <c r="B176" t="s">
        <v>22</v>
      </c>
      <c r="C176" s="8">
        <f>SUM(C171:C175)</f>
        <v>0</v>
      </c>
      <c r="H176" s="51"/>
    </row>
    <row r="177" spans="1:8" ht="15" thickTop="1" x14ac:dyDescent="0.35">
      <c r="E177" s="107" t="s">
        <v>188</v>
      </c>
      <c r="F177" s="108">
        <f>-(L126-L27)/L27*F59</f>
        <v>0</v>
      </c>
      <c r="G177" s="109"/>
      <c r="H177" s="51"/>
    </row>
    <row r="178" spans="1:8" ht="14.5" thickBot="1" x14ac:dyDescent="0.35">
      <c r="A178" s="5" t="s">
        <v>53</v>
      </c>
      <c r="E178" s="105"/>
      <c r="H178" s="51"/>
    </row>
    <row r="179" spans="1:8" x14ac:dyDescent="0.3">
      <c r="E179" s="91" t="s">
        <v>191</v>
      </c>
      <c r="F179" s="97"/>
      <c r="H179" s="51"/>
    </row>
    <row r="180" spans="1:8" x14ac:dyDescent="0.3">
      <c r="B180" s="80" t="s">
        <v>46</v>
      </c>
      <c r="C180" s="81">
        <f>(C94-C119)</f>
        <v>46060</v>
      </c>
      <c r="E180" s="98" t="s">
        <v>192</v>
      </c>
      <c r="F180" s="133"/>
      <c r="H180" s="51"/>
    </row>
    <row r="181" spans="1:8" x14ac:dyDescent="0.3">
      <c r="B181" t="s">
        <v>47</v>
      </c>
      <c r="C181" s="2">
        <f>D129</f>
        <v>79200</v>
      </c>
      <c r="E181" s="98" t="s">
        <v>193</v>
      </c>
      <c r="F181" s="133"/>
      <c r="H181" s="51"/>
    </row>
    <row r="182" spans="1:8" x14ac:dyDescent="0.3">
      <c r="B182" t="s">
        <v>48</v>
      </c>
      <c r="C182" s="2">
        <f>-E130-SUM(E133:E136)</f>
        <v>-30016.800000000003</v>
      </c>
      <c r="E182" s="98" t="s">
        <v>194</v>
      </c>
      <c r="F182" s="133"/>
      <c r="H182" s="51"/>
    </row>
    <row r="183" spans="1:8" ht="29.5" thickBot="1" x14ac:dyDescent="0.4">
      <c r="B183" t="s">
        <v>38</v>
      </c>
      <c r="C183" s="2">
        <f>SUM(C180:C181)*D141</f>
        <v>6263</v>
      </c>
      <c r="E183" s="100" t="s">
        <v>195</v>
      </c>
      <c r="F183" s="134"/>
      <c r="G183" s="2"/>
      <c r="H183" s="116" t="s">
        <v>197</v>
      </c>
    </row>
    <row r="184" spans="1:8" ht="14.5" thickBot="1" x14ac:dyDescent="0.35">
      <c r="B184" s="82" t="s">
        <v>49</v>
      </c>
      <c r="C184" s="83">
        <f>SUM(C180:C183)</f>
        <v>101506.2</v>
      </c>
      <c r="H184" s="51"/>
    </row>
    <row r="185" spans="1:8" x14ac:dyDescent="0.3">
      <c r="C185" s="2"/>
      <c r="H185" s="51"/>
    </row>
    <row r="186" spans="1:8" ht="14.5" thickBot="1" x14ac:dyDescent="0.35">
      <c r="B186" s="82" t="s">
        <v>50</v>
      </c>
      <c r="C186" s="83">
        <f>F164</f>
        <v>91144.595519999973</v>
      </c>
      <c r="H186" s="51"/>
    </row>
    <row r="187" spans="1:8" x14ac:dyDescent="0.3">
      <c r="C187" s="2"/>
      <c r="H187" s="51"/>
    </row>
    <row r="188" spans="1:8" ht="14.5" thickBot="1" x14ac:dyDescent="0.35">
      <c r="B188" s="84" t="s">
        <v>42</v>
      </c>
      <c r="C188" s="85">
        <f>C184-C186</f>
        <v>10361.604480000024</v>
      </c>
      <c r="H188" s="51"/>
    </row>
    <row r="189" spans="1:8" x14ac:dyDescent="0.3">
      <c r="H189" s="51"/>
    </row>
    <row r="190" spans="1:8" ht="14.5" thickBot="1" x14ac:dyDescent="0.35">
      <c r="A190" s="5" t="s">
        <v>28</v>
      </c>
      <c r="H190" s="51"/>
    </row>
    <row r="191" spans="1:8" x14ac:dyDescent="0.3">
      <c r="E191" s="91" t="s">
        <v>142</v>
      </c>
      <c r="F191" s="117"/>
      <c r="G191" s="115" t="s">
        <v>196</v>
      </c>
      <c r="H191" s="51"/>
    </row>
    <row r="192" spans="1:8" ht="14.5" x14ac:dyDescent="0.35">
      <c r="B192" s="80" t="s">
        <v>29</v>
      </c>
      <c r="C192" s="81">
        <f>SUM(C193:C196)</f>
        <v>22776.335999999999</v>
      </c>
      <c r="E192" s="98" t="s">
        <v>169</v>
      </c>
      <c r="F192" s="118">
        <f>F105</f>
        <v>0</v>
      </c>
      <c r="G192" s="111">
        <f>C192-J192</f>
        <v>22776.335999999999</v>
      </c>
      <c r="H192" s="51"/>
    </row>
    <row r="193" spans="2:8" ht="14.5" x14ac:dyDescent="0.35">
      <c r="B193" s="13" t="s">
        <v>139</v>
      </c>
      <c r="C193" s="14">
        <f>L31+L37-L32</f>
        <v>22176</v>
      </c>
      <c r="E193" s="98" t="s">
        <v>170</v>
      </c>
      <c r="F193" s="118">
        <f>F192*$J$49</f>
        <v>0</v>
      </c>
      <c r="G193" s="112">
        <f t="shared" ref="G193:G196" si="20">C193-J193</f>
        <v>22176</v>
      </c>
      <c r="H193" s="51"/>
    </row>
    <row r="194" spans="2:8" ht="14.5" x14ac:dyDescent="0.35">
      <c r="B194" s="13" t="s">
        <v>140</v>
      </c>
      <c r="C194" s="14">
        <f>-D76</f>
        <v>600.33599999999888</v>
      </c>
      <c r="E194" s="98" t="s">
        <v>171</v>
      </c>
      <c r="F194" s="118">
        <f>SUM(F192:F193)*G173</f>
        <v>0</v>
      </c>
      <c r="G194" s="112">
        <f t="shared" si="20"/>
        <v>600.33599999999888</v>
      </c>
      <c r="H194" s="51"/>
    </row>
    <row r="195" spans="2:8" ht="15" thickBot="1" x14ac:dyDescent="0.4">
      <c r="B195" s="13" t="s">
        <v>141</v>
      </c>
      <c r="C195" s="14">
        <f>-C175</f>
        <v>0</v>
      </c>
      <c r="E195" s="100" t="s">
        <v>172</v>
      </c>
      <c r="F195" s="119">
        <f>F192+F193-F194</f>
        <v>0</v>
      </c>
      <c r="G195" s="112">
        <f t="shared" si="20"/>
        <v>0</v>
      </c>
      <c r="H195" s="51"/>
    </row>
    <row r="196" spans="2:8" ht="14.5" x14ac:dyDescent="0.35">
      <c r="B196" s="13" t="s">
        <v>142</v>
      </c>
      <c r="C196" s="14">
        <f>F194</f>
        <v>0</v>
      </c>
      <c r="G196" s="112">
        <f t="shared" si="20"/>
        <v>0</v>
      </c>
      <c r="H196" s="51"/>
    </row>
    <row r="197" spans="2:8" x14ac:dyDescent="0.3">
      <c r="C197" s="2"/>
      <c r="G197" s="24"/>
      <c r="H197" s="51"/>
    </row>
    <row r="198" spans="2:8" x14ac:dyDescent="0.3">
      <c r="B198" s="80" t="s">
        <v>30</v>
      </c>
      <c r="C198" s="81">
        <f>SUM(C199:C201)</f>
        <v>-22176</v>
      </c>
      <c r="G198" s="111">
        <f>C198-J198</f>
        <v>-22176</v>
      </c>
      <c r="H198" s="51"/>
    </row>
    <row r="199" spans="2:8" ht="14.5" x14ac:dyDescent="0.35">
      <c r="B199" s="78" t="s">
        <v>143</v>
      </c>
      <c r="C199" s="14">
        <f>-E130-E136+E131</f>
        <v>-22176</v>
      </c>
      <c r="D199" s="3"/>
      <c r="E199" s="105"/>
      <c r="G199" s="112">
        <f t="shared" ref="G199:G201" si="21">C199-J199</f>
        <v>-22176</v>
      </c>
      <c r="H199" s="51"/>
    </row>
    <row r="200" spans="2:8" ht="14.5" x14ac:dyDescent="0.35">
      <c r="B200" s="13" t="s">
        <v>144</v>
      </c>
      <c r="C200" s="2">
        <f>-C196</f>
        <v>0</v>
      </c>
      <c r="G200" s="24">
        <f t="shared" si="21"/>
        <v>0</v>
      </c>
      <c r="H200" s="51"/>
    </row>
    <row r="201" spans="2:8" ht="14.5" x14ac:dyDescent="0.35">
      <c r="B201" s="13" t="s">
        <v>145</v>
      </c>
      <c r="C201" s="14"/>
      <c r="G201" s="112">
        <f t="shared" si="21"/>
        <v>0</v>
      </c>
      <c r="H201" s="57"/>
    </row>
    <row r="202" spans="2:8" x14ac:dyDescent="0.3">
      <c r="C202" s="2"/>
      <c r="G202" s="24"/>
      <c r="H202" s="51"/>
    </row>
    <row r="203" spans="2:8" ht="14.5" thickBot="1" x14ac:dyDescent="0.35">
      <c r="B203" s="82" t="s">
        <v>37</v>
      </c>
      <c r="C203" s="83">
        <f>C192+C198</f>
        <v>600.33599999999933</v>
      </c>
      <c r="G203" s="113">
        <f>C203-J203</f>
        <v>600.33599999999933</v>
      </c>
      <c r="H203" s="51"/>
    </row>
    <row r="204" spans="2:8" x14ac:dyDescent="0.3">
      <c r="C204" s="2"/>
      <c r="G204" s="24"/>
      <c r="H204" s="51"/>
    </row>
    <row r="205" spans="2:8" x14ac:dyDescent="0.3">
      <c r="B205" t="s">
        <v>45</v>
      </c>
      <c r="C205" s="2">
        <f>C183</f>
        <v>6263</v>
      </c>
      <c r="E205" s="5" t="s">
        <v>198</v>
      </c>
      <c r="G205" s="24">
        <f t="shared" ref="G205:G207" si="22">C205-J205</f>
        <v>6263</v>
      </c>
      <c r="H205" s="51"/>
    </row>
    <row r="206" spans="2:8" x14ac:dyDescent="0.3">
      <c r="B206" t="s">
        <v>16</v>
      </c>
      <c r="C206" s="38"/>
      <c r="E206" s="38"/>
      <c r="G206" s="24">
        <f t="shared" si="22"/>
        <v>0</v>
      </c>
      <c r="H206" s="51"/>
    </row>
    <row r="207" spans="2:8" ht="14.5" thickBot="1" x14ac:dyDescent="0.35">
      <c r="B207" s="82" t="s">
        <v>51</v>
      </c>
      <c r="C207" s="83">
        <f>C205+C206</f>
        <v>6263</v>
      </c>
      <c r="E207" s="33"/>
      <c r="G207" s="113">
        <f t="shared" si="22"/>
        <v>6263</v>
      </c>
      <c r="H207" s="51"/>
    </row>
    <row r="208" spans="2:8" x14ac:dyDescent="0.3">
      <c r="C208" s="2"/>
      <c r="G208" s="24"/>
      <c r="H208" s="51"/>
    </row>
    <row r="209" spans="2:25" ht="14.5" thickBot="1" x14ac:dyDescent="0.35">
      <c r="B209" s="84" t="s">
        <v>52</v>
      </c>
      <c r="C209" s="85">
        <f>C203+C207</f>
        <v>6863.3359999999993</v>
      </c>
      <c r="D209" s="3"/>
      <c r="E209" s="48"/>
      <c r="G209" s="114">
        <f>C209-J209</f>
        <v>6863.3359999999993</v>
      </c>
      <c r="H209" s="51"/>
    </row>
    <row r="210" spans="2:25" x14ac:dyDescent="0.3">
      <c r="H210" s="51"/>
    </row>
    <row r="211" spans="2:25" x14ac:dyDescent="0.3">
      <c r="B211" s="49" t="s">
        <v>98</v>
      </c>
      <c r="C211" s="50"/>
      <c r="D211" s="50"/>
      <c r="E211" s="50"/>
      <c r="F211" s="50"/>
      <c r="G211" s="50"/>
      <c r="H211" s="52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2:25" x14ac:dyDescent="0.3">
      <c r="H212" s="51"/>
    </row>
    <row r="213" spans="2:25" x14ac:dyDescent="0.3">
      <c r="C213" s="5">
        <v>0</v>
      </c>
      <c r="D213" s="5">
        <v>1</v>
      </c>
      <c r="E213" s="5">
        <v>2</v>
      </c>
      <c r="F213" s="5">
        <v>3</v>
      </c>
      <c r="H213" s="51"/>
      <c r="J213" s="5">
        <v>0</v>
      </c>
      <c r="K213" s="5">
        <v>1</v>
      </c>
      <c r="L213" s="5">
        <v>2</v>
      </c>
      <c r="M213" s="5">
        <v>3</v>
      </c>
    </row>
    <row r="214" spans="2:25" ht="14.5" thickBot="1" x14ac:dyDescent="0.35">
      <c r="B214" s="45" t="s">
        <v>79</v>
      </c>
      <c r="H214" s="51"/>
      <c r="I214" s="45" t="s">
        <v>80</v>
      </c>
    </row>
    <row r="215" spans="2:25" ht="14.5" thickBot="1" x14ac:dyDescent="0.35">
      <c r="B215" t="s">
        <v>65</v>
      </c>
      <c r="C215" s="2"/>
      <c r="D215" s="2"/>
      <c r="E215" s="62">
        <f>L126</f>
        <v>705.67200000000003</v>
      </c>
      <c r="H215" s="51"/>
      <c r="I215" t="s">
        <v>81</v>
      </c>
      <c r="J215" s="2"/>
      <c r="K215" s="2"/>
      <c r="L215" s="69">
        <f>E215</f>
        <v>705.67200000000003</v>
      </c>
      <c r="M215" s="2">
        <v>0</v>
      </c>
    </row>
    <row r="216" spans="2:25" x14ac:dyDescent="0.3">
      <c r="B216" t="s">
        <v>68</v>
      </c>
      <c r="D216" s="3"/>
      <c r="E216" s="3"/>
      <c r="F216" s="3">
        <f>M127</f>
        <v>7.0567200000000003</v>
      </c>
      <c r="H216" s="51"/>
      <c r="I216" t="s">
        <v>82</v>
      </c>
      <c r="K216" s="3"/>
      <c r="L216" s="3"/>
      <c r="M216" s="3">
        <f>L215*M234</f>
        <v>7.0567200000000003</v>
      </c>
    </row>
    <row r="217" spans="2:25" x14ac:dyDescent="0.3">
      <c r="B217" t="s">
        <v>71</v>
      </c>
      <c r="D217" s="3"/>
      <c r="E217" s="3"/>
      <c r="F217" s="3">
        <f>M128</f>
        <v>0</v>
      </c>
      <c r="H217" s="51"/>
      <c r="I217" t="s">
        <v>83</v>
      </c>
      <c r="K217" s="3"/>
      <c r="L217" s="3"/>
      <c r="M217" s="3">
        <f>(L215-M216)*M235</f>
        <v>0</v>
      </c>
    </row>
    <row r="218" spans="2:25" x14ac:dyDescent="0.3">
      <c r="B218" t="s">
        <v>77</v>
      </c>
      <c r="C218" s="2"/>
      <c r="D218" s="2"/>
      <c r="E218" s="3">
        <f>L129</f>
        <v>70567.199999999997</v>
      </c>
      <c r="H218" s="51"/>
      <c r="I218" t="s">
        <v>84</v>
      </c>
      <c r="J218" s="2"/>
      <c r="K218" s="2"/>
      <c r="L218" s="2">
        <f>L215*E12</f>
        <v>70567.199999999997</v>
      </c>
      <c r="M218" s="2"/>
    </row>
    <row r="219" spans="2:25" x14ac:dyDescent="0.3">
      <c r="B219" t="s">
        <v>78</v>
      </c>
      <c r="C219" s="2"/>
      <c r="D219" s="2"/>
      <c r="E219" s="3"/>
      <c r="F219" s="3">
        <f>F216*C13</f>
        <v>12702.096000000001</v>
      </c>
      <c r="H219" s="51"/>
      <c r="I219" t="s">
        <v>85</v>
      </c>
      <c r="J219" s="2"/>
      <c r="K219" s="2"/>
      <c r="L219" s="2"/>
      <c r="M219" s="2">
        <f t="shared" ref="M219" si="23">$C$13*M216</f>
        <v>12702.096000000001</v>
      </c>
    </row>
    <row r="220" spans="2:25" x14ac:dyDescent="0.3">
      <c r="B220" t="s">
        <v>33</v>
      </c>
      <c r="C220" s="2"/>
      <c r="D220" s="2"/>
      <c r="E220" s="3"/>
      <c r="F220" s="3">
        <f>F216*F21</f>
        <v>0</v>
      </c>
      <c r="H220" s="51"/>
      <c r="I220" t="s">
        <v>33</v>
      </c>
      <c r="J220" s="2"/>
      <c r="K220" s="2"/>
      <c r="L220" s="2">
        <v>0</v>
      </c>
      <c r="M220" s="2">
        <f>M216*F21</f>
        <v>0</v>
      </c>
    </row>
    <row r="221" spans="2:25" x14ac:dyDescent="0.3">
      <c r="C221" s="2"/>
      <c r="D221" s="2"/>
      <c r="H221" s="51"/>
      <c r="J221" s="2"/>
      <c r="K221" s="2"/>
      <c r="L221" s="2"/>
      <c r="M221" s="2"/>
    </row>
    <row r="222" spans="2:25" x14ac:dyDescent="0.3">
      <c r="B222" t="s">
        <v>126</v>
      </c>
      <c r="C222" s="2"/>
      <c r="D222" s="2"/>
      <c r="F222" s="3">
        <f>M222</f>
        <v>0</v>
      </c>
      <c r="H222" s="51"/>
      <c r="I222" t="s">
        <v>127</v>
      </c>
      <c r="J222" s="2"/>
      <c r="K222" s="2"/>
      <c r="L222" s="2"/>
      <c r="M222" s="2">
        <f>M217*F16</f>
        <v>0</v>
      </c>
    </row>
    <row r="223" spans="2:25" x14ac:dyDescent="0.3">
      <c r="B223" t="s">
        <v>138</v>
      </c>
      <c r="C223" s="2"/>
      <c r="D223" s="62"/>
      <c r="E223" s="64"/>
      <c r="F223" s="3">
        <f>(E215-F216)*F17</f>
        <v>146709.20879999999</v>
      </c>
      <c r="H223" s="51"/>
      <c r="I223" t="s">
        <v>132</v>
      </c>
      <c r="J223" s="2"/>
      <c r="K223" s="2"/>
      <c r="L223" s="2"/>
      <c r="M223" s="2">
        <f>(L215-M216)*$F$17</f>
        <v>146709.20879999999</v>
      </c>
    </row>
    <row r="224" spans="2:25" x14ac:dyDescent="0.3">
      <c r="B224" t="s">
        <v>119</v>
      </c>
      <c r="C224" s="2"/>
      <c r="D224" s="2"/>
      <c r="F224" s="3">
        <f>M224</f>
        <v>0</v>
      </c>
      <c r="H224" s="51"/>
      <c r="I224" t="s">
        <v>121</v>
      </c>
      <c r="J224" s="2">
        <v>0</v>
      </c>
      <c r="K224" s="2">
        <v>0</v>
      </c>
      <c r="L224" s="2">
        <v>0</v>
      </c>
      <c r="M224" s="2">
        <v>0</v>
      </c>
    </row>
    <row r="225" spans="1:25" x14ac:dyDescent="0.3">
      <c r="B225" t="s">
        <v>120</v>
      </c>
      <c r="C225" s="2"/>
      <c r="D225" s="2"/>
      <c r="F225" s="3">
        <f>M225</f>
        <v>7056.72</v>
      </c>
      <c r="H225" s="51"/>
      <c r="I225" t="s">
        <v>122</v>
      </c>
      <c r="J225" s="2">
        <v>0</v>
      </c>
      <c r="K225" s="2">
        <v>0</v>
      </c>
      <c r="L225" s="2">
        <v>0</v>
      </c>
      <c r="M225" s="2">
        <f>L218*E19</f>
        <v>7056.72</v>
      </c>
    </row>
    <row r="226" spans="1:25" x14ac:dyDescent="0.3">
      <c r="C226" s="2"/>
      <c r="D226" s="2"/>
      <c r="H226" s="51"/>
      <c r="J226" s="2"/>
      <c r="K226" s="2"/>
      <c r="L226" s="2"/>
      <c r="M226" s="2"/>
    </row>
    <row r="227" spans="1:25" ht="14.5" thickBot="1" x14ac:dyDescent="0.35">
      <c r="C227" s="2"/>
      <c r="D227" s="2"/>
      <c r="H227" s="51"/>
      <c r="I227" s="21" t="s">
        <v>128</v>
      </c>
      <c r="J227" s="22">
        <f>J218</f>
        <v>0</v>
      </c>
      <c r="K227" s="22">
        <f t="shared" ref="K227:M227" si="24">K218</f>
        <v>0</v>
      </c>
      <c r="L227" s="22">
        <f t="shared" si="24"/>
        <v>70567.199999999997</v>
      </c>
      <c r="M227" s="22">
        <f t="shared" si="24"/>
        <v>0</v>
      </c>
    </row>
    <row r="228" spans="1:25" ht="14.5" thickBot="1" x14ac:dyDescent="0.35">
      <c r="C228" s="2"/>
      <c r="D228" s="2"/>
      <c r="H228" s="51"/>
      <c r="I228" s="21" t="s">
        <v>129</v>
      </c>
      <c r="J228" s="22">
        <f>J219+SUM(J222:J225)</f>
        <v>0</v>
      </c>
      <c r="K228" s="22">
        <f t="shared" ref="K228:M228" si="25">K219+SUM(K222:K225)</f>
        <v>0</v>
      </c>
      <c r="L228" s="22">
        <f t="shared" si="25"/>
        <v>0</v>
      </c>
      <c r="M228" s="22">
        <f t="shared" si="25"/>
        <v>166468.02479999998</v>
      </c>
    </row>
    <row r="229" spans="1:25" x14ac:dyDescent="0.3">
      <c r="C229" s="2"/>
      <c r="D229" s="2"/>
      <c r="H229" s="51"/>
      <c r="J229" s="2"/>
      <c r="K229" s="2"/>
      <c r="L229" s="2"/>
      <c r="M229" s="2"/>
    </row>
    <row r="230" spans="1:25" ht="14.5" x14ac:dyDescent="0.35">
      <c r="B230" t="s">
        <v>91</v>
      </c>
      <c r="C230" s="46">
        <f>J148</f>
        <v>0.05</v>
      </c>
      <c r="D230" s="2"/>
      <c r="H230" s="51"/>
      <c r="I230" t="s">
        <v>0</v>
      </c>
      <c r="J230" s="2"/>
      <c r="K230" s="2"/>
      <c r="L230" s="2"/>
      <c r="M230" s="2">
        <f t="shared" ref="M230" si="26">NPV($J$49,N219:P219)*10%</f>
        <v>0</v>
      </c>
      <c r="N230" s="30" t="s">
        <v>90</v>
      </c>
    </row>
    <row r="231" spans="1:25" x14ac:dyDescent="0.3">
      <c r="H231" s="51"/>
    </row>
    <row r="232" spans="1:25" ht="14.5" x14ac:dyDescent="0.35">
      <c r="H232" s="51"/>
      <c r="I232" s="30" t="s">
        <v>89</v>
      </c>
    </row>
    <row r="233" spans="1:25" x14ac:dyDescent="0.3">
      <c r="H233" s="51"/>
    </row>
    <row r="234" spans="1:25" x14ac:dyDescent="0.3">
      <c r="H234" s="51"/>
      <c r="I234" t="s">
        <v>67</v>
      </c>
      <c r="K234" s="31"/>
      <c r="L234" s="31"/>
      <c r="M234" s="31">
        <f>M145</f>
        <v>0.01</v>
      </c>
    </row>
    <row r="235" spans="1:25" x14ac:dyDescent="0.3">
      <c r="H235" s="51"/>
      <c r="I235" t="s">
        <v>69</v>
      </c>
      <c r="K235" s="1"/>
      <c r="L235" s="1"/>
      <c r="M235" s="31">
        <f>M146</f>
        <v>0</v>
      </c>
    </row>
    <row r="236" spans="1:25" x14ac:dyDescent="0.3">
      <c r="H236" s="51"/>
      <c r="K236" s="1"/>
      <c r="L236" s="1"/>
      <c r="M236" s="1"/>
    </row>
    <row r="237" spans="1:25" x14ac:dyDescent="0.3">
      <c r="H237" s="51"/>
      <c r="I237" t="s">
        <v>86</v>
      </c>
      <c r="J237" s="1">
        <f>J148</f>
        <v>0.05</v>
      </c>
      <c r="K237" s="1"/>
      <c r="L237" s="1"/>
      <c r="M237" s="1"/>
    </row>
    <row r="238" spans="1:25" x14ac:dyDescent="0.3">
      <c r="B238" s="35" t="s">
        <v>99</v>
      </c>
      <c r="C238" s="36"/>
      <c r="D238" s="36"/>
      <c r="E238" s="36"/>
      <c r="F238" s="36"/>
      <c r="G238" s="36"/>
      <c r="H238" s="52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1:25" x14ac:dyDescent="0.3">
      <c r="H239" s="51"/>
    </row>
    <row r="240" spans="1:25" x14ac:dyDescent="0.3">
      <c r="A240" s="5" t="s">
        <v>100</v>
      </c>
      <c r="H240" s="51"/>
    </row>
    <row r="241" spans="2:8" ht="42" x14ac:dyDescent="0.3">
      <c r="C241" s="4" t="s">
        <v>23</v>
      </c>
      <c r="D241" s="4" t="s">
        <v>9</v>
      </c>
      <c r="E241" s="4" t="s">
        <v>24</v>
      </c>
      <c r="F241" s="4" t="s">
        <v>11</v>
      </c>
      <c r="G241" s="4" t="s">
        <v>12</v>
      </c>
      <c r="H241" s="55"/>
    </row>
    <row r="242" spans="2:8" x14ac:dyDescent="0.3">
      <c r="B242" t="s">
        <v>1</v>
      </c>
      <c r="C242" s="10">
        <f>C154</f>
        <v>0</v>
      </c>
      <c r="D242" s="10">
        <f t="shared" ref="D242:F242" si="27">D154</f>
        <v>0</v>
      </c>
      <c r="E242" s="10">
        <f t="shared" si="27"/>
        <v>0</v>
      </c>
      <c r="F242" s="10">
        <f t="shared" si="27"/>
        <v>70567.199999999997</v>
      </c>
      <c r="G242" s="2">
        <f>M218+NPV(J237,N218:P218)</f>
        <v>0</v>
      </c>
      <c r="H242" s="53"/>
    </row>
    <row r="243" spans="2:8" x14ac:dyDescent="0.3">
      <c r="B243" t="s">
        <v>2</v>
      </c>
      <c r="C243" s="10">
        <f t="shared" ref="C243:F243" si="28">C155</f>
        <v>0</v>
      </c>
      <c r="D243" s="10">
        <f t="shared" si="28"/>
        <v>0</v>
      </c>
      <c r="E243" s="10">
        <f t="shared" si="28"/>
        <v>0</v>
      </c>
      <c r="F243" s="10">
        <f t="shared" si="28"/>
        <v>-158540.97599999997</v>
      </c>
      <c r="G243" s="2">
        <f>-NPV($J$148,N219)</f>
        <v>0</v>
      </c>
      <c r="H243" s="53"/>
    </row>
    <row r="244" spans="2:8" x14ac:dyDescent="0.3">
      <c r="B244" t="s">
        <v>4</v>
      </c>
      <c r="C244" s="11">
        <f t="shared" ref="C244:F244" si="29">C156</f>
        <v>0</v>
      </c>
      <c r="D244" s="11">
        <f t="shared" si="29"/>
        <v>0</v>
      </c>
      <c r="E244" s="11">
        <f t="shared" si="29"/>
        <v>0</v>
      </c>
      <c r="F244" s="11">
        <f t="shared" si="29"/>
        <v>87973.775999999969</v>
      </c>
      <c r="G244" s="6">
        <f t="shared" ref="G244" si="30">-(G242+G243)</f>
        <v>0</v>
      </c>
      <c r="H244" s="53"/>
    </row>
    <row r="245" spans="2:8" x14ac:dyDescent="0.3">
      <c r="C245" s="7"/>
      <c r="D245" s="7"/>
      <c r="E245" s="7"/>
      <c r="F245" s="7"/>
      <c r="G245" s="7"/>
      <c r="H245" s="53"/>
    </row>
    <row r="246" spans="2:8" x14ac:dyDescent="0.3">
      <c r="B246" t="s">
        <v>0</v>
      </c>
      <c r="C246" s="10">
        <f t="shared" ref="C246:F246" si="31">C158</f>
        <v>0</v>
      </c>
      <c r="D246" s="10">
        <f t="shared" si="31"/>
        <v>0</v>
      </c>
      <c r="E246" s="10">
        <f t="shared" si="31"/>
        <v>0</v>
      </c>
      <c r="F246" s="10">
        <f t="shared" si="31"/>
        <v>3170.8195199999996</v>
      </c>
      <c r="G246" s="2">
        <f>M230</f>
        <v>0</v>
      </c>
      <c r="H246" s="53"/>
    </row>
    <row r="247" spans="2:8" x14ac:dyDescent="0.3">
      <c r="C247" s="2"/>
      <c r="D247" s="2"/>
      <c r="E247" s="2"/>
      <c r="F247" s="2"/>
      <c r="G247" s="2"/>
      <c r="H247" s="53"/>
    </row>
    <row r="248" spans="2:8" ht="14.5" thickBot="1" x14ac:dyDescent="0.35">
      <c r="B248" t="s">
        <v>13</v>
      </c>
      <c r="C248" s="12">
        <f t="shared" ref="C248:F248" si="32">C160</f>
        <v>0</v>
      </c>
      <c r="D248" s="12">
        <f t="shared" si="32"/>
        <v>0</v>
      </c>
      <c r="E248" s="12">
        <f t="shared" si="32"/>
        <v>0</v>
      </c>
      <c r="F248" s="12">
        <f t="shared" si="32"/>
        <v>91144.595519999973</v>
      </c>
      <c r="G248" s="8">
        <f t="shared" ref="G248" si="33">G246+G244</f>
        <v>0</v>
      </c>
      <c r="H248" s="53"/>
    </row>
    <row r="249" spans="2:8" ht="14.5" thickTop="1" x14ac:dyDescent="0.3">
      <c r="C249" s="2"/>
      <c r="D249" s="2"/>
      <c r="E249" s="2"/>
      <c r="F249" s="2"/>
      <c r="G249" s="2"/>
      <c r="H249" s="53"/>
    </row>
    <row r="250" spans="2:8" x14ac:dyDescent="0.3">
      <c r="B250" t="s">
        <v>5</v>
      </c>
      <c r="C250" s="11">
        <f t="shared" ref="C250:F250" si="34">C162</f>
        <v>0</v>
      </c>
      <c r="D250" s="11">
        <f t="shared" si="34"/>
        <v>0</v>
      </c>
      <c r="E250" s="11">
        <f t="shared" si="34"/>
        <v>0</v>
      </c>
      <c r="F250" s="11">
        <f t="shared" si="34"/>
        <v>0</v>
      </c>
      <c r="G250" s="9"/>
      <c r="H250" s="53"/>
    </row>
    <row r="251" spans="2:8" x14ac:dyDescent="0.3">
      <c r="C251" s="2"/>
      <c r="D251" s="2"/>
      <c r="E251" s="2"/>
      <c r="F251" s="2"/>
      <c r="G251" s="2"/>
      <c r="H251" s="53"/>
    </row>
    <row r="252" spans="2:8" ht="14.5" thickBot="1" x14ac:dyDescent="0.35">
      <c r="B252" t="s">
        <v>6</v>
      </c>
      <c r="C252" s="12">
        <f t="shared" ref="C252:F252" si="35">C164</f>
        <v>0</v>
      </c>
      <c r="D252" s="12">
        <f t="shared" si="35"/>
        <v>0</v>
      </c>
      <c r="E252" s="12">
        <f t="shared" si="35"/>
        <v>0</v>
      </c>
      <c r="F252" s="12">
        <f t="shared" si="35"/>
        <v>91144.595519999973</v>
      </c>
      <c r="G252" s="8">
        <f>G250+G246+G244</f>
        <v>0</v>
      </c>
      <c r="H252" s="53"/>
    </row>
    <row r="253" spans="2:8" ht="14.5" thickTop="1" x14ac:dyDescent="0.3">
      <c r="C253" s="2"/>
      <c r="D253" s="2"/>
      <c r="E253" s="2"/>
      <c r="F253" s="2"/>
      <c r="G253" s="2"/>
      <c r="H253" s="53"/>
    </row>
    <row r="254" spans="2:8" x14ac:dyDescent="0.3">
      <c r="B254" t="s">
        <v>7</v>
      </c>
      <c r="C254" s="6">
        <f>MAX(C246+C244,0)</f>
        <v>0</v>
      </c>
      <c r="D254" s="9"/>
      <c r="E254" s="9"/>
      <c r="F254" s="9"/>
      <c r="G254" s="9"/>
      <c r="H254" s="53"/>
    </row>
    <row r="255" spans="2:8" x14ac:dyDescent="0.3">
      <c r="H255" s="51"/>
    </row>
    <row r="256" spans="2:8" x14ac:dyDescent="0.3">
      <c r="H256" s="51"/>
    </row>
    <row r="257" spans="1:8" x14ac:dyDescent="0.3">
      <c r="C257" s="5" t="s">
        <v>43</v>
      </c>
      <c r="H257" s="51"/>
    </row>
    <row r="258" spans="1:8" ht="14.5" thickBot="1" x14ac:dyDescent="0.35">
      <c r="C258" s="5"/>
      <c r="H258" s="51"/>
    </row>
    <row r="259" spans="1:8" x14ac:dyDescent="0.3">
      <c r="B259" t="s">
        <v>18</v>
      </c>
      <c r="C259" s="86">
        <f>F250</f>
        <v>0</v>
      </c>
      <c r="D259" s="3"/>
      <c r="E259" s="91" t="s">
        <v>63</v>
      </c>
      <c r="F259" s="120"/>
      <c r="G259" s="97"/>
      <c r="H259" s="51"/>
    </row>
    <row r="260" spans="1:8" ht="28" x14ac:dyDescent="0.3">
      <c r="B260" t="s">
        <v>20</v>
      </c>
      <c r="C260" s="86">
        <v>0</v>
      </c>
      <c r="E260" s="98"/>
      <c r="F260" s="121" t="s">
        <v>64</v>
      </c>
      <c r="G260" s="122" t="s">
        <v>74</v>
      </c>
      <c r="H260" s="51"/>
    </row>
    <row r="261" spans="1:8" x14ac:dyDescent="0.3">
      <c r="B261" t="s">
        <v>19</v>
      </c>
      <c r="C261" s="86">
        <f>C259*J49</f>
        <v>0</v>
      </c>
      <c r="D261" s="86"/>
      <c r="E261" s="98" t="s">
        <v>12</v>
      </c>
      <c r="F261" s="3">
        <f>$C$13*L215</f>
        <v>1270209.6000000001</v>
      </c>
      <c r="G261" s="123">
        <f>F261/SUM(F261:F262)</f>
        <v>1</v>
      </c>
      <c r="H261" s="51"/>
    </row>
    <row r="262" spans="1:8" ht="14.5" thickBot="1" x14ac:dyDescent="0.35">
      <c r="B262" t="s">
        <v>15</v>
      </c>
      <c r="C262" s="86">
        <f>-(G248-G160)</f>
        <v>0</v>
      </c>
      <c r="D262" s="3"/>
      <c r="E262" s="100" t="s">
        <v>73</v>
      </c>
      <c r="F262" s="124">
        <f>$C$13*L216</f>
        <v>0</v>
      </c>
      <c r="G262" s="125">
        <v>0</v>
      </c>
      <c r="H262" s="51"/>
    </row>
    <row r="263" spans="1:8" x14ac:dyDescent="0.3">
      <c r="B263" t="s">
        <v>21</v>
      </c>
      <c r="C263" s="86">
        <f>-SUM(C259:C262)*G261</f>
        <v>0</v>
      </c>
      <c r="F263" s="3"/>
      <c r="G263" s="87"/>
      <c r="H263" s="51"/>
    </row>
    <row r="264" spans="1:8" ht="14.5" thickBot="1" x14ac:dyDescent="0.35">
      <c r="B264" t="s">
        <v>22</v>
      </c>
      <c r="C264" s="88">
        <f>SUM(C259:C263)</f>
        <v>0</v>
      </c>
      <c r="H264" s="51"/>
    </row>
    <row r="265" spans="1:8" ht="14.5" thickTop="1" x14ac:dyDescent="0.3">
      <c r="H265" s="51"/>
    </row>
    <row r="266" spans="1:8" x14ac:dyDescent="0.3">
      <c r="A266" s="5" t="s">
        <v>53</v>
      </c>
      <c r="H266" s="51"/>
    </row>
    <row r="267" spans="1:8" x14ac:dyDescent="0.3">
      <c r="H267" s="51"/>
    </row>
    <row r="268" spans="1:8" x14ac:dyDescent="0.3">
      <c r="B268" s="80" t="s">
        <v>46</v>
      </c>
      <c r="C268" s="81">
        <f>(C184-C209)</f>
        <v>94642.864000000001</v>
      </c>
      <c r="H268" s="51"/>
    </row>
    <row r="269" spans="1:8" x14ac:dyDescent="0.3">
      <c r="B269" t="s">
        <v>47</v>
      </c>
      <c r="C269" s="2">
        <f>E218</f>
        <v>70567.199999999997</v>
      </c>
      <c r="H269" s="51"/>
    </row>
    <row r="270" spans="1:8" x14ac:dyDescent="0.3">
      <c r="B270" t="s">
        <v>48</v>
      </c>
      <c r="C270" s="2">
        <f>-F219-SUM(F222:F225)</f>
        <v>-166468.02479999998</v>
      </c>
      <c r="H270" s="51"/>
    </row>
    <row r="271" spans="1:8" x14ac:dyDescent="0.3">
      <c r="B271" t="s">
        <v>38</v>
      </c>
      <c r="C271" s="2">
        <f>SUM(C268:C269)*C230</f>
        <v>8260.503200000001</v>
      </c>
      <c r="H271" s="51"/>
    </row>
    <row r="272" spans="1:8" ht="14.5" thickBot="1" x14ac:dyDescent="0.35">
      <c r="B272" s="82" t="s">
        <v>49</v>
      </c>
      <c r="C272" s="83">
        <f>SUM(C268:C271)</f>
        <v>7002.5424000000294</v>
      </c>
      <c r="H272" s="51"/>
    </row>
    <row r="273" spans="1:8" x14ac:dyDescent="0.3">
      <c r="C273" s="2"/>
      <c r="H273" s="51"/>
    </row>
    <row r="274" spans="1:8" ht="14.5" thickBot="1" x14ac:dyDescent="0.35">
      <c r="B274" s="82" t="s">
        <v>50</v>
      </c>
      <c r="C274" s="83">
        <f>G252</f>
        <v>0</v>
      </c>
      <c r="H274" s="51"/>
    </row>
    <row r="275" spans="1:8" x14ac:dyDescent="0.3">
      <c r="C275" s="2"/>
      <c r="H275" s="51"/>
    </row>
    <row r="276" spans="1:8" ht="14.5" thickBot="1" x14ac:dyDescent="0.35">
      <c r="B276" s="84" t="s">
        <v>42</v>
      </c>
      <c r="C276" s="85">
        <f>C272-C274</f>
        <v>7002.5424000000294</v>
      </c>
      <c r="H276" s="51"/>
    </row>
    <row r="277" spans="1:8" x14ac:dyDescent="0.3">
      <c r="H277" s="51"/>
    </row>
    <row r="278" spans="1:8" ht="14.5" thickBot="1" x14ac:dyDescent="0.35">
      <c r="A278" s="5" t="s">
        <v>44</v>
      </c>
      <c r="H278" s="51"/>
    </row>
    <row r="279" spans="1:8" x14ac:dyDescent="0.3">
      <c r="E279" s="91" t="s">
        <v>142</v>
      </c>
      <c r="F279" s="117"/>
      <c r="H279" s="51"/>
    </row>
    <row r="280" spans="1:8" x14ac:dyDescent="0.3">
      <c r="B280" s="80" t="s">
        <v>29</v>
      </c>
      <c r="C280" s="81">
        <f>SUM(C281:C284)</f>
        <v>23088.176496</v>
      </c>
      <c r="E280" s="98" t="s">
        <v>169</v>
      </c>
      <c r="F280" s="126">
        <f>F195</f>
        <v>0</v>
      </c>
      <c r="H280" s="51"/>
    </row>
    <row r="281" spans="1:8" ht="14.5" x14ac:dyDescent="0.35">
      <c r="B281" s="13" t="s">
        <v>139</v>
      </c>
      <c r="C281" s="14">
        <f>M219+M225-M220</f>
        <v>19758.816000000003</v>
      </c>
      <c r="E281" s="98" t="s">
        <v>170</v>
      </c>
      <c r="F281" s="126">
        <f>F280*$J$49</f>
        <v>0</v>
      </c>
      <c r="H281" s="51"/>
    </row>
    <row r="282" spans="1:8" ht="14.5" x14ac:dyDescent="0.35">
      <c r="B282" s="13" t="s">
        <v>140</v>
      </c>
      <c r="C282" s="14">
        <f>-E76</f>
        <v>3329.3604959999993</v>
      </c>
      <c r="E282" s="98" t="s">
        <v>171</v>
      </c>
      <c r="F282" s="126">
        <f>SUM(F280:F281)*G261</f>
        <v>0</v>
      </c>
      <c r="H282" s="51"/>
    </row>
    <row r="283" spans="1:8" ht="15" thickBot="1" x14ac:dyDescent="0.4">
      <c r="B283" s="13" t="s">
        <v>141</v>
      </c>
      <c r="C283" s="14">
        <f>-C263</f>
        <v>0</v>
      </c>
      <c r="E283" s="100" t="s">
        <v>172</v>
      </c>
      <c r="F283" s="127">
        <f>F280+F281-F282</f>
        <v>0</v>
      </c>
      <c r="H283" s="51"/>
    </row>
    <row r="284" spans="1:8" ht="14.5" x14ac:dyDescent="0.35">
      <c r="B284" s="13" t="s">
        <v>142</v>
      </c>
      <c r="C284" s="14">
        <f>F282</f>
        <v>0</v>
      </c>
      <c r="H284" s="51"/>
    </row>
    <row r="285" spans="1:8" x14ac:dyDescent="0.3">
      <c r="C285" s="2"/>
      <c r="H285" s="51"/>
    </row>
    <row r="286" spans="1:8" x14ac:dyDescent="0.3">
      <c r="B286" s="80" t="s">
        <v>30</v>
      </c>
      <c r="C286" s="81">
        <f>SUM(C287:C289)</f>
        <v>-19758.816000000003</v>
      </c>
      <c r="H286" s="51"/>
    </row>
    <row r="287" spans="1:8" ht="14.5" x14ac:dyDescent="0.35">
      <c r="B287" s="78" t="s">
        <v>143</v>
      </c>
      <c r="C287" s="2">
        <f>-F219-F225+F220</f>
        <v>-19758.816000000003</v>
      </c>
      <c r="H287" s="51"/>
    </row>
    <row r="288" spans="1:8" ht="14.5" x14ac:dyDescent="0.35">
      <c r="B288" s="13" t="s">
        <v>144</v>
      </c>
      <c r="C288" s="2">
        <f>-C284</f>
        <v>0</v>
      </c>
      <c r="H288" s="51"/>
    </row>
    <row r="289" spans="2:25" ht="14.5" x14ac:dyDescent="0.35">
      <c r="B289" s="13" t="s">
        <v>145</v>
      </c>
      <c r="C289" s="2"/>
      <c r="H289" s="57"/>
    </row>
    <row r="290" spans="2:25" x14ac:dyDescent="0.3">
      <c r="C290" s="2"/>
      <c r="H290" s="51"/>
    </row>
    <row r="291" spans="2:25" ht="14.5" thickBot="1" x14ac:dyDescent="0.35">
      <c r="B291" s="82" t="s">
        <v>37</v>
      </c>
      <c r="C291" s="83">
        <f>C280+C286</f>
        <v>3329.3604959999975</v>
      </c>
      <c r="H291" s="51"/>
    </row>
    <row r="292" spans="2:25" x14ac:dyDescent="0.3">
      <c r="C292" s="2"/>
      <c r="H292" s="51"/>
    </row>
    <row r="293" spans="2:25" x14ac:dyDescent="0.3">
      <c r="B293" t="s">
        <v>45</v>
      </c>
      <c r="C293" s="2">
        <f>C271</f>
        <v>8260.503200000001</v>
      </c>
      <c r="H293" s="51"/>
    </row>
    <row r="294" spans="2:25" x14ac:dyDescent="0.3">
      <c r="B294" t="s">
        <v>16</v>
      </c>
      <c r="C294" s="2">
        <f>-((F244+L218)*J148+$E$75+C261)</f>
        <v>-8085.5897759999989</v>
      </c>
      <c r="H294" s="51"/>
    </row>
    <row r="295" spans="2:25" ht="14.5" thickBot="1" x14ac:dyDescent="0.35">
      <c r="B295" s="82" t="s">
        <v>51</v>
      </c>
      <c r="C295" s="83">
        <f>C293+C294</f>
        <v>174.91342400000212</v>
      </c>
      <c r="E295" s="33"/>
      <c r="G295" s="32"/>
      <c r="H295" s="51"/>
    </row>
    <row r="296" spans="2:25" x14ac:dyDescent="0.3">
      <c r="C296" s="2"/>
      <c r="H296" s="51"/>
    </row>
    <row r="297" spans="2:25" ht="14.5" thickBot="1" x14ac:dyDescent="0.35">
      <c r="B297" s="84" t="s">
        <v>52</v>
      </c>
      <c r="C297" s="85">
        <f>C291+C295</f>
        <v>3504.2739199999996</v>
      </c>
      <c r="D297" s="3"/>
      <c r="E297" s="48"/>
      <c r="H297" s="51"/>
    </row>
    <row r="298" spans="2:25" x14ac:dyDescent="0.3">
      <c r="H298" s="51"/>
    </row>
    <row r="299" spans="2:25" x14ac:dyDescent="0.3">
      <c r="B299" s="49" t="s">
        <v>163</v>
      </c>
      <c r="C299" s="50"/>
      <c r="D299" s="50"/>
      <c r="E299" s="50"/>
      <c r="F299" s="50"/>
      <c r="G299" s="50"/>
      <c r="H299" s="52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 spans="2:25" x14ac:dyDescent="0.3">
      <c r="H300" s="51"/>
    </row>
    <row r="301" spans="2:25" x14ac:dyDescent="0.3">
      <c r="C301" s="5" t="s">
        <v>35</v>
      </c>
      <c r="H301" s="51"/>
    </row>
    <row r="302" spans="2:25" x14ac:dyDescent="0.3">
      <c r="C302" t="s">
        <v>10</v>
      </c>
      <c r="D302" t="s">
        <v>11</v>
      </c>
      <c r="E302" t="s">
        <v>12</v>
      </c>
      <c r="H302" s="51"/>
    </row>
    <row r="303" spans="2:25" x14ac:dyDescent="0.3">
      <c r="B303" t="s">
        <v>36</v>
      </c>
      <c r="C303" s="38"/>
      <c r="D303" s="38"/>
      <c r="E303" s="38"/>
      <c r="G303" s="5"/>
      <c r="H303" s="51"/>
    </row>
    <row r="304" spans="2:25" x14ac:dyDescent="0.3">
      <c r="B304" t="s">
        <v>30</v>
      </c>
      <c r="C304" s="38"/>
      <c r="D304" s="38"/>
      <c r="E304" s="38"/>
      <c r="G304" s="44"/>
      <c r="H304" s="51"/>
    </row>
    <row r="305" spans="2:8" x14ac:dyDescent="0.3">
      <c r="B305" s="5" t="s">
        <v>37</v>
      </c>
      <c r="C305" s="89"/>
      <c r="D305" s="89"/>
      <c r="E305" s="89"/>
      <c r="G305" s="3"/>
      <c r="H305" s="56"/>
    </row>
    <row r="306" spans="2:8" x14ac:dyDescent="0.3">
      <c r="C306" s="2"/>
      <c r="D306" s="2"/>
      <c r="E306" s="2"/>
      <c r="H306" s="51"/>
    </row>
    <row r="307" spans="2:8" x14ac:dyDescent="0.3">
      <c r="B307" t="s">
        <v>38</v>
      </c>
      <c r="C307" s="38"/>
      <c r="D307" s="38"/>
      <c r="E307" s="38"/>
      <c r="H307" s="51"/>
    </row>
    <row r="308" spans="2:8" x14ac:dyDescent="0.3">
      <c r="B308" t="s">
        <v>32</v>
      </c>
      <c r="C308" s="38"/>
      <c r="D308" s="38"/>
      <c r="E308" s="38"/>
      <c r="H308" s="51"/>
    </row>
    <row r="309" spans="2:8" x14ac:dyDescent="0.3">
      <c r="B309" s="5" t="s">
        <v>39</v>
      </c>
      <c r="C309" s="89"/>
      <c r="D309" s="89"/>
      <c r="E309" s="89"/>
      <c r="G309" s="3"/>
      <c r="H309" s="51"/>
    </row>
    <row r="310" spans="2:8" x14ac:dyDescent="0.3">
      <c r="C310" s="2"/>
      <c r="D310" s="2"/>
      <c r="E310" s="2"/>
      <c r="H310" s="51"/>
    </row>
    <row r="311" spans="2:8" ht="14.5" thickBot="1" x14ac:dyDescent="0.35">
      <c r="B311" s="5" t="s">
        <v>40</v>
      </c>
      <c r="C311" s="90"/>
      <c r="D311" s="90"/>
      <c r="E311" s="90"/>
      <c r="G311" s="5"/>
      <c r="H311" s="56"/>
    </row>
    <row r="312" spans="2:8" ht="14.5" thickTop="1" x14ac:dyDescent="0.3">
      <c r="H312" s="51"/>
    </row>
    <row r="313" spans="2:8" x14ac:dyDescent="0.3">
      <c r="H313" s="51"/>
    </row>
    <row r="314" spans="2:8" x14ac:dyDescent="0.3">
      <c r="C314" s="5" t="s">
        <v>41</v>
      </c>
      <c r="H314" s="51"/>
    </row>
    <row r="315" spans="2:8" x14ac:dyDescent="0.3">
      <c r="C315" t="s">
        <v>10</v>
      </c>
      <c r="D315" t="s">
        <v>11</v>
      </c>
      <c r="E315" t="s">
        <v>12</v>
      </c>
      <c r="H315" s="51"/>
    </row>
    <row r="316" spans="2:8" x14ac:dyDescent="0.3">
      <c r="B316" t="s">
        <v>55</v>
      </c>
      <c r="C316" s="2">
        <f>C94</f>
        <v>51060</v>
      </c>
      <c r="D316" s="2">
        <f>C184</f>
        <v>101506.2</v>
      </c>
      <c r="E316" s="3">
        <f>C272</f>
        <v>7002.5424000000294</v>
      </c>
      <c r="H316" s="51"/>
    </row>
    <row r="317" spans="2:8" x14ac:dyDescent="0.3">
      <c r="B317" t="s">
        <v>14</v>
      </c>
      <c r="C317" s="2">
        <f>C96</f>
        <v>0</v>
      </c>
      <c r="D317" s="2">
        <f>C186</f>
        <v>91144.595519999973</v>
      </c>
      <c r="E317" s="3">
        <f>C274</f>
        <v>0</v>
      </c>
      <c r="H317" s="51"/>
    </row>
    <row r="318" spans="2:8" ht="14.5" thickBot="1" x14ac:dyDescent="0.35">
      <c r="B318" s="5" t="s">
        <v>42</v>
      </c>
      <c r="C318" s="15">
        <f>C316-C317</f>
        <v>51060</v>
      </c>
      <c r="D318" s="15">
        <f>D316-D317</f>
        <v>10361.604480000024</v>
      </c>
      <c r="E318" s="15">
        <f t="shared" ref="E318" si="36">E312+E316</f>
        <v>7002.5424000000294</v>
      </c>
      <c r="H318" s="51"/>
    </row>
    <row r="319" spans="2:8" ht="14.5" thickTop="1" x14ac:dyDescent="0.3">
      <c r="B319" s="16" t="s">
        <v>17</v>
      </c>
      <c r="C319" s="17">
        <f>C318-C311</f>
        <v>51060</v>
      </c>
      <c r="D319" s="17">
        <f>D318-SUM(D311)</f>
        <v>10361.604480000024</v>
      </c>
      <c r="E319" s="17">
        <f>E318-SUM(E311)</f>
        <v>7002.5424000000294</v>
      </c>
      <c r="H319" s="51"/>
    </row>
    <row r="320" spans="2:8" ht="14.5" thickBot="1" x14ac:dyDescent="0.35">
      <c r="B320" s="5" t="s">
        <v>101</v>
      </c>
      <c r="C320" s="15">
        <f>C318</f>
        <v>51060</v>
      </c>
      <c r="D320" s="15">
        <f>D318</f>
        <v>10361.604480000024</v>
      </c>
      <c r="E320" s="15">
        <f>E318</f>
        <v>7002.5424000000294</v>
      </c>
      <c r="H320" s="51"/>
    </row>
    <row r="321" spans="1:25" ht="14.5" thickTop="1" x14ac:dyDescent="0.3">
      <c r="H321" s="51"/>
    </row>
    <row r="322" spans="1:25" x14ac:dyDescent="0.3">
      <c r="C322" s="31"/>
      <c r="D322" s="31"/>
      <c r="E322" s="31"/>
      <c r="H322" s="51"/>
    </row>
    <row r="323" spans="1:25" x14ac:dyDescent="0.3">
      <c r="B323" s="49" t="s">
        <v>102</v>
      </c>
      <c r="C323" s="50"/>
      <c r="D323" s="50"/>
      <c r="E323" s="50"/>
      <c r="F323" s="50"/>
      <c r="G323" s="50"/>
      <c r="H323" s="52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</row>
    <row r="324" spans="1:25" x14ac:dyDescent="0.3">
      <c r="H324" s="51"/>
    </row>
    <row r="325" spans="1:25" x14ac:dyDescent="0.3">
      <c r="B325" s="5" t="s">
        <v>149</v>
      </c>
      <c r="H325" s="51"/>
    </row>
    <row r="326" spans="1:25" x14ac:dyDescent="0.3">
      <c r="B326" t="s">
        <v>61</v>
      </c>
      <c r="C326" s="38"/>
      <c r="H326" s="51"/>
    </row>
    <row r="327" spans="1:25" x14ac:dyDescent="0.3">
      <c r="A327" t="s">
        <v>147</v>
      </c>
      <c r="B327" t="s">
        <v>148</v>
      </c>
      <c r="C327" s="38"/>
      <c r="H327" s="51"/>
    </row>
    <row r="328" spans="1:25" x14ac:dyDescent="0.3">
      <c r="H328" s="51"/>
    </row>
    <row r="329" spans="1:25" x14ac:dyDescent="0.3">
      <c r="B329" s="5" t="s">
        <v>150</v>
      </c>
      <c r="H329" s="51"/>
    </row>
    <row r="330" spans="1:25" x14ac:dyDescent="0.3">
      <c r="A330" t="s">
        <v>176</v>
      </c>
      <c r="B330" s="38"/>
      <c r="C330" s="38"/>
      <c r="H330" s="51"/>
    </row>
    <row r="331" spans="1:25" x14ac:dyDescent="0.3">
      <c r="A331" t="s">
        <v>177</v>
      </c>
      <c r="B331" s="38"/>
      <c r="C331" s="38"/>
      <c r="H331" s="51"/>
    </row>
    <row r="332" spans="1:25" ht="14.5" x14ac:dyDescent="0.35">
      <c r="B332" s="77" t="s">
        <v>62</v>
      </c>
      <c r="C332" s="77">
        <f>SUM(C330:C331)</f>
        <v>0</v>
      </c>
      <c r="D332" s="3">
        <f>C332-C326</f>
        <v>0</v>
      </c>
      <c r="H332" s="57" t="s">
        <v>103</v>
      </c>
    </row>
    <row r="333" spans="1:25" x14ac:dyDescent="0.3">
      <c r="H333" s="51"/>
    </row>
    <row r="334" spans="1:25" x14ac:dyDescent="0.3">
      <c r="B334" s="5" t="s">
        <v>152</v>
      </c>
      <c r="H334" s="51"/>
    </row>
    <row r="335" spans="1:25" x14ac:dyDescent="0.3">
      <c r="B335" t="s">
        <v>104</v>
      </c>
      <c r="C335" s="38"/>
      <c r="H335" s="51"/>
    </row>
    <row r="336" spans="1:25" ht="14.5" x14ac:dyDescent="0.35">
      <c r="B336" t="s">
        <v>105</v>
      </c>
      <c r="C336" s="38"/>
      <c r="H336" s="57" t="s">
        <v>107</v>
      </c>
    </row>
    <row r="337" spans="2:8" ht="14.5" x14ac:dyDescent="0.35">
      <c r="B337" s="5" t="s">
        <v>174</v>
      </c>
      <c r="C337" s="77">
        <f>C335-C336</f>
        <v>0</v>
      </c>
      <c r="H337" s="57"/>
    </row>
    <row r="338" spans="2:8" ht="14.5" x14ac:dyDescent="0.35">
      <c r="H338" s="57"/>
    </row>
    <row r="339" spans="2:8" ht="14.5" x14ac:dyDescent="0.35">
      <c r="B339" s="5" t="s">
        <v>151</v>
      </c>
      <c r="H339" s="57"/>
    </row>
    <row r="340" spans="2:8" ht="14.5" x14ac:dyDescent="0.35">
      <c r="B340" t="s">
        <v>165</v>
      </c>
      <c r="H340" s="57"/>
    </row>
    <row r="341" spans="2:8" ht="14.5" x14ac:dyDescent="0.35">
      <c r="B341" t="s">
        <v>168</v>
      </c>
      <c r="C341" s="38"/>
      <c r="H341" s="57"/>
    </row>
    <row r="342" spans="2:8" ht="14.5" x14ac:dyDescent="0.35">
      <c r="B342" t="s">
        <v>166</v>
      </c>
      <c r="C342" s="38"/>
      <c r="H342" s="57"/>
    </row>
    <row r="343" spans="2:8" ht="14.5" x14ac:dyDescent="0.35">
      <c r="B343" t="s">
        <v>167</v>
      </c>
      <c r="C343" s="38"/>
      <c r="H343" s="57"/>
    </row>
    <row r="344" spans="2:8" ht="14.5" x14ac:dyDescent="0.35">
      <c r="B344" t="s">
        <v>154</v>
      </c>
      <c r="C344" s="43"/>
      <c r="H344" s="57"/>
    </row>
    <row r="345" spans="2:8" ht="14.5" x14ac:dyDescent="0.35">
      <c r="B345" t="s">
        <v>153</v>
      </c>
      <c r="C345" s="43"/>
      <c r="H345" s="57"/>
    </row>
    <row r="346" spans="2:8" ht="14.5" x14ac:dyDescent="0.35">
      <c r="B346" s="5" t="s">
        <v>155</v>
      </c>
      <c r="C346" s="3">
        <f>SUM(C341:C345)</f>
        <v>0</v>
      </c>
      <c r="D346" s="3">
        <f>C346-C336</f>
        <v>0</v>
      </c>
      <c r="H346" s="57"/>
    </row>
    <row r="347" spans="2:8" ht="14.5" x14ac:dyDescent="0.35">
      <c r="H347" s="57"/>
    </row>
    <row r="348" spans="2:8" ht="14.5" x14ac:dyDescent="0.35">
      <c r="B348" t="s">
        <v>175</v>
      </c>
      <c r="C348" s="43">
        <f>C344</f>
        <v>0</v>
      </c>
      <c r="D348" s="74"/>
      <c r="H348" s="57"/>
    </row>
    <row r="349" spans="2:8" ht="14.5" x14ac:dyDescent="0.35">
      <c r="H349" s="57"/>
    </row>
    <row r="350" spans="2:8" ht="14.5" x14ac:dyDescent="0.35">
      <c r="H350" s="57"/>
    </row>
    <row r="351" spans="2:8" x14ac:dyDescent="0.3">
      <c r="C351">
        <v>1</v>
      </c>
      <c r="D351">
        <v>2</v>
      </c>
      <c r="E351">
        <v>3</v>
      </c>
      <c r="H351" s="51"/>
    </row>
    <row r="352" spans="2:8" x14ac:dyDescent="0.3">
      <c r="B352" t="s">
        <v>36</v>
      </c>
      <c r="C352" s="3">
        <f>C303</f>
        <v>0</v>
      </c>
      <c r="D352" s="3">
        <f>D303</f>
        <v>0</v>
      </c>
      <c r="E352" s="3">
        <f>E303</f>
        <v>0</v>
      </c>
      <c r="H352" s="51"/>
    </row>
    <row r="353" spans="2:8" x14ac:dyDescent="0.3">
      <c r="B353" t="s">
        <v>106</v>
      </c>
      <c r="C353" s="3">
        <f>J30</f>
        <v>100000</v>
      </c>
      <c r="D353" s="3">
        <f>K30</f>
        <v>79200</v>
      </c>
      <c r="E353" s="3">
        <f>L30</f>
        <v>70567.199999999997</v>
      </c>
      <c r="H353" s="51"/>
    </row>
    <row r="354" spans="2:8" x14ac:dyDescent="0.3">
      <c r="H354" s="51"/>
    </row>
    <row r="355" spans="2:8" x14ac:dyDescent="0.3">
      <c r="H355" s="51"/>
    </row>
    <row r="356" spans="2:8" x14ac:dyDescent="0.3">
      <c r="H356" s="51"/>
    </row>
    <row r="357" spans="2:8" x14ac:dyDescent="0.3">
      <c r="H357" s="51"/>
    </row>
    <row r="358" spans="2:8" x14ac:dyDescent="0.3">
      <c r="H358" s="51"/>
    </row>
  </sheetData>
  <dataValidations count="1">
    <dataValidation type="list" allowBlank="1" showInputMessage="1" showErrorMessage="1" sqref="C4" xr:uid="{D647C9C8-6310-41BE-9EEC-868E600D72D8}">
      <formula1>$F$2:$F$6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AEE6B715A08048ADEE35852ECB6708" ma:contentTypeVersion="16" ma:contentTypeDescription="Create a new document." ma:contentTypeScope="" ma:versionID="166768247869e0fed04390d45e43516c">
  <xsd:schema xmlns:xsd="http://www.w3.org/2001/XMLSchema" xmlns:xs="http://www.w3.org/2001/XMLSchema" xmlns:p="http://schemas.microsoft.com/office/2006/metadata/properties" xmlns:ns1="http://schemas.microsoft.com/sharepoint/v3" xmlns:ns2="2e62f9a1-6b4f-4142-a286-d5cd9a077995" xmlns:ns3="63ff88a5-1261-4e69-af65-167208e56433" targetNamespace="http://schemas.microsoft.com/office/2006/metadata/properties" ma:root="true" ma:fieldsID="78b3222690626eac82b10c7144d385b2" ns1:_="" ns2:_="" ns3:_="">
    <xsd:import namespace="http://schemas.microsoft.com/sharepoint/v3"/>
    <xsd:import namespace="2e62f9a1-6b4f-4142-a286-d5cd9a077995"/>
    <xsd:import namespace="63ff88a5-1261-4e69-af65-167208e56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2f9a1-6b4f-4142-a286-d5cd9a0779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790f828-4d96-4d10-bc53-6c3febba0b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f88a5-1261-4e69-af65-167208e5643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16b6dbd-2851-4f6f-aa81-2e158a887d45}" ma:internalName="TaxCatchAll" ma:showField="CatchAllData" ma:web="63ff88a5-1261-4e69-af65-167208e564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05A9DE-A222-4C71-817F-C6C2FD3E2CFA}"/>
</file>

<file path=customXml/itemProps2.xml><?xml version="1.0" encoding="utf-8"?>
<ds:datastoreItem xmlns:ds="http://schemas.openxmlformats.org/officeDocument/2006/customXml" ds:itemID="{10843A06-ACEF-4E0A-8589-F88AC67BFB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Disclaimer</vt:lpstr>
      <vt:lpstr>Glossary</vt:lpstr>
      <vt:lpstr>Illustration for training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Chadha (IRR/ICT/Life, Gurugram)</dc:creator>
  <cp:lastModifiedBy>Chadha, Abhishek (Gurgaon)</cp:lastModifiedBy>
  <dcterms:created xsi:type="dcterms:W3CDTF">2015-06-05T18:17:20Z</dcterms:created>
  <dcterms:modified xsi:type="dcterms:W3CDTF">2023-10-25T14:49:28Z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2022-12-12T10:25:40Z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8067826c-9b50-4275-a1bb-fadefeeff0a7</vt:lpwstr>
  </property>
  <property fmtid="{D5CDD505-2E9C-101B-9397-08002B2CF9AE}" pid="8" name="MSIP_Label_d347b247-e90e-43a3-9d7b-004f14ae6873_ContentBits">
    <vt:lpwstr>0</vt:lpwstr>
  </property>
</Properties>
</file>