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hartEx1.xml" ContentType="application/vnd.ms-office.chartex+xml"/>
  <Override PartName="/xl/charts/chartEx2.xml" ContentType="application/vnd.ms-office.chartex+xml"/>
  <Override PartName="/xl/charts/chartEx3.xml" ContentType="application/vnd.ms-office.chartex+xml"/>
  <Override PartName="/xl/charts/colors20.xml" ContentType="application/vnd.ms-office.chartcolorstyle+xml"/>
  <Override PartName="/xl/charts/style20.xml" ContentType="application/vnd.ms-office.chartstyle+xml"/>
  <Override PartName="/xl/charts/colors40.xml" ContentType="application/vnd.ms-office.chartcolorstyle+xml"/>
  <Override PartName="/xl/charts/style40.xml" ContentType="application/vnd.ms-office.chartstyle+xml"/>
  <Override PartName="/xl/charts/colors5.xml" ContentType="application/vnd.ms-office.chartcolorstyle+xml"/>
  <Override PartName="/xl/charts/style5.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ctuarial Examination\Year 2022_July Exam\Examiner Report\To be sent to EAG\"/>
    </mc:Choice>
  </mc:AlternateContent>
  <bookViews>
    <workbookView xWindow="0" yWindow="0" windowWidth="20490" windowHeight="7755"/>
  </bookViews>
  <sheets>
    <sheet name="Examiner Report" sheetId="17" r:id="rId1"/>
    <sheet name="Summary_Sol" sheetId="16" r:id="rId2"/>
    <sheet name="Parameters" sheetId="5" r:id="rId3"/>
    <sheet name="Mortality rates" sheetId="4" r:id="rId4"/>
    <sheet name="Assumptions" sheetId="3" r:id="rId5"/>
    <sheet name="Calculation_Old Regime" sheetId="6" r:id="rId6"/>
    <sheet name="Calculation_New Regime" sheetId="2" r:id="rId7"/>
    <sheet name="Calculation_Scenario 1" sheetId="11" r:id="rId8"/>
    <sheet name="Calculation_Scenario 2" sheetId="14" r:id="rId9"/>
    <sheet name="Summary" sheetId="7" r:id="rId10"/>
    <sheet name="Calculation_Remove Flooring" sheetId="8" r:id="rId11"/>
    <sheet name="Calculation_New Discount" sheetId="9" r:id="rId12"/>
    <sheet name="Calculation_Replace MAD with RA" sheetId="10" r:id="rId13"/>
    <sheet name="Calculation_70% Attributable" sheetId="13" r:id="rId14"/>
    <sheet name="Calculation_Discount_LP_1%" sheetId="15" r:id="rId15"/>
  </sheets>
  <definedNames>
    <definedName name="_xlchart.v5.0" hidden="1">Summary!$C$135:$C$140</definedName>
    <definedName name="_xlchart.v5.1" hidden="1">Summary!$D$135:$D$140</definedName>
    <definedName name="_xlchart.v5.2" hidden="1">Summary!$C$41:$C$46</definedName>
    <definedName name="_xlchart.v5.3" hidden="1">Summary!$D$41:$D$46</definedName>
    <definedName name="_xlchart.v5.4" hidden="1">Summary!$C$108:$C$113</definedName>
    <definedName name="_xlchart.v5.5" hidden="1">Summary!$D$108:$D$113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6" i="15" l="1"/>
  <c r="O25" i="15" s="1"/>
  <c r="O24" i="15" s="1"/>
  <c r="O23" i="15" s="1"/>
  <c r="O22" i="15" s="1"/>
  <c r="O21" i="15" s="1"/>
  <c r="O20" i="15" s="1"/>
  <c r="O19" i="15" s="1"/>
  <c r="O18" i="15" s="1"/>
  <c r="O17" i="15" s="1"/>
  <c r="O16" i="15" s="1"/>
  <c r="O15" i="15" s="1"/>
  <c r="O14" i="15" s="1"/>
  <c r="O13" i="15" s="1"/>
  <c r="O12" i="15" s="1"/>
  <c r="O11" i="15" s="1"/>
  <c r="O10" i="15" s="1"/>
  <c r="O9" i="15" s="1"/>
  <c r="O8" i="15" s="1"/>
  <c r="O7" i="15" s="1"/>
  <c r="N26" i="15"/>
  <c r="N25" i="15"/>
  <c r="N24" i="15"/>
  <c r="N23" i="15"/>
  <c r="N22" i="15"/>
  <c r="N21" i="15"/>
  <c r="N20" i="15"/>
  <c r="N19" i="15"/>
  <c r="N18" i="15"/>
  <c r="N17" i="15"/>
  <c r="N16" i="15"/>
  <c r="N15" i="15"/>
  <c r="N14" i="15"/>
  <c r="N13" i="15"/>
  <c r="N12" i="15"/>
  <c r="N11" i="15"/>
  <c r="N10" i="15"/>
  <c r="N9" i="15"/>
  <c r="N8" i="15"/>
  <c r="N7" i="15"/>
  <c r="O26" i="13"/>
  <c r="O25" i="13" s="1"/>
  <c r="O24" i="13" s="1"/>
  <c r="O23" i="13" s="1"/>
  <c r="O22" i="13" s="1"/>
  <c r="O21" i="13" s="1"/>
  <c r="O20" i="13" s="1"/>
  <c r="O19" i="13" s="1"/>
  <c r="O18" i="13" s="1"/>
  <c r="O17" i="13" s="1"/>
  <c r="O16" i="13" s="1"/>
  <c r="O15" i="13" s="1"/>
  <c r="O14" i="13" s="1"/>
  <c r="O13" i="13" s="1"/>
  <c r="O12" i="13" s="1"/>
  <c r="O11" i="13" s="1"/>
  <c r="O10" i="13" s="1"/>
  <c r="O9" i="13" s="1"/>
  <c r="O8" i="13" s="1"/>
  <c r="O7" i="13" s="1"/>
  <c r="N26" i="13"/>
  <c r="N25" i="13"/>
  <c r="N24" i="13"/>
  <c r="N23" i="13"/>
  <c r="N22" i="13"/>
  <c r="N21" i="13"/>
  <c r="N20" i="13"/>
  <c r="N19" i="13"/>
  <c r="N18" i="13"/>
  <c r="N17" i="13"/>
  <c r="N16" i="13"/>
  <c r="N15" i="13"/>
  <c r="N14" i="13"/>
  <c r="N13" i="13"/>
  <c r="N12" i="13"/>
  <c r="N11" i="13"/>
  <c r="N10" i="13"/>
  <c r="N9" i="13"/>
  <c r="N8" i="13"/>
  <c r="N7" i="13"/>
  <c r="O26" i="10"/>
  <c r="O25" i="10" s="1"/>
  <c r="O24" i="10" s="1"/>
  <c r="O23" i="10" s="1"/>
  <c r="O22" i="10" s="1"/>
  <c r="O21" i="10" s="1"/>
  <c r="O20" i="10" s="1"/>
  <c r="O19" i="10" s="1"/>
  <c r="O18" i="10" s="1"/>
  <c r="O17" i="10" s="1"/>
  <c r="O16" i="10" s="1"/>
  <c r="O15" i="10" s="1"/>
  <c r="O14" i="10" s="1"/>
  <c r="O13" i="10" s="1"/>
  <c r="O12" i="10" s="1"/>
  <c r="O11" i="10" s="1"/>
  <c r="O10" i="10" s="1"/>
  <c r="O9" i="10" s="1"/>
  <c r="O8" i="10" s="1"/>
  <c r="O7" i="10" s="1"/>
  <c r="N26" i="10"/>
  <c r="N25" i="10"/>
  <c r="N24" i="10"/>
  <c r="N23" i="10"/>
  <c r="N22" i="10"/>
  <c r="N21" i="10"/>
  <c r="N20" i="10"/>
  <c r="N19" i="10"/>
  <c r="N18" i="10"/>
  <c r="N17" i="10"/>
  <c r="N16" i="10"/>
  <c r="N15" i="10"/>
  <c r="N14" i="10"/>
  <c r="N13" i="10"/>
  <c r="N12" i="10"/>
  <c r="N11" i="10"/>
  <c r="N10" i="10"/>
  <c r="N9" i="10"/>
  <c r="N8" i="10"/>
  <c r="N7" i="10"/>
  <c r="O26" i="9"/>
  <c r="O25" i="9" s="1"/>
  <c r="O24" i="9" s="1"/>
  <c r="O23" i="9" s="1"/>
  <c r="O22" i="9" s="1"/>
  <c r="O21" i="9" s="1"/>
  <c r="O20" i="9" s="1"/>
  <c r="O19" i="9" s="1"/>
  <c r="O18" i="9" s="1"/>
  <c r="O17" i="9" s="1"/>
  <c r="O16" i="9" s="1"/>
  <c r="O15" i="9" s="1"/>
  <c r="O14" i="9" s="1"/>
  <c r="O13" i="9" s="1"/>
  <c r="O12" i="9" s="1"/>
  <c r="O11" i="9" s="1"/>
  <c r="O10" i="9" s="1"/>
  <c r="O9" i="9" s="1"/>
  <c r="O8" i="9" s="1"/>
  <c r="O7" i="9" s="1"/>
  <c r="N26" i="9"/>
  <c r="N25" i="9"/>
  <c r="N24" i="9"/>
  <c r="N23" i="9"/>
  <c r="N22" i="9"/>
  <c r="N21" i="9"/>
  <c r="N20" i="9"/>
  <c r="N19" i="9"/>
  <c r="N18" i="9"/>
  <c r="N17" i="9"/>
  <c r="N16" i="9"/>
  <c r="N15" i="9"/>
  <c r="N14" i="9"/>
  <c r="N13" i="9"/>
  <c r="N12" i="9"/>
  <c r="N11" i="9"/>
  <c r="N10" i="9"/>
  <c r="N9" i="9"/>
  <c r="N8" i="9"/>
  <c r="N7" i="9"/>
  <c r="O26" i="8"/>
  <c r="O25" i="8" s="1"/>
  <c r="O24" i="8" s="1"/>
  <c r="O23" i="8" s="1"/>
  <c r="O22" i="8" s="1"/>
  <c r="O21" i="8" s="1"/>
  <c r="O20" i="8" s="1"/>
  <c r="O19" i="8" s="1"/>
  <c r="O18" i="8" s="1"/>
  <c r="O17" i="8" s="1"/>
  <c r="O16" i="8" s="1"/>
  <c r="O15" i="8" s="1"/>
  <c r="O14" i="8" s="1"/>
  <c r="O13" i="8" s="1"/>
  <c r="O12" i="8" s="1"/>
  <c r="O11" i="8" s="1"/>
  <c r="O10" i="8" s="1"/>
  <c r="O9" i="8" s="1"/>
  <c r="O8" i="8" s="1"/>
  <c r="O7" i="8" s="1"/>
  <c r="N26" i="8"/>
  <c r="N25" i="8"/>
  <c r="N24" i="8"/>
  <c r="N23" i="8"/>
  <c r="N22" i="8"/>
  <c r="N21" i="8"/>
  <c r="N20" i="8"/>
  <c r="N19" i="8"/>
  <c r="N18" i="8"/>
  <c r="N17" i="8"/>
  <c r="N16" i="8"/>
  <c r="N15" i="8"/>
  <c r="N14" i="8"/>
  <c r="N13" i="8"/>
  <c r="N12" i="8"/>
  <c r="N11" i="8"/>
  <c r="N10" i="8"/>
  <c r="N9" i="8"/>
  <c r="N8" i="8"/>
  <c r="N7" i="8"/>
  <c r="O26" i="14"/>
  <c r="O25" i="14" s="1"/>
  <c r="O24" i="14" s="1"/>
  <c r="O23" i="14" s="1"/>
  <c r="O22" i="14" s="1"/>
  <c r="O21" i="14" s="1"/>
  <c r="O20" i="14" s="1"/>
  <c r="O19" i="14" s="1"/>
  <c r="O18" i="14" s="1"/>
  <c r="O17" i="14" s="1"/>
  <c r="O16" i="14" s="1"/>
  <c r="O15" i="14" s="1"/>
  <c r="O14" i="14" s="1"/>
  <c r="O13" i="14" s="1"/>
  <c r="O12" i="14" s="1"/>
  <c r="O11" i="14" s="1"/>
  <c r="O10" i="14" s="1"/>
  <c r="O9" i="14" s="1"/>
  <c r="O8" i="14" s="1"/>
  <c r="O7" i="14" s="1"/>
  <c r="N26" i="14"/>
  <c r="N25" i="14"/>
  <c r="N24" i="14"/>
  <c r="N23" i="14"/>
  <c r="N22" i="14"/>
  <c r="N21" i="14"/>
  <c r="N20" i="14"/>
  <c r="N19" i="14"/>
  <c r="N18" i="14"/>
  <c r="N17" i="14"/>
  <c r="N16" i="14"/>
  <c r="N15" i="14"/>
  <c r="N14" i="14"/>
  <c r="N13" i="14"/>
  <c r="N12" i="14"/>
  <c r="N11" i="14"/>
  <c r="N10" i="14"/>
  <c r="N9" i="14"/>
  <c r="N8" i="14"/>
  <c r="N7" i="14"/>
  <c r="O26" i="11"/>
  <c r="O25" i="11"/>
  <c r="O24" i="11" s="1"/>
  <c r="O23" i="11" s="1"/>
  <c r="O22" i="11" s="1"/>
  <c r="O21" i="11" s="1"/>
  <c r="O20" i="11" s="1"/>
  <c r="O19" i="11" s="1"/>
  <c r="O18" i="11" s="1"/>
  <c r="O17" i="11" s="1"/>
  <c r="O16" i="11" s="1"/>
  <c r="O15" i="11" s="1"/>
  <c r="O14" i="11" s="1"/>
  <c r="O13" i="11" s="1"/>
  <c r="O12" i="11" s="1"/>
  <c r="O11" i="11" s="1"/>
  <c r="O10" i="11" s="1"/>
  <c r="O9" i="11" s="1"/>
  <c r="O8" i="11" s="1"/>
  <c r="O7" i="11" s="1"/>
  <c r="N26" i="11"/>
  <c r="N25" i="11"/>
  <c r="N24" i="11"/>
  <c r="N23" i="11"/>
  <c r="N22" i="11"/>
  <c r="N21" i="11"/>
  <c r="N20" i="11"/>
  <c r="N19" i="11"/>
  <c r="N18" i="11"/>
  <c r="N17" i="11"/>
  <c r="N16" i="11"/>
  <c r="N15" i="11"/>
  <c r="N14" i="11"/>
  <c r="N13" i="11"/>
  <c r="N12" i="11"/>
  <c r="N11" i="11"/>
  <c r="N10" i="11"/>
  <c r="N9" i="11"/>
  <c r="N8" i="11"/>
  <c r="N7" i="11"/>
  <c r="O26" i="2"/>
  <c r="O25" i="2"/>
  <c r="O24" i="2"/>
  <c r="O23" i="2"/>
  <c r="O22" i="2" s="1"/>
  <c r="O21" i="2" s="1"/>
  <c r="O20" i="2" s="1"/>
  <c r="O19" i="2" s="1"/>
  <c r="O18" i="2" s="1"/>
  <c r="O17" i="2" s="1"/>
  <c r="O16" i="2" s="1"/>
  <c r="O15" i="2" s="1"/>
  <c r="O14" i="2" s="1"/>
  <c r="O13" i="2" s="1"/>
  <c r="O12" i="2" s="1"/>
  <c r="O11" i="2" s="1"/>
  <c r="O10" i="2" s="1"/>
  <c r="O9" i="2" s="1"/>
  <c r="O8" i="2" s="1"/>
  <c r="O7" i="2" s="1"/>
  <c r="N26" i="2"/>
  <c r="N25" i="2"/>
  <c r="N24" i="2"/>
  <c r="N23" i="2"/>
  <c r="N22" i="2"/>
  <c r="N21" i="2"/>
  <c r="N20" i="2"/>
  <c r="N19" i="2"/>
  <c r="N18" i="2"/>
  <c r="N17" i="2"/>
  <c r="N16" i="2"/>
  <c r="N15" i="2"/>
  <c r="N14" i="2"/>
  <c r="N13" i="2"/>
  <c r="N12" i="2"/>
  <c r="N11" i="2"/>
  <c r="N10" i="2"/>
  <c r="N9" i="2"/>
  <c r="N8" i="2"/>
  <c r="N7" i="2"/>
  <c r="O26" i="6"/>
  <c r="O25" i="6" s="1"/>
  <c r="O24" i="6" s="1"/>
  <c r="O23" i="6" s="1"/>
  <c r="O22" i="6" s="1"/>
  <c r="O21" i="6" s="1"/>
  <c r="O20" i="6" s="1"/>
  <c r="O19" i="6" s="1"/>
  <c r="O18" i="6" s="1"/>
  <c r="O17" i="6" s="1"/>
  <c r="O16" i="6" s="1"/>
  <c r="O15" i="6" s="1"/>
  <c r="O14" i="6" s="1"/>
  <c r="O13" i="6" s="1"/>
  <c r="O12" i="6" s="1"/>
  <c r="O11" i="6" s="1"/>
  <c r="O10" i="6" s="1"/>
  <c r="O9" i="6" s="1"/>
  <c r="O8" i="6" s="1"/>
  <c r="O7" i="6" s="1"/>
  <c r="N26" i="6"/>
  <c r="N25" i="6"/>
  <c r="N24" i="6"/>
  <c r="N23" i="6"/>
  <c r="N22" i="6"/>
  <c r="N21" i="6"/>
  <c r="N20" i="6"/>
  <c r="N19" i="6"/>
  <c r="N18" i="6"/>
  <c r="N17" i="6"/>
  <c r="N16" i="6"/>
  <c r="N15" i="6"/>
  <c r="N14" i="6"/>
  <c r="N13" i="6"/>
  <c r="N12" i="6"/>
  <c r="N11" i="6"/>
  <c r="N10" i="6"/>
  <c r="N9" i="6"/>
  <c r="N8" i="6"/>
  <c r="N7" i="6"/>
  <c r="H3" i="15"/>
  <c r="H3" i="14"/>
  <c r="B87" i="7"/>
  <c r="B86" i="7"/>
  <c r="B85" i="7"/>
  <c r="B84" i="7"/>
  <c r="B83" i="7"/>
  <c r="B82" i="7"/>
  <c r="B81" i="7"/>
  <c r="B80" i="7"/>
  <c r="B79" i="7"/>
  <c r="B78" i="7"/>
  <c r="B77" i="7"/>
  <c r="B76" i="7"/>
  <c r="B75" i="7"/>
  <c r="B74" i="7"/>
  <c r="B73" i="7"/>
  <c r="B72" i="7"/>
  <c r="B71" i="7"/>
  <c r="B70" i="7"/>
  <c r="B69" i="7"/>
  <c r="B68" i="7"/>
  <c r="D44" i="7"/>
  <c r="H3" i="10"/>
  <c r="F26" i="15"/>
  <c r="D26" i="15"/>
  <c r="C26" i="15"/>
  <c r="B26" i="15"/>
  <c r="F25" i="15"/>
  <c r="D25" i="15"/>
  <c r="C25" i="15"/>
  <c r="B25" i="15"/>
  <c r="F24" i="15"/>
  <c r="D24" i="15"/>
  <c r="C24" i="15"/>
  <c r="B24" i="15"/>
  <c r="F23" i="15"/>
  <c r="D23" i="15"/>
  <c r="C23" i="15"/>
  <c r="B23" i="15"/>
  <c r="F22" i="15"/>
  <c r="D22" i="15"/>
  <c r="C22" i="15"/>
  <c r="B22" i="15"/>
  <c r="F21" i="15"/>
  <c r="D21" i="15"/>
  <c r="C21" i="15"/>
  <c r="B21" i="15"/>
  <c r="F20" i="15"/>
  <c r="D20" i="15"/>
  <c r="C20" i="15"/>
  <c r="B20" i="15"/>
  <c r="F19" i="15"/>
  <c r="D19" i="15"/>
  <c r="C19" i="15"/>
  <c r="B19" i="15"/>
  <c r="F18" i="15"/>
  <c r="D18" i="15"/>
  <c r="C18" i="15"/>
  <c r="B18" i="15"/>
  <c r="F17" i="15"/>
  <c r="D17" i="15"/>
  <c r="C17" i="15"/>
  <c r="B17" i="15"/>
  <c r="F16" i="15"/>
  <c r="D16" i="15"/>
  <c r="C16" i="15"/>
  <c r="B16" i="15"/>
  <c r="F15" i="15"/>
  <c r="D15" i="15"/>
  <c r="C15" i="15"/>
  <c r="B15" i="15"/>
  <c r="F14" i="15"/>
  <c r="D14" i="15"/>
  <c r="C14" i="15"/>
  <c r="B14" i="15"/>
  <c r="F13" i="15"/>
  <c r="D13" i="15"/>
  <c r="C13" i="15"/>
  <c r="B13" i="15"/>
  <c r="F12" i="15"/>
  <c r="D12" i="15"/>
  <c r="C12" i="15"/>
  <c r="B12" i="15"/>
  <c r="F11" i="15"/>
  <c r="D11" i="15"/>
  <c r="C11" i="15"/>
  <c r="B11" i="15"/>
  <c r="F10" i="15"/>
  <c r="D10" i="15"/>
  <c r="C10" i="15"/>
  <c r="B10" i="15"/>
  <c r="F9" i="15"/>
  <c r="D9" i="15"/>
  <c r="C9" i="15"/>
  <c r="B9" i="15"/>
  <c r="F8" i="15"/>
  <c r="D8" i="15"/>
  <c r="C8" i="15"/>
  <c r="B8" i="15"/>
  <c r="M7" i="15"/>
  <c r="M8" i="15" s="1"/>
  <c r="F7" i="15"/>
  <c r="E7" i="15" s="1"/>
  <c r="D7" i="15"/>
  <c r="C7" i="15"/>
  <c r="G7" i="15" s="1"/>
  <c r="B7" i="15"/>
  <c r="K7" i="15" s="1"/>
  <c r="F26" i="14"/>
  <c r="D26" i="14"/>
  <c r="C26" i="14"/>
  <c r="B26" i="14"/>
  <c r="F25" i="14"/>
  <c r="D25" i="14"/>
  <c r="C25" i="14"/>
  <c r="B25" i="14"/>
  <c r="F24" i="14"/>
  <c r="D24" i="14"/>
  <c r="C24" i="14"/>
  <c r="B24" i="14"/>
  <c r="F23" i="14"/>
  <c r="D23" i="14"/>
  <c r="C23" i="14"/>
  <c r="B23" i="14"/>
  <c r="F22" i="14"/>
  <c r="D22" i="14"/>
  <c r="C22" i="14"/>
  <c r="B22" i="14"/>
  <c r="F21" i="14"/>
  <c r="D21" i="14"/>
  <c r="C21" i="14"/>
  <c r="B21" i="14"/>
  <c r="F20" i="14"/>
  <c r="D20" i="14"/>
  <c r="C20" i="14"/>
  <c r="B20" i="14"/>
  <c r="F19" i="14"/>
  <c r="D19" i="14"/>
  <c r="C19" i="14"/>
  <c r="B19" i="14"/>
  <c r="F18" i="14"/>
  <c r="D18" i="14"/>
  <c r="C18" i="14"/>
  <c r="B18" i="14"/>
  <c r="F17" i="14"/>
  <c r="D17" i="14"/>
  <c r="C17" i="14"/>
  <c r="B17" i="14"/>
  <c r="F16" i="14"/>
  <c r="D16" i="14"/>
  <c r="C16" i="14"/>
  <c r="B16" i="14"/>
  <c r="F15" i="14"/>
  <c r="D15" i="14"/>
  <c r="C15" i="14"/>
  <c r="B15" i="14"/>
  <c r="F14" i="14"/>
  <c r="D14" i="14"/>
  <c r="C14" i="14"/>
  <c r="B14" i="14"/>
  <c r="F13" i="14"/>
  <c r="D13" i="14"/>
  <c r="C13" i="14"/>
  <c r="B13" i="14"/>
  <c r="F12" i="14"/>
  <c r="D12" i="14"/>
  <c r="C12" i="14"/>
  <c r="B12" i="14"/>
  <c r="F11" i="14"/>
  <c r="D11" i="14"/>
  <c r="C11" i="14"/>
  <c r="B11" i="14"/>
  <c r="F10" i="14"/>
  <c r="D10" i="14"/>
  <c r="C10" i="14"/>
  <c r="B10" i="14"/>
  <c r="F9" i="14"/>
  <c r="D9" i="14"/>
  <c r="C9" i="14"/>
  <c r="B9" i="14"/>
  <c r="F8" i="14"/>
  <c r="D8" i="14"/>
  <c r="C8" i="14"/>
  <c r="B8" i="14"/>
  <c r="M7" i="14"/>
  <c r="M8" i="14" s="1"/>
  <c r="K7" i="14"/>
  <c r="F7" i="14"/>
  <c r="E7" i="14" s="1"/>
  <c r="D7" i="14"/>
  <c r="C7" i="14"/>
  <c r="G7" i="14" s="1"/>
  <c r="B7" i="14"/>
  <c r="M7" i="13"/>
  <c r="M8" i="13" s="1"/>
  <c r="M9" i="13" s="1"/>
  <c r="F26" i="13"/>
  <c r="D26" i="13"/>
  <c r="C26" i="13"/>
  <c r="B26" i="13"/>
  <c r="F25" i="13"/>
  <c r="D25" i="13"/>
  <c r="C25" i="13"/>
  <c r="B25" i="13"/>
  <c r="F24" i="13"/>
  <c r="D24" i="13"/>
  <c r="C24" i="13"/>
  <c r="B24" i="13"/>
  <c r="F23" i="13"/>
  <c r="D23" i="13"/>
  <c r="C23" i="13"/>
  <c r="B23" i="13"/>
  <c r="F22" i="13"/>
  <c r="D22" i="13"/>
  <c r="C22" i="13"/>
  <c r="B22" i="13"/>
  <c r="F21" i="13"/>
  <c r="D21" i="13"/>
  <c r="C21" i="13"/>
  <c r="B21" i="13"/>
  <c r="F20" i="13"/>
  <c r="D20" i="13"/>
  <c r="C20" i="13"/>
  <c r="B20" i="13"/>
  <c r="F19" i="13"/>
  <c r="D19" i="13"/>
  <c r="C19" i="13"/>
  <c r="B19" i="13"/>
  <c r="F18" i="13"/>
  <c r="D18" i="13"/>
  <c r="C18" i="13"/>
  <c r="B18" i="13"/>
  <c r="F17" i="13"/>
  <c r="D17" i="13"/>
  <c r="C17" i="13"/>
  <c r="B17" i="13"/>
  <c r="F16" i="13"/>
  <c r="D16" i="13"/>
  <c r="C16" i="13"/>
  <c r="B16" i="13"/>
  <c r="F15" i="13"/>
  <c r="D15" i="13"/>
  <c r="C15" i="13"/>
  <c r="B15" i="13"/>
  <c r="F14" i="13"/>
  <c r="D14" i="13"/>
  <c r="C14" i="13"/>
  <c r="B14" i="13"/>
  <c r="F13" i="13"/>
  <c r="D13" i="13"/>
  <c r="C13" i="13"/>
  <c r="B13" i="13"/>
  <c r="F12" i="13"/>
  <c r="D12" i="13"/>
  <c r="C12" i="13"/>
  <c r="B12" i="13"/>
  <c r="F11" i="13"/>
  <c r="D11" i="13"/>
  <c r="C11" i="13"/>
  <c r="B11" i="13"/>
  <c r="F10" i="13"/>
  <c r="D10" i="13"/>
  <c r="C10" i="13"/>
  <c r="B10" i="13"/>
  <c r="F9" i="13"/>
  <c r="D9" i="13"/>
  <c r="C9" i="13"/>
  <c r="B9" i="13"/>
  <c r="F8" i="13"/>
  <c r="D8" i="13"/>
  <c r="C8" i="13"/>
  <c r="B8" i="13"/>
  <c r="F7" i="13"/>
  <c r="E7" i="13" s="1"/>
  <c r="D7" i="13"/>
  <c r="C7" i="13"/>
  <c r="B7" i="13"/>
  <c r="K7" i="13" s="1"/>
  <c r="H3" i="13"/>
  <c r="M7" i="11"/>
  <c r="M8" i="11" s="1"/>
  <c r="M9" i="11" s="1"/>
  <c r="M10" i="11" s="1"/>
  <c r="M11" i="11" s="1"/>
  <c r="M12" i="11" s="1"/>
  <c r="M13" i="11" s="1"/>
  <c r="M14" i="11" s="1"/>
  <c r="M15" i="11" s="1"/>
  <c r="M16" i="11" s="1"/>
  <c r="M17" i="11" s="1"/>
  <c r="M18" i="11" s="1"/>
  <c r="M19" i="11" s="1"/>
  <c r="M20" i="11" s="1"/>
  <c r="M21" i="11" s="1"/>
  <c r="M22" i="11" s="1"/>
  <c r="M23" i="11" s="1"/>
  <c r="M24" i="11" s="1"/>
  <c r="M25" i="11" s="1"/>
  <c r="M26" i="11" s="1"/>
  <c r="F26" i="11"/>
  <c r="D26" i="11"/>
  <c r="C26" i="11"/>
  <c r="B26" i="11"/>
  <c r="F25" i="11"/>
  <c r="D25" i="11"/>
  <c r="C25" i="11"/>
  <c r="B25" i="11"/>
  <c r="F24" i="11"/>
  <c r="D24" i="11"/>
  <c r="C24" i="11"/>
  <c r="B24" i="11"/>
  <c r="F23" i="11"/>
  <c r="D23" i="11"/>
  <c r="C23" i="11"/>
  <c r="B23" i="11"/>
  <c r="F22" i="11"/>
  <c r="D22" i="11"/>
  <c r="C22" i="11"/>
  <c r="B22" i="11"/>
  <c r="F21" i="11"/>
  <c r="D21" i="11"/>
  <c r="C21" i="11"/>
  <c r="B21" i="11"/>
  <c r="F20" i="11"/>
  <c r="D20" i="11"/>
  <c r="C20" i="11"/>
  <c r="B20" i="11"/>
  <c r="F19" i="11"/>
  <c r="D19" i="11"/>
  <c r="C19" i="11"/>
  <c r="B19" i="11"/>
  <c r="F18" i="11"/>
  <c r="D18" i="11"/>
  <c r="C18" i="11"/>
  <c r="B18" i="11"/>
  <c r="F17" i="11"/>
  <c r="D17" i="11"/>
  <c r="C17" i="11"/>
  <c r="B17" i="11"/>
  <c r="F16" i="11"/>
  <c r="D16" i="11"/>
  <c r="C16" i="11"/>
  <c r="B16" i="11"/>
  <c r="F15" i="11"/>
  <c r="D15" i="11"/>
  <c r="C15" i="11"/>
  <c r="B15" i="11"/>
  <c r="F14" i="11"/>
  <c r="D14" i="11"/>
  <c r="C14" i="11"/>
  <c r="B14" i="11"/>
  <c r="F13" i="11"/>
  <c r="D13" i="11"/>
  <c r="C13" i="11"/>
  <c r="B13" i="11"/>
  <c r="F12" i="11"/>
  <c r="D12" i="11"/>
  <c r="C12" i="11"/>
  <c r="B12" i="11"/>
  <c r="F11" i="11"/>
  <c r="D11" i="11"/>
  <c r="C11" i="11"/>
  <c r="B11" i="11"/>
  <c r="F10" i="11"/>
  <c r="D10" i="11"/>
  <c r="C10" i="11"/>
  <c r="B10" i="11"/>
  <c r="F9" i="11"/>
  <c r="D9" i="11"/>
  <c r="C9" i="11"/>
  <c r="B9" i="11"/>
  <c r="F8" i="11"/>
  <c r="G8" i="11" s="1"/>
  <c r="D8" i="11"/>
  <c r="C8" i="11"/>
  <c r="B8" i="11"/>
  <c r="F7" i="11"/>
  <c r="E7" i="11" s="1"/>
  <c r="D7" i="11"/>
  <c r="C7" i="11"/>
  <c r="G7" i="11" s="1"/>
  <c r="B7" i="11"/>
  <c r="K7" i="11" s="1"/>
  <c r="H3" i="11"/>
  <c r="I7" i="15" l="1"/>
  <c r="E8" i="15"/>
  <c r="G9" i="15" s="1"/>
  <c r="K8" i="15"/>
  <c r="M9" i="15"/>
  <c r="G8" i="15"/>
  <c r="G9" i="14"/>
  <c r="K9" i="14"/>
  <c r="M9" i="14"/>
  <c r="K8" i="14"/>
  <c r="E8" i="14"/>
  <c r="I7" i="14"/>
  <c r="G8" i="14"/>
  <c r="I7" i="13"/>
  <c r="E8" i="13"/>
  <c r="G9" i="13" s="1"/>
  <c r="K8" i="13"/>
  <c r="G8" i="13"/>
  <c r="M10" i="13"/>
  <c r="G7" i="13"/>
  <c r="E8" i="11"/>
  <c r="G9" i="11" s="1"/>
  <c r="I7" i="11"/>
  <c r="K8" i="11"/>
  <c r="M10" i="15" l="1"/>
  <c r="I8" i="15"/>
  <c r="E9" i="15"/>
  <c r="K9" i="15"/>
  <c r="M10" i="14"/>
  <c r="E9" i="14"/>
  <c r="I8" i="14"/>
  <c r="M11" i="13"/>
  <c r="I8" i="13"/>
  <c r="E9" i="13"/>
  <c r="K9" i="13"/>
  <c r="K9" i="11"/>
  <c r="E9" i="11"/>
  <c r="I8" i="11"/>
  <c r="I9" i="15" l="1"/>
  <c r="E10" i="15"/>
  <c r="K10" i="15"/>
  <c r="G10" i="15"/>
  <c r="M11" i="15"/>
  <c r="K10" i="14"/>
  <c r="E10" i="14"/>
  <c r="I9" i="14"/>
  <c r="G10" i="14"/>
  <c r="M11" i="14"/>
  <c r="I9" i="13"/>
  <c r="E10" i="13"/>
  <c r="G10" i="13"/>
  <c r="K10" i="13"/>
  <c r="M12" i="13"/>
  <c r="E10" i="11"/>
  <c r="I9" i="11"/>
  <c r="K10" i="11"/>
  <c r="G10" i="11"/>
  <c r="M12" i="15" l="1"/>
  <c r="I10" i="15"/>
  <c r="E11" i="15"/>
  <c r="K11" i="15"/>
  <c r="G11" i="15"/>
  <c r="M12" i="14"/>
  <c r="E11" i="14"/>
  <c r="I10" i="14"/>
  <c r="K11" i="14"/>
  <c r="G11" i="14"/>
  <c r="M13" i="13"/>
  <c r="I10" i="13"/>
  <c r="E11" i="13"/>
  <c r="K11" i="13"/>
  <c r="G11" i="13"/>
  <c r="E11" i="11"/>
  <c r="I10" i="11"/>
  <c r="G11" i="11"/>
  <c r="K11" i="11"/>
  <c r="I11" i="15" l="1"/>
  <c r="E12" i="15"/>
  <c r="K12" i="15"/>
  <c r="G12" i="15"/>
  <c r="M13" i="15"/>
  <c r="E12" i="14"/>
  <c r="I11" i="14"/>
  <c r="G12" i="14"/>
  <c r="K12" i="14"/>
  <c r="M13" i="14"/>
  <c r="I11" i="13"/>
  <c r="E12" i="13"/>
  <c r="K12" i="13"/>
  <c r="G12" i="13"/>
  <c r="M14" i="13"/>
  <c r="E12" i="11"/>
  <c r="I11" i="11"/>
  <c r="K12" i="11"/>
  <c r="G12" i="11"/>
  <c r="M14" i="15" l="1"/>
  <c r="E13" i="15"/>
  <c r="I12" i="15"/>
  <c r="K13" i="15"/>
  <c r="G13" i="15"/>
  <c r="M14" i="14"/>
  <c r="K13" i="14"/>
  <c r="E13" i="14"/>
  <c r="I12" i="14"/>
  <c r="G13" i="14"/>
  <c r="M15" i="13"/>
  <c r="E13" i="13"/>
  <c r="I12" i="13"/>
  <c r="G13" i="13"/>
  <c r="K13" i="13"/>
  <c r="E13" i="11"/>
  <c r="I12" i="11"/>
  <c r="K13" i="11"/>
  <c r="G13" i="11"/>
  <c r="M15" i="15" l="1"/>
  <c r="I13" i="15"/>
  <c r="E14" i="15"/>
  <c r="G14" i="15"/>
  <c r="K14" i="15"/>
  <c r="E14" i="14"/>
  <c r="I13" i="14"/>
  <c r="K14" i="14"/>
  <c r="G14" i="14"/>
  <c r="M15" i="14"/>
  <c r="M16" i="13"/>
  <c r="E14" i="13"/>
  <c r="I13" i="13"/>
  <c r="K14" i="13"/>
  <c r="G14" i="13"/>
  <c r="E14" i="11"/>
  <c r="I13" i="11"/>
  <c r="G14" i="11"/>
  <c r="K14" i="11"/>
  <c r="M16" i="15" l="1"/>
  <c r="I14" i="15"/>
  <c r="E15" i="15"/>
  <c r="K15" i="15"/>
  <c r="G15" i="15"/>
  <c r="M16" i="14"/>
  <c r="I14" i="14"/>
  <c r="E15" i="14"/>
  <c r="G15" i="14"/>
  <c r="K15" i="14"/>
  <c r="E15" i="13"/>
  <c r="I14" i="13"/>
  <c r="G15" i="13"/>
  <c r="K15" i="13"/>
  <c r="M17" i="13"/>
  <c r="E15" i="11"/>
  <c r="I14" i="11"/>
  <c r="G15" i="11"/>
  <c r="K15" i="11"/>
  <c r="I15" i="15" l="1"/>
  <c r="E16" i="15"/>
  <c r="G16" i="15"/>
  <c r="K16" i="15"/>
  <c r="M17" i="15"/>
  <c r="K16" i="14"/>
  <c r="E16" i="14"/>
  <c r="I15" i="14"/>
  <c r="G16" i="14"/>
  <c r="M17" i="14"/>
  <c r="I15" i="13"/>
  <c r="E16" i="13"/>
  <c r="K16" i="13"/>
  <c r="G16" i="13"/>
  <c r="M18" i="13"/>
  <c r="E16" i="11"/>
  <c r="I15" i="11"/>
  <c r="G16" i="11"/>
  <c r="K16" i="11"/>
  <c r="I16" i="15" l="1"/>
  <c r="E17" i="15"/>
  <c r="G17" i="15"/>
  <c r="K17" i="15"/>
  <c r="M18" i="15"/>
  <c r="M18" i="14"/>
  <c r="E17" i="14"/>
  <c r="I16" i="14"/>
  <c r="G17" i="14"/>
  <c r="K17" i="14"/>
  <c r="I16" i="13"/>
  <c r="E17" i="13"/>
  <c r="K17" i="13"/>
  <c r="G17" i="13"/>
  <c r="M19" i="13"/>
  <c r="E17" i="11"/>
  <c r="I16" i="11"/>
  <c r="G17" i="11"/>
  <c r="K17" i="11"/>
  <c r="M19" i="15" l="1"/>
  <c r="I17" i="15"/>
  <c r="E18" i="15"/>
  <c r="G18" i="15"/>
  <c r="K18" i="15"/>
  <c r="E18" i="14"/>
  <c r="I17" i="14"/>
  <c r="G18" i="14"/>
  <c r="K18" i="14"/>
  <c r="M19" i="14"/>
  <c r="I17" i="13"/>
  <c r="E18" i="13"/>
  <c r="K18" i="13"/>
  <c r="G18" i="13"/>
  <c r="M20" i="13"/>
  <c r="E18" i="11"/>
  <c r="I17" i="11"/>
  <c r="G18" i="11"/>
  <c r="K18" i="11"/>
  <c r="E19" i="15" l="1"/>
  <c r="I18" i="15"/>
  <c r="K19" i="15"/>
  <c r="G19" i="15"/>
  <c r="M20" i="15"/>
  <c r="M20" i="14"/>
  <c r="E19" i="14"/>
  <c r="I18" i="14"/>
  <c r="K19" i="14"/>
  <c r="G19" i="14"/>
  <c r="E19" i="13"/>
  <c r="I18" i="13"/>
  <c r="K19" i="13"/>
  <c r="G19" i="13"/>
  <c r="M21" i="13"/>
  <c r="E19" i="11"/>
  <c r="I18" i="11"/>
  <c r="G19" i="11"/>
  <c r="K19" i="11"/>
  <c r="M21" i="15" l="1"/>
  <c r="I19" i="15"/>
  <c r="E20" i="15"/>
  <c r="G20" i="15"/>
  <c r="K20" i="15"/>
  <c r="E20" i="14"/>
  <c r="I19" i="14"/>
  <c r="K20" i="14"/>
  <c r="G20" i="14"/>
  <c r="M21" i="14"/>
  <c r="E20" i="13"/>
  <c r="I19" i="13"/>
  <c r="K20" i="13"/>
  <c r="G20" i="13"/>
  <c r="M22" i="13"/>
  <c r="E20" i="11"/>
  <c r="I19" i="11"/>
  <c r="G20" i="11"/>
  <c r="K20" i="11"/>
  <c r="I20" i="15" l="1"/>
  <c r="E21" i="15"/>
  <c r="K21" i="15"/>
  <c r="G21" i="15"/>
  <c r="M22" i="15"/>
  <c r="I20" i="14"/>
  <c r="E21" i="14"/>
  <c r="K21" i="14"/>
  <c r="G21" i="14"/>
  <c r="M22" i="14"/>
  <c r="M23" i="13"/>
  <c r="E21" i="13"/>
  <c r="I20" i="13"/>
  <c r="K21" i="13"/>
  <c r="G21" i="13"/>
  <c r="E21" i="11"/>
  <c r="I20" i="11"/>
  <c r="K21" i="11"/>
  <c r="G21" i="11"/>
  <c r="M23" i="15" l="1"/>
  <c r="I21" i="15"/>
  <c r="E22" i="15"/>
  <c r="G22" i="15"/>
  <c r="K22" i="15"/>
  <c r="M23" i="14"/>
  <c r="E22" i="14"/>
  <c r="I21" i="14"/>
  <c r="K22" i="14"/>
  <c r="G22" i="14"/>
  <c r="M24" i="13"/>
  <c r="I21" i="13"/>
  <c r="E22" i="13"/>
  <c r="K22" i="13"/>
  <c r="G22" i="13"/>
  <c r="E22" i="11"/>
  <c r="I21" i="11"/>
  <c r="K22" i="11"/>
  <c r="G22" i="11"/>
  <c r="M24" i="15" l="1"/>
  <c r="I22" i="15"/>
  <c r="E23" i="15"/>
  <c r="G23" i="15"/>
  <c r="K23" i="15"/>
  <c r="E23" i="14"/>
  <c r="I22" i="14"/>
  <c r="K23" i="14"/>
  <c r="G23" i="14"/>
  <c r="M24" i="14"/>
  <c r="M25" i="13"/>
  <c r="I22" i="13"/>
  <c r="E23" i="13"/>
  <c r="K23" i="13"/>
  <c r="G23" i="13"/>
  <c r="E23" i="11"/>
  <c r="I22" i="11"/>
  <c r="G23" i="11"/>
  <c r="K23" i="11"/>
  <c r="M25" i="15" l="1"/>
  <c r="I23" i="15"/>
  <c r="E24" i="15"/>
  <c r="G24" i="15"/>
  <c r="K24" i="15"/>
  <c r="M25" i="14"/>
  <c r="E24" i="14"/>
  <c r="I23" i="14"/>
  <c r="K24" i="14"/>
  <c r="G24" i="14"/>
  <c r="I23" i="13"/>
  <c r="E24" i="13"/>
  <c r="K24" i="13"/>
  <c r="G24" i="13"/>
  <c r="M26" i="13"/>
  <c r="E24" i="11"/>
  <c r="I23" i="11"/>
  <c r="K24" i="11"/>
  <c r="G24" i="11"/>
  <c r="E25" i="15" l="1"/>
  <c r="I24" i="15"/>
  <c r="K25" i="15"/>
  <c r="G25" i="15"/>
  <c r="M26" i="15"/>
  <c r="K25" i="14"/>
  <c r="E25" i="14"/>
  <c r="I24" i="14"/>
  <c r="G25" i="14"/>
  <c r="M26" i="14"/>
  <c r="E25" i="13"/>
  <c r="I24" i="13"/>
  <c r="K25" i="13"/>
  <c r="G25" i="13"/>
  <c r="E25" i="11"/>
  <c r="I24" i="11"/>
  <c r="G25" i="11"/>
  <c r="K25" i="11"/>
  <c r="I25" i="15" l="1"/>
  <c r="E26" i="15"/>
  <c r="I26" i="15" s="1"/>
  <c r="J26" i="15" s="1"/>
  <c r="J25" i="15" s="1"/>
  <c r="J24" i="15" s="1"/>
  <c r="J23" i="15" s="1"/>
  <c r="J22" i="15" s="1"/>
  <c r="J21" i="15" s="1"/>
  <c r="J20" i="15" s="1"/>
  <c r="J19" i="15" s="1"/>
  <c r="J18" i="15" s="1"/>
  <c r="J17" i="15" s="1"/>
  <c r="J16" i="15" s="1"/>
  <c r="J15" i="15" s="1"/>
  <c r="J14" i="15" s="1"/>
  <c r="J13" i="15" s="1"/>
  <c r="J12" i="15" s="1"/>
  <c r="J11" i="15" s="1"/>
  <c r="J10" i="15" s="1"/>
  <c r="J9" i="15" s="1"/>
  <c r="J8" i="15" s="1"/>
  <c r="J7" i="15" s="1"/>
  <c r="G26" i="15"/>
  <c r="H26" i="15" s="1"/>
  <c r="H25" i="15" s="1"/>
  <c r="K26" i="15"/>
  <c r="L26" i="15" s="1"/>
  <c r="L25" i="15" s="1"/>
  <c r="L24" i="15" s="1"/>
  <c r="L23" i="15" s="1"/>
  <c r="L22" i="15" s="1"/>
  <c r="L21" i="15" s="1"/>
  <c r="L20" i="15" s="1"/>
  <c r="L19" i="15" s="1"/>
  <c r="L18" i="15" s="1"/>
  <c r="L17" i="15" s="1"/>
  <c r="L16" i="15" s="1"/>
  <c r="L15" i="15" s="1"/>
  <c r="L14" i="15" s="1"/>
  <c r="L13" i="15" s="1"/>
  <c r="L12" i="15" s="1"/>
  <c r="L11" i="15" s="1"/>
  <c r="L10" i="15" s="1"/>
  <c r="L9" i="15" s="1"/>
  <c r="L8" i="15" s="1"/>
  <c r="L7" i="15" s="1"/>
  <c r="E26" i="14"/>
  <c r="I26" i="14" s="1"/>
  <c r="J26" i="14" s="1"/>
  <c r="J25" i="14" s="1"/>
  <c r="J24" i="14" s="1"/>
  <c r="J23" i="14" s="1"/>
  <c r="J22" i="14" s="1"/>
  <c r="J21" i="14" s="1"/>
  <c r="J20" i="14" s="1"/>
  <c r="J19" i="14" s="1"/>
  <c r="J18" i="14" s="1"/>
  <c r="J17" i="14" s="1"/>
  <c r="J16" i="14" s="1"/>
  <c r="J15" i="14" s="1"/>
  <c r="J14" i="14" s="1"/>
  <c r="J13" i="14" s="1"/>
  <c r="J12" i="14" s="1"/>
  <c r="J11" i="14" s="1"/>
  <c r="J10" i="14" s="1"/>
  <c r="J9" i="14" s="1"/>
  <c r="J8" i="14" s="1"/>
  <c r="J7" i="14" s="1"/>
  <c r="I25" i="14"/>
  <c r="K26" i="14"/>
  <c r="L26" i="14" s="1"/>
  <c r="L25" i="14" s="1"/>
  <c r="L24" i="14" s="1"/>
  <c r="L23" i="14" s="1"/>
  <c r="L22" i="14" s="1"/>
  <c r="L21" i="14" s="1"/>
  <c r="L20" i="14" s="1"/>
  <c r="L19" i="14" s="1"/>
  <c r="L18" i="14" s="1"/>
  <c r="L17" i="14" s="1"/>
  <c r="L16" i="14" s="1"/>
  <c r="L15" i="14" s="1"/>
  <c r="L14" i="14" s="1"/>
  <c r="L13" i="14" s="1"/>
  <c r="L12" i="14" s="1"/>
  <c r="L11" i="14" s="1"/>
  <c r="L10" i="14" s="1"/>
  <c r="L9" i="14" s="1"/>
  <c r="L8" i="14" s="1"/>
  <c r="L7" i="14" s="1"/>
  <c r="G26" i="14"/>
  <c r="H26" i="14" s="1"/>
  <c r="E26" i="13"/>
  <c r="I26" i="13" s="1"/>
  <c r="J26" i="13" s="1"/>
  <c r="J25" i="13" s="1"/>
  <c r="J24" i="13" s="1"/>
  <c r="J23" i="13" s="1"/>
  <c r="J22" i="13" s="1"/>
  <c r="J21" i="13" s="1"/>
  <c r="J20" i="13" s="1"/>
  <c r="J19" i="13" s="1"/>
  <c r="J18" i="13" s="1"/>
  <c r="J17" i="13" s="1"/>
  <c r="J16" i="13" s="1"/>
  <c r="J15" i="13" s="1"/>
  <c r="J14" i="13" s="1"/>
  <c r="J13" i="13" s="1"/>
  <c r="J12" i="13" s="1"/>
  <c r="J11" i="13" s="1"/>
  <c r="J10" i="13" s="1"/>
  <c r="J9" i="13" s="1"/>
  <c r="J8" i="13" s="1"/>
  <c r="J7" i="13" s="1"/>
  <c r="I25" i="13"/>
  <c r="G26" i="13"/>
  <c r="H26" i="13" s="1"/>
  <c r="K26" i="13"/>
  <c r="L26" i="13" s="1"/>
  <c r="L25" i="13" s="1"/>
  <c r="L24" i="13" s="1"/>
  <c r="L23" i="13" s="1"/>
  <c r="L22" i="13" s="1"/>
  <c r="L21" i="13" s="1"/>
  <c r="L20" i="13" s="1"/>
  <c r="L19" i="13" s="1"/>
  <c r="L18" i="13" s="1"/>
  <c r="L17" i="13" s="1"/>
  <c r="L16" i="13" s="1"/>
  <c r="L15" i="13" s="1"/>
  <c r="L14" i="13" s="1"/>
  <c r="L13" i="13" s="1"/>
  <c r="L12" i="13" s="1"/>
  <c r="L11" i="13" s="1"/>
  <c r="L10" i="13" s="1"/>
  <c r="L9" i="13" s="1"/>
  <c r="L8" i="13" s="1"/>
  <c r="L7" i="13" s="1"/>
  <c r="E26" i="11"/>
  <c r="I26" i="11" s="1"/>
  <c r="J26" i="11" s="1"/>
  <c r="J25" i="11" s="1"/>
  <c r="J24" i="11" s="1"/>
  <c r="J23" i="11" s="1"/>
  <c r="J22" i="11" s="1"/>
  <c r="J21" i="11" s="1"/>
  <c r="J20" i="11" s="1"/>
  <c r="J19" i="11" s="1"/>
  <c r="J18" i="11" s="1"/>
  <c r="J17" i="11" s="1"/>
  <c r="J16" i="11" s="1"/>
  <c r="J15" i="11" s="1"/>
  <c r="J14" i="11" s="1"/>
  <c r="J13" i="11" s="1"/>
  <c r="J12" i="11" s="1"/>
  <c r="J11" i="11" s="1"/>
  <c r="J10" i="11" s="1"/>
  <c r="J9" i="11" s="1"/>
  <c r="J8" i="11" s="1"/>
  <c r="J7" i="11" s="1"/>
  <c r="I25" i="11"/>
  <c r="K26" i="11"/>
  <c r="L26" i="11" s="1"/>
  <c r="L25" i="11" s="1"/>
  <c r="L24" i="11" s="1"/>
  <c r="L23" i="11" s="1"/>
  <c r="L22" i="11" s="1"/>
  <c r="L21" i="11" s="1"/>
  <c r="L20" i="11" s="1"/>
  <c r="L19" i="11" s="1"/>
  <c r="L18" i="11" s="1"/>
  <c r="L17" i="11" s="1"/>
  <c r="L16" i="11" s="1"/>
  <c r="L15" i="11" s="1"/>
  <c r="L14" i="11" s="1"/>
  <c r="L13" i="11" s="1"/>
  <c r="L12" i="11" s="1"/>
  <c r="L11" i="11" s="1"/>
  <c r="L10" i="11" s="1"/>
  <c r="L9" i="11" s="1"/>
  <c r="L8" i="11" s="1"/>
  <c r="L7" i="11" s="1"/>
  <c r="G26" i="11"/>
  <c r="H26" i="11" s="1"/>
  <c r="P26" i="11" s="1"/>
  <c r="Q26" i="11" s="1"/>
  <c r="P26" i="15" l="1"/>
  <c r="P25" i="15"/>
  <c r="H24" i="15"/>
  <c r="P26" i="14"/>
  <c r="Q26" i="14" s="1"/>
  <c r="R26" i="14" s="1"/>
  <c r="F87" i="7" s="1"/>
  <c r="H25" i="14"/>
  <c r="P26" i="13"/>
  <c r="H25" i="13"/>
  <c r="R26" i="11"/>
  <c r="E87" i="7" s="1"/>
  <c r="H25" i="11"/>
  <c r="P24" i="15" l="1"/>
  <c r="H23" i="15"/>
  <c r="P25" i="14"/>
  <c r="H24" i="14"/>
  <c r="P25" i="13"/>
  <c r="H24" i="13"/>
  <c r="P25" i="11"/>
  <c r="Q25" i="11" s="1"/>
  <c r="H24" i="11"/>
  <c r="P23" i="15" l="1"/>
  <c r="H22" i="15"/>
  <c r="P24" i="14"/>
  <c r="H23" i="14"/>
  <c r="Q25" i="14"/>
  <c r="R25" i="14" s="1"/>
  <c r="F86" i="7" s="1"/>
  <c r="P24" i="13"/>
  <c r="H23" i="13"/>
  <c r="P24" i="11"/>
  <c r="Q24" i="11" s="1"/>
  <c r="H23" i="11"/>
  <c r="R25" i="11"/>
  <c r="E86" i="7" s="1"/>
  <c r="P22" i="15" l="1"/>
  <c r="H21" i="15"/>
  <c r="P23" i="14"/>
  <c r="H22" i="14"/>
  <c r="Q24" i="14"/>
  <c r="R24" i="14" s="1"/>
  <c r="F85" i="7" s="1"/>
  <c r="P23" i="13"/>
  <c r="H22" i="13"/>
  <c r="P23" i="11"/>
  <c r="Q23" i="11" s="1"/>
  <c r="H22" i="11"/>
  <c r="R24" i="11"/>
  <c r="E85" i="7" s="1"/>
  <c r="P21" i="15" l="1"/>
  <c r="H20" i="15"/>
  <c r="P22" i="14"/>
  <c r="H21" i="14"/>
  <c r="Q23" i="14"/>
  <c r="R23" i="14" s="1"/>
  <c r="F84" i="7" s="1"/>
  <c r="P22" i="13"/>
  <c r="H21" i="13"/>
  <c r="P22" i="11"/>
  <c r="Q22" i="11" s="1"/>
  <c r="H21" i="11"/>
  <c r="R23" i="11"/>
  <c r="E84" i="7" s="1"/>
  <c r="P20" i="15" l="1"/>
  <c r="H19" i="15"/>
  <c r="P21" i="14"/>
  <c r="H20" i="14"/>
  <c r="Q22" i="14"/>
  <c r="R22" i="14" s="1"/>
  <c r="F83" i="7" s="1"/>
  <c r="P21" i="13"/>
  <c r="H20" i="13"/>
  <c r="P21" i="11"/>
  <c r="Q21" i="11" s="1"/>
  <c r="H20" i="11"/>
  <c r="R22" i="11"/>
  <c r="E83" i="7" s="1"/>
  <c r="P19" i="15" l="1"/>
  <c r="H18" i="15"/>
  <c r="P20" i="14"/>
  <c r="H19" i="14"/>
  <c r="Q21" i="14"/>
  <c r="R21" i="14" s="1"/>
  <c r="F82" i="7" s="1"/>
  <c r="P20" i="13"/>
  <c r="H19" i="13"/>
  <c r="P20" i="11"/>
  <c r="Q20" i="11" s="1"/>
  <c r="H19" i="11"/>
  <c r="R21" i="11"/>
  <c r="E82" i="7" s="1"/>
  <c r="P18" i="15" l="1"/>
  <c r="H17" i="15"/>
  <c r="P19" i="14"/>
  <c r="H18" i="14"/>
  <c r="Q20" i="14"/>
  <c r="R20" i="14" s="1"/>
  <c r="F81" i="7" s="1"/>
  <c r="P19" i="13"/>
  <c r="H18" i="13"/>
  <c r="R20" i="11"/>
  <c r="E81" i="7" s="1"/>
  <c r="P19" i="11"/>
  <c r="Q19" i="11" s="1"/>
  <c r="H18" i="11"/>
  <c r="P17" i="15" l="1"/>
  <c r="H16" i="15"/>
  <c r="P18" i="14"/>
  <c r="H17" i="14"/>
  <c r="Q19" i="14"/>
  <c r="R19" i="14" s="1"/>
  <c r="F80" i="7" s="1"/>
  <c r="P18" i="13"/>
  <c r="H17" i="13"/>
  <c r="P18" i="11"/>
  <c r="Q18" i="11" s="1"/>
  <c r="H17" i="11"/>
  <c r="R19" i="11"/>
  <c r="E80" i="7" s="1"/>
  <c r="P16" i="15" l="1"/>
  <c r="H15" i="15"/>
  <c r="P17" i="14"/>
  <c r="H16" i="14"/>
  <c r="Q18" i="14"/>
  <c r="R18" i="14" s="1"/>
  <c r="F79" i="7" s="1"/>
  <c r="P17" i="13"/>
  <c r="H16" i="13"/>
  <c r="P17" i="11"/>
  <c r="Q17" i="11" s="1"/>
  <c r="H16" i="11"/>
  <c r="R18" i="11"/>
  <c r="E79" i="7" s="1"/>
  <c r="P15" i="15" l="1"/>
  <c r="H14" i="15"/>
  <c r="P16" i="14"/>
  <c r="H15" i="14"/>
  <c r="Q17" i="14"/>
  <c r="R17" i="14" s="1"/>
  <c r="F78" i="7" s="1"/>
  <c r="P16" i="13"/>
  <c r="H15" i="13"/>
  <c r="P16" i="11"/>
  <c r="Q16" i="11" s="1"/>
  <c r="H15" i="11"/>
  <c r="R17" i="11"/>
  <c r="E78" i="7" s="1"/>
  <c r="P14" i="15" l="1"/>
  <c r="H13" i="15"/>
  <c r="P15" i="14"/>
  <c r="H14" i="14"/>
  <c r="Q16" i="14"/>
  <c r="R16" i="14" s="1"/>
  <c r="F77" i="7" s="1"/>
  <c r="P15" i="13"/>
  <c r="H14" i="13"/>
  <c r="P15" i="11"/>
  <c r="Q15" i="11" s="1"/>
  <c r="H14" i="11"/>
  <c r="R16" i="11"/>
  <c r="E77" i="7" s="1"/>
  <c r="P13" i="15" l="1"/>
  <c r="H12" i="15"/>
  <c r="P14" i="14"/>
  <c r="H13" i="14"/>
  <c r="Q15" i="14"/>
  <c r="R15" i="14" s="1"/>
  <c r="F76" i="7" s="1"/>
  <c r="P14" i="13"/>
  <c r="H13" i="13"/>
  <c r="P14" i="11"/>
  <c r="Q14" i="11" s="1"/>
  <c r="H13" i="11"/>
  <c r="R15" i="11"/>
  <c r="E76" i="7" s="1"/>
  <c r="P12" i="15" l="1"/>
  <c r="H11" i="15"/>
  <c r="P13" i="14"/>
  <c r="H12" i="14"/>
  <c r="Q14" i="14"/>
  <c r="R14" i="14" s="1"/>
  <c r="F75" i="7" s="1"/>
  <c r="P13" i="13"/>
  <c r="H12" i="13"/>
  <c r="P13" i="11"/>
  <c r="Q13" i="11" s="1"/>
  <c r="H12" i="11"/>
  <c r="R14" i="11"/>
  <c r="E75" i="7" s="1"/>
  <c r="P11" i="15" l="1"/>
  <c r="H10" i="15"/>
  <c r="P12" i="14"/>
  <c r="H11" i="14"/>
  <c r="Q13" i="14"/>
  <c r="R13" i="14" s="1"/>
  <c r="F74" i="7" s="1"/>
  <c r="P12" i="13"/>
  <c r="H11" i="13"/>
  <c r="P12" i="11"/>
  <c r="Q12" i="11" s="1"/>
  <c r="H11" i="11"/>
  <c r="R13" i="11"/>
  <c r="E74" i="7" s="1"/>
  <c r="P10" i="15" l="1"/>
  <c r="H9" i="15"/>
  <c r="P11" i="14"/>
  <c r="H10" i="14"/>
  <c r="Q12" i="14"/>
  <c r="R12" i="14" s="1"/>
  <c r="F73" i="7" s="1"/>
  <c r="P11" i="13"/>
  <c r="H10" i="13"/>
  <c r="P11" i="11"/>
  <c r="Q11" i="11" s="1"/>
  <c r="H10" i="11"/>
  <c r="R12" i="11"/>
  <c r="E73" i="7" s="1"/>
  <c r="P9" i="15" l="1"/>
  <c r="H8" i="15"/>
  <c r="P10" i="14"/>
  <c r="H9" i="14"/>
  <c r="Q11" i="14"/>
  <c r="R11" i="14" s="1"/>
  <c r="F72" i="7" s="1"/>
  <c r="P10" i="13"/>
  <c r="H9" i="13"/>
  <c r="P10" i="11"/>
  <c r="Q10" i="11" s="1"/>
  <c r="H9" i="11"/>
  <c r="R11" i="11"/>
  <c r="E72" i="7" s="1"/>
  <c r="P8" i="15" l="1"/>
  <c r="H7" i="15"/>
  <c r="P7" i="15" s="1"/>
  <c r="P9" i="14"/>
  <c r="H8" i="14"/>
  <c r="Q10" i="14"/>
  <c r="R10" i="14" s="1"/>
  <c r="F71" i="7" s="1"/>
  <c r="P9" i="13"/>
  <c r="H8" i="13"/>
  <c r="P9" i="11"/>
  <c r="Q9" i="11" s="1"/>
  <c r="H8" i="11"/>
  <c r="R10" i="11"/>
  <c r="E71" i="7" s="1"/>
  <c r="P8" i="14" l="1"/>
  <c r="H7" i="14"/>
  <c r="P7" i="14" s="1"/>
  <c r="Q9" i="14"/>
  <c r="R9" i="14" s="1"/>
  <c r="F70" i="7" s="1"/>
  <c r="P8" i="13"/>
  <c r="H7" i="13"/>
  <c r="P7" i="13" s="1"/>
  <c r="P8" i="11"/>
  <c r="Q8" i="11" s="1"/>
  <c r="H7" i="11"/>
  <c r="P7" i="11" s="1"/>
  <c r="Q7" i="11" s="1"/>
  <c r="R9" i="11"/>
  <c r="E70" i="7" s="1"/>
  <c r="Q7" i="14" l="1"/>
  <c r="R7" i="14" s="1"/>
  <c r="Q8" i="14"/>
  <c r="R8" i="14" s="1"/>
  <c r="F69" i="7" s="1"/>
  <c r="R7" i="11"/>
  <c r="E68" i="7" s="1"/>
  <c r="R8" i="11"/>
  <c r="E69" i="7" s="1"/>
  <c r="F68" i="7" l="1"/>
  <c r="D28" i="7"/>
  <c r="D18" i="7"/>
  <c r="H3" i="9"/>
  <c r="P26" i="6"/>
  <c r="C87" i="7" s="1"/>
  <c r="B3" i="6"/>
  <c r="B2" i="6"/>
  <c r="F25" i="6" s="1"/>
  <c r="B1" i="6"/>
  <c r="M7" i="6"/>
  <c r="M8" i="6" s="1"/>
  <c r="M7" i="10"/>
  <c r="M8" i="10" s="1"/>
  <c r="M9" i="10" s="1"/>
  <c r="M10" i="10" s="1"/>
  <c r="M11" i="10" s="1"/>
  <c r="M12" i="10" s="1"/>
  <c r="M13" i="10" s="1"/>
  <c r="M14" i="10" s="1"/>
  <c r="M15" i="10" s="1"/>
  <c r="M16" i="10" s="1"/>
  <c r="M17" i="10" s="1"/>
  <c r="M18" i="10" s="1"/>
  <c r="M19" i="10" s="1"/>
  <c r="M20" i="10" s="1"/>
  <c r="M21" i="10" s="1"/>
  <c r="M22" i="10" s="1"/>
  <c r="M23" i="10" s="1"/>
  <c r="M24" i="10" s="1"/>
  <c r="M25" i="10" s="1"/>
  <c r="M26" i="10" s="1"/>
  <c r="F26" i="10"/>
  <c r="F25" i="10"/>
  <c r="F24" i="10"/>
  <c r="F23" i="10"/>
  <c r="F22" i="10"/>
  <c r="F21" i="10"/>
  <c r="F20" i="10"/>
  <c r="F19" i="10"/>
  <c r="F18" i="10"/>
  <c r="F17" i="10"/>
  <c r="F16" i="10"/>
  <c r="F15" i="10"/>
  <c r="F14" i="10"/>
  <c r="F13" i="10"/>
  <c r="F12" i="10"/>
  <c r="F11" i="10"/>
  <c r="F10" i="10"/>
  <c r="F9" i="10"/>
  <c r="F8" i="10"/>
  <c r="F7" i="10"/>
  <c r="E7" i="10" s="1"/>
  <c r="D26" i="10"/>
  <c r="C26" i="10"/>
  <c r="B26" i="10"/>
  <c r="D25" i="10"/>
  <c r="C25" i="10"/>
  <c r="B25" i="10"/>
  <c r="D24" i="10"/>
  <c r="C24" i="10"/>
  <c r="B24" i="10"/>
  <c r="D23" i="10"/>
  <c r="C23" i="10"/>
  <c r="B23" i="10"/>
  <c r="D22" i="10"/>
  <c r="C22" i="10"/>
  <c r="B22" i="10"/>
  <c r="D21" i="10"/>
  <c r="C21" i="10"/>
  <c r="B21" i="10"/>
  <c r="D20" i="10"/>
  <c r="C20" i="10"/>
  <c r="B20" i="10"/>
  <c r="D19" i="10"/>
  <c r="C19" i="10"/>
  <c r="B19" i="10"/>
  <c r="D18" i="10"/>
  <c r="C18" i="10"/>
  <c r="B18" i="10"/>
  <c r="D17" i="10"/>
  <c r="C17" i="10"/>
  <c r="B17" i="10"/>
  <c r="D16" i="10"/>
  <c r="C16" i="10"/>
  <c r="B16" i="10"/>
  <c r="D15" i="10"/>
  <c r="C15" i="10"/>
  <c r="B15" i="10"/>
  <c r="D14" i="10"/>
  <c r="C14" i="10"/>
  <c r="B14" i="10"/>
  <c r="D13" i="10"/>
  <c r="C13" i="10"/>
  <c r="B13" i="10"/>
  <c r="D12" i="10"/>
  <c r="C12" i="10"/>
  <c r="B12" i="10"/>
  <c r="D11" i="10"/>
  <c r="C11" i="10"/>
  <c r="B11" i="10"/>
  <c r="D10" i="10"/>
  <c r="C10" i="10"/>
  <c r="B10" i="10"/>
  <c r="D9" i="10"/>
  <c r="C9" i="10"/>
  <c r="B9" i="10"/>
  <c r="D8" i="10"/>
  <c r="C8" i="10"/>
  <c r="B8" i="10"/>
  <c r="D7" i="10"/>
  <c r="C7" i="10"/>
  <c r="B7" i="10"/>
  <c r="M7" i="2"/>
  <c r="M8" i="2" s="1"/>
  <c r="M9" i="2" s="1"/>
  <c r="M10" i="2" s="1"/>
  <c r="M11" i="2" s="1"/>
  <c r="M12" i="2" s="1"/>
  <c r="M13" i="2" s="1"/>
  <c r="M14" i="2" s="1"/>
  <c r="M15" i="2" s="1"/>
  <c r="M16" i="2" s="1"/>
  <c r="M17" i="2" s="1"/>
  <c r="M18" i="2" s="1"/>
  <c r="M19" i="2" s="1"/>
  <c r="M20" i="2" s="1"/>
  <c r="M21" i="2" s="1"/>
  <c r="M22" i="2" s="1"/>
  <c r="M23" i="2" s="1"/>
  <c r="M24" i="2" s="1"/>
  <c r="M25" i="2" s="1"/>
  <c r="M26" i="2" s="1"/>
  <c r="F26" i="9"/>
  <c r="D26" i="9"/>
  <c r="C26" i="9"/>
  <c r="B26" i="9"/>
  <c r="F25" i="9"/>
  <c r="D25" i="9"/>
  <c r="C25" i="9"/>
  <c r="B25" i="9"/>
  <c r="F24" i="9"/>
  <c r="D24" i="9"/>
  <c r="C24" i="9"/>
  <c r="B24" i="9"/>
  <c r="F23" i="9"/>
  <c r="D23" i="9"/>
  <c r="C23" i="9"/>
  <c r="B23" i="9"/>
  <c r="F22" i="9"/>
  <c r="D22" i="9"/>
  <c r="C22" i="9"/>
  <c r="B22" i="9"/>
  <c r="F21" i="9"/>
  <c r="D21" i="9"/>
  <c r="C21" i="9"/>
  <c r="B21" i="9"/>
  <c r="F20" i="9"/>
  <c r="D20" i="9"/>
  <c r="C20" i="9"/>
  <c r="B20" i="9"/>
  <c r="F19" i="9"/>
  <c r="D19" i="9"/>
  <c r="C19" i="9"/>
  <c r="B19" i="9"/>
  <c r="F18" i="9"/>
  <c r="D18" i="9"/>
  <c r="C18" i="9"/>
  <c r="B18" i="9"/>
  <c r="F17" i="9"/>
  <c r="D17" i="9"/>
  <c r="C17" i="9"/>
  <c r="B17" i="9"/>
  <c r="F16" i="9"/>
  <c r="D16" i="9"/>
  <c r="C16" i="9"/>
  <c r="B16" i="9"/>
  <c r="F15" i="9"/>
  <c r="D15" i="9"/>
  <c r="C15" i="9"/>
  <c r="B15" i="9"/>
  <c r="F14" i="9"/>
  <c r="D14" i="9"/>
  <c r="C14" i="9"/>
  <c r="B14" i="9"/>
  <c r="F13" i="9"/>
  <c r="D13" i="9"/>
  <c r="C13" i="9"/>
  <c r="B13" i="9"/>
  <c r="F12" i="9"/>
  <c r="D12" i="9"/>
  <c r="C12" i="9"/>
  <c r="B12" i="9"/>
  <c r="F11" i="9"/>
  <c r="D11" i="9"/>
  <c r="C11" i="9"/>
  <c r="B11" i="9"/>
  <c r="F10" i="9"/>
  <c r="D10" i="9"/>
  <c r="C10" i="9"/>
  <c r="B10" i="9"/>
  <c r="F9" i="9"/>
  <c r="D9" i="9"/>
  <c r="C9" i="9"/>
  <c r="B9" i="9"/>
  <c r="F8" i="9"/>
  <c r="D8" i="9"/>
  <c r="C8" i="9"/>
  <c r="B8" i="9"/>
  <c r="M7" i="9"/>
  <c r="M8" i="9" s="1"/>
  <c r="M9" i="9" s="1"/>
  <c r="M10" i="9" s="1"/>
  <c r="F7" i="9"/>
  <c r="E7" i="9" s="1"/>
  <c r="D7" i="9"/>
  <c r="C7" i="9"/>
  <c r="B7" i="9"/>
  <c r="F26" i="8"/>
  <c r="D26" i="8"/>
  <c r="C26" i="8"/>
  <c r="B26" i="8"/>
  <c r="F25" i="8"/>
  <c r="D25" i="8"/>
  <c r="C25" i="8"/>
  <c r="B25" i="8"/>
  <c r="F24" i="8"/>
  <c r="D24" i="8"/>
  <c r="C24" i="8"/>
  <c r="B24" i="8"/>
  <c r="F23" i="8"/>
  <c r="D23" i="8"/>
  <c r="C23" i="8"/>
  <c r="B23" i="8"/>
  <c r="F22" i="8"/>
  <c r="D22" i="8"/>
  <c r="C22" i="8"/>
  <c r="B22" i="8"/>
  <c r="F21" i="8"/>
  <c r="D21" i="8"/>
  <c r="C21" i="8"/>
  <c r="B21" i="8"/>
  <c r="F20" i="8"/>
  <c r="D20" i="8"/>
  <c r="C20" i="8"/>
  <c r="B20" i="8"/>
  <c r="F19" i="8"/>
  <c r="D19" i="8"/>
  <c r="C19" i="8"/>
  <c r="B19" i="8"/>
  <c r="F18" i="8"/>
  <c r="D18" i="8"/>
  <c r="C18" i="8"/>
  <c r="B18" i="8"/>
  <c r="F17" i="8"/>
  <c r="D17" i="8"/>
  <c r="C17" i="8"/>
  <c r="B17" i="8"/>
  <c r="F16" i="8"/>
  <c r="D16" i="8"/>
  <c r="C16" i="8"/>
  <c r="B16" i="8"/>
  <c r="F15" i="8"/>
  <c r="D15" i="8"/>
  <c r="C15" i="8"/>
  <c r="B15" i="8"/>
  <c r="F14" i="8"/>
  <c r="D14" i="8"/>
  <c r="C14" i="8"/>
  <c r="B14" i="8"/>
  <c r="F13" i="8"/>
  <c r="D13" i="8"/>
  <c r="C13" i="8"/>
  <c r="B13" i="8"/>
  <c r="F12" i="8"/>
  <c r="D12" i="8"/>
  <c r="C12" i="8"/>
  <c r="B12" i="8"/>
  <c r="F11" i="8"/>
  <c r="D11" i="8"/>
  <c r="C11" i="8"/>
  <c r="B11" i="8"/>
  <c r="F10" i="8"/>
  <c r="D10" i="8"/>
  <c r="C10" i="8"/>
  <c r="B10" i="8"/>
  <c r="F9" i="8"/>
  <c r="D9" i="8"/>
  <c r="C9" i="8"/>
  <c r="B9" i="8"/>
  <c r="F8" i="8"/>
  <c r="D8" i="8"/>
  <c r="C8" i="8"/>
  <c r="B8" i="8"/>
  <c r="M7" i="8"/>
  <c r="M8" i="8" s="1"/>
  <c r="F7" i="8"/>
  <c r="E7" i="8" s="1"/>
  <c r="D7" i="8"/>
  <c r="C7" i="8"/>
  <c r="B7" i="8"/>
  <c r="H3" i="8"/>
  <c r="F26" i="2"/>
  <c r="F25" i="2"/>
  <c r="F24" i="2"/>
  <c r="F23" i="2"/>
  <c r="F22" i="2"/>
  <c r="F21" i="2"/>
  <c r="F20" i="2"/>
  <c r="F19" i="2"/>
  <c r="F18" i="2"/>
  <c r="F17" i="2"/>
  <c r="F16" i="2"/>
  <c r="F15" i="2"/>
  <c r="F14" i="2"/>
  <c r="F13" i="2"/>
  <c r="F12" i="2"/>
  <c r="F11" i="2"/>
  <c r="F10" i="2"/>
  <c r="F9" i="2"/>
  <c r="F8" i="2"/>
  <c r="F7" i="2"/>
  <c r="G7" i="9" l="1"/>
  <c r="F9" i="6"/>
  <c r="F11" i="6"/>
  <c r="F12" i="6"/>
  <c r="F13" i="6"/>
  <c r="F19" i="6"/>
  <c r="F20" i="6"/>
  <c r="F21" i="6"/>
  <c r="F22" i="6"/>
  <c r="F10" i="6"/>
  <c r="F23" i="6"/>
  <c r="F24" i="6"/>
  <c r="F7" i="6"/>
  <c r="F8" i="6"/>
  <c r="F18" i="6"/>
  <c r="F14" i="6"/>
  <c r="F26" i="6"/>
  <c r="F15" i="6"/>
  <c r="F16" i="6"/>
  <c r="F17" i="6"/>
  <c r="E8" i="10"/>
  <c r="I7" i="10"/>
  <c r="G8" i="10"/>
  <c r="K8" i="10"/>
  <c r="G7" i="10"/>
  <c r="K7" i="10"/>
  <c r="M11" i="9"/>
  <c r="I7" i="9"/>
  <c r="E8" i="9"/>
  <c r="K9" i="9" s="1"/>
  <c r="K8" i="9"/>
  <c r="G8" i="9"/>
  <c r="K7" i="9"/>
  <c r="E8" i="8"/>
  <c r="I7" i="8"/>
  <c r="M9" i="8"/>
  <c r="K8" i="8"/>
  <c r="G8" i="8"/>
  <c r="K7" i="8"/>
  <c r="G7" i="8"/>
  <c r="I8" i="10" l="1"/>
  <c r="E9" i="10"/>
  <c r="G9" i="10"/>
  <c r="K9" i="10"/>
  <c r="M12" i="9"/>
  <c r="I8" i="9"/>
  <c r="E9" i="9"/>
  <c r="G9" i="9"/>
  <c r="I8" i="8"/>
  <c r="E9" i="8"/>
  <c r="M10" i="8"/>
  <c r="K9" i="8"/>
  <c r="G9" i="8"/>
  <c r="I9" i="10" l="1"/>
  <c r="E10" i="10"/>
  <c r="G10" i="10"/>
  <c r="K10" i="10"/>
  <c r="I9" i="9"/>
  <c r="E10" i="9"/>
  <c r="K10" i="9"/>
  <c r="G10" i="9"/>
  <c r="M13" i="9"/>
  <c r="M11" i="8"/>
  <c r="I9" i="8"/>
  <c r="E10" i="8"/>
  <c r="G10" i="8"/>
  <c r="K10" i="8"/>
  <c r="I10" i="10" l="1"/>
  <c r="K11" i="10"/>
  <c r="E11" i="10"/>
  <c r="G11" i="10"/>
  <c r="M14" i="9"/>
  <c r="I10" i="9"/>
  <c r="E11" i="9"/>
  <c r="K11" i="9"/>
  <c r="G11" i="9"/>
  <c r="I10" i="8"/>
  <c r="E11" i="8"/>
  <c r="K11" i="8"/>
  <c r="G11" i="8"/>
  <c r="M12" i="8"/>
  <c r="I11" i="10" l="1"/>
  <c r="E12" i="10"/>
  <c r="K12" i="10"/>
  <c r="G12" i="10"/>
  <c r="I11" i="9"/>
  <c r="E12" i="9"/>
  <c r="K12" i="9"/>
  <c r="G12" i="9"/>
  <c r="M15" i="9"/>
  <c r="M13" i="8"/>
  <c r="I11" i="8"/>
  <c r="E12" i="8"/>
  <c r="G12" i="8"/>
  <c r="K12" i="8"/>
  <c r="E13" i="10" l="1"/>
  <c r="I12" i="10"/>
  <c r="K13" i="10"/>
  <c r="G13" i="10"/>
  <c r="M16" i="9"/>
  <c r="E13" i="9"/>
  <c r="I12" i="9"/>
  <c r="K13" i="9"/>
  <c r="G13" i="9"/>
  <c r="E13" i="8"/>
  <c r="I12" i="8"/>
  <c r="G13" i="8"/>
  <c r="K13" i="8"/>
  <c r="M14" i="8"/>
  <c r="I13" i="10" l="1"/>
  <c r="E14" i="10"/>
  <c r="K14" i="10"/>
  <c r="G14" i="10"/>
  <c r="I13" i="9"/>
  <c r="E14" i="9"/>
  <c r="K14" i="9"/>
  <c r="G14" i="9"/>
  <c r="M17" i="9"/>
  <c r="M15" i="8"/>
  <c r="E14" i="8"/>
  <c r="I13" i="8"/>
  <c r="G14" i="8"/>
  <c r="K14" i="8"/>
  <c r="I14" i="10" l="1"/>
  <c r="E15" i="10"/>
  <c r="K15" i="10"/>
  <c r="G15" i="10"/>
  <c r="M18" i="9"/>
  <c r="I14" i="9"/>
  <c r="E15" i="9"/>
  <c r="K15" i="9"/>
  <c r="G15" i="9"/>
  <c r="M16" i="8"/>
  <c r="I14" i="8"/>
  <c r="E15" i="8"/>
  <c r="K15" i="8"/>
  <c r="G15" i="8"/>
  <c r="I15" i="10" l="1"/>
  <c r="E16" i="10"/>
  <c r="G16" i="10"/>
  <c r="K16" i="10"/>
  <c r="I15" i="9"/>
  <c r="E16" i="9"/>
  <c r="K16" i="9"/>
  <c r="G16" i="9"/>
  <c r="M19" i="9"/>
  <c r="M17" i="8"/>
  <c r="I15" i="8"/>
  <c r="E16" i="8"/>
  <c r="G16" i="8"/>
  <c r="K16" i="8"/>
  <c r="I16" i="10" l="1"/>
  <c r="E17" i="10"/>
  <c r="K17" i="10"/>
  <c r="G17" i="10"/>
  <c r="M20" i="9"/>
  <c r="I16" i="9"/>
  <c r="E17" i="9"/>
  <c r="G17" i="9"/>
  <c r="K17" i="9"/>
  <c r="M18" i="8"/>
  <c r="I16" i="8"/>
  <c r="E17" i="8"/>
  <c r="K17" i="8"/>
  <c r="G17" i="8"/>
  <c r="I17" i="10" l="1"/>
  <c r="E18" i="10"/>
  <c r="K18" i="10"/>
  <c r="G18" i="10"/>
  <c r="I17" i="9"/>
  <c r="E18" i="9"/>
  <c r="K18" i="9"/>
  <c r="G18" i="9"/>
  <c r="M21" i="9"/>
  <c r="M19" i="8"/>
  <c r="I17" i="8"/>
  <c r="E18" i="8"/>
  <c r="G18" i="8"/>
  <c r="K18" i="8"/>
  <c r="E19" i="10" l="1"/>
  <c r="I18" i="10"/>
  <c r="K19" i="10"/>
  <c r="G19" i="10"/>
  <c r="M22" i="9"/>
  <c r="E19" i="9"/>
  <c r="I18" i="9"/>
  <c r="G19" i="9"/>
  <c r="K19" i="9"/>
  <c r="E19" i="8"/>
  <c r="I18" i="8"/>
  <c r="K19" i="8"/>
  <c r="G19" i="8"/>
  <c r="M20" i="8"/>
  <c r="E20" i="10" l="1"/>
  <c r="I19" i="10"/>
  <c r="G20" i="10"/>
  <c r="K20" i="10"/>
  <c r="M23" i="9"/>
  <c r="I19" i="9"/>
  <c r="E20" i="9"/>
  <c r="K20" i="9"/>
  <c r="G20" i="9"/>
  <c r="M21" i="8"/>
  <c r="E20" i="8"/>
  <c r="I19" i="8"/>
  <c r="G20" i="8"/>
  <c r="K20" i="8"/>
  <c r="I20" i="10" l="1"/>
  <c r="E21" i="10"/>
  <c r="K21" i="10"/>
  <c r="G21" i="10"/>
  <c r="I20" i="9"/>
  <c r="E21" i="9"/>
  <c r="K21" i="9"/>
  <c r="G21" i="9"/>
  <c r="M24" i="9"/>
  <c r="I20" i="8"/>
  <c r="E21" i="8"/>
  <c r="K21" i="8"/>
  <c r="G21" i="8"/>
  <c r="M22" i="8"/>
  <c r="I21" i="10" l="1"/>
  <c r="E22" i="10"/>
  <c r="K22" i="10"/>
  <c r="G22" i="10"/>
  <c r="M25" i="9"/>
  <c r="I21" i="9"/>
  <c r="E22" i="9"/>
  <c r="K22" i="9"/>
  <c r="G22" i="9"/>
  <c r="M23" i="8"/>
  <c r="I21" i="8"/>
  <c r="E22" i="8"/>
  <c r="K22" i="8"/>
  <c r="G22" i="8"/>
  <c r="I22" i="10" l="1"/>
  <c r="E23" i="10"/>
  <c r="K23" i="10"/>
  <c r="G23" i="10"/>
  <c r="I22" i="9"/>
  <c r="E23" i="9"/>
  <c r="K23" i="9"/>
  <c r="G23" i="9"/>
  <c r="M26" i="9"/>
  <c r="I22" i="8"/>
  <c r="E23" i="8"/>
  <c r="K23" i="8"/>
  <c r="G23" i="8"/>
  <c r="M24" i="8"/>
  <c r="I23" i="10" l="1"/>
  <c r="E24" i="10"/>
  <c r="K24" i="10"/>
  <c r="G24" i="10"/>
  <c r="I23" i="9"/>
  <c r="E24" i="9"/>
  <c r="K24" i="9"/>
  <c r="G24" i="9"/>
  <c r="M25" i="8"/>
  <c r="I23" i="8"/>
  <c r="E24" i="8"/>
  <c r="G24" i="8"/>
  <c r="K24" i="8"/>
  <c r="E25" i="10" l="1"/>
  <c r="I24" i="10"/>
  <c r="K25" i="10"/>
  <c r="G25" i="10"/>
  <c r="E25" i="9"/>
  <c r="I24" i="9"/>
  <c r="K25" i="9"/>
  <c r="G25" i="9"/>
  <c r="E25" i="8"/>
  <c r="I24" i="8"/>
  <c r="K25" i="8"/>
  <c r="G25" i="8"/>
  <c r="M26" i="8"/>
  <c r="I25" i="10" l="1"/>
  <c r="E26" i="10"/>
  <c r="I26" i="10" s="1"/>
  <c r="K26" i="10"/>
  <c r="G26" i="10"/>
  <c r="I25" i="9"/>
  <c r="E26" i="9"/>
  <c r="I26" i="9" s="1"/>
  <c r="K26" i="9"/>
  <c r="G26" i="9"/>
  <c r="I25" i="8"/>
  <c r="E26" i="8"/>
  <c r="I26" i="8" s="1"/>
  <c r="J26" i="8" s="1"/>
  <c r="J25" i="8" s="1"/>
  <c r="J24" i="8" s="1"/>
  <c r="J23" i="8" s="1"/>
  <c r="J22" i="8" s="1"/>
  <c r="J21" i="8" s="1"/>
  <c r="J20" i="8" s="1"/>
  <c r="J19" i="8" s="1"/>
  <c r="J18" i="8" s="1"/>
  <c r="J17" i="8" s="1"/>
  <c r="J16" i="8" s="1"/>
  <c r="J15" i="8" s="1"/>
  <c r="J14" i="8" s="1"/>
  <c r="J13" i="8" s="1"/>
  <c r="J12" i="8" s="1"/>
  <c r="J11" i="8" s="1"/>
  <c r="J10" i="8" s="1"/>
  <c r="J9" i="8" s="1"/>
  <c r="J8" i="8" s="1"/>
  <c r="J7" i="8" s="1"/>
  <c r="K26" i="8"/>
  <c r="G26" i="8"/>
  <c r="H26" i="8" s="1"/>
  <c r="L26" i="8" l="1"/>
  <c r="L25" i="8" s="1"/>
  <c r="L24" i="8" s="1"/>
  <c r="L23" i="8" s="1"/>
  <c r="L22" i="8" s="1"/>
  <c r="L21" i="8" s="1"/>
  <c r="L20" i="8" s="1"/>
  <c r="L19" i="8" s="1"/>
  <c r="L18" i="8" s="1"/>
  <c r="L17" i="8" s="1"/>
  <c r="L16" i="8" s="1"/>
  <c r="L15" i="8" s="1"/>
  <c r="L14" i="8" s="1"/>
  <c r="L13" i="8" s="1"/>
  <c r="L12" i="8" s="1"/>
  <c r="L11" i="8" s="1"/>
  <c r="L10" i="8" s="1"/>
  <c r="L9" i="8" s="1"/>
  <c r="L8" i="8" s="1"/>
  <c r="L7" i="8" s="1"/>
  <c r="P26" i="8"/>
  <c r="H25" i="8"/>
  <c r="P25" i="8" l="1"/>
  <c r="H24" i="8"/>
  <c r="P24" i="8" s="1"/>
  <c r="H23" i="8" l="1"/>
  <c r="P23" i="8" s="1"/>
  <c r="H22" i="8" l="1"/>
  <c r="P22" i="8" s="1"/>
  <c r="H21" i="8" l="1"/>
  <c r="P21" i="8" s="1"/>
  <c r="H20" i="8" l="1"/>
  <c r="P20" i="8" s="1"/>
  <c r="H19" i="8" l="1"/>
  <c r="P19" i="8" s="1"/>
  <c r="H18" i="8" l="1"/>
  <c r="P18" i="8" s="1"/>
  <c r="H17" i="8" l="1"/>
  <c r="P17" i="8" s="1"/>
  <c r="H16" i="8" l="1"/>
  <c r="P16" i="8" s="1"/>
  <c r="H15" i="8" l="1"/>
  <c r="P15" i="8" s="1"/>
  <c r="H14" i="8" l="1"/>
  <c r="P14" i="8" s="1"/>
  <c r="H13" i="8" l="1"/>
  <c r="P13" i="8" s="1"/>
  <c r="H12" i="8" l="1"/>
  <c r="P12" i="8" s="1"/>
  <c r="H11" i="8" l="1"/>
  <c r="P11" i="8" s="1"/>
  <c r="H10" i="8" l="1"/>
  <c r="P10" i="8" s="1"/>
  <c r="H9" i="8" l="1"/>
  <c r="P9" i="8" s="1"/>
  <c r="H8" i="8" l="1"/>
  <c r="P8" i="8" s="1"/>
  <c r="H7" i="8" l="1"/>
  <c r="P7" i="8" s="1"/>
  <c r="D26" i="7" l="1"/>
  <c r="H3" i="6"/>
  <c r="M9" i="6"/>
  <c r="M10" i="6" s="1"/>
  <c r="M11" i="6" s="1"/>
  <c r="M12" i="6" s="1"/>
  <c r="M13" i="6" s="1"/>
  <c r="M14" i="6" s="1"/>
  <c r="M15" i="6" s="1"/>
  <c r="M16" i="6" s="1"/>
  <c r="M17" i="6" s="1"/>
  <c r="M18" i="6" s="1"/>
  <c r="M19" i="6" s="1"/>
  <c r="M20" i="6" s="1"/>
  <c r="M21" i="6" s="1"/>
  <c r="M22" i="6" s="1"/>
  <c r="M23" i="6" s="1"/>
  <c r="M24" i="6" s="1"/>
  <c r="M25" i="6" s="1"/>
  <c r="M26" i="6" s="1"/>
  <c r="B7" i="6"/>
  <c r="C7" i="3"/>
  <c r="D26" i="6"/>
  <c r="C26" i="6"/>
  <c r="B26" i="6"/>
  <c r="D25" i="6"/>
  <c r="C25" i="6"/>
  <c r="B25" i="6"/>
  <c r="D24" i="6"/>
  <c r="C24" i="6"/>
  <c r="B24" i="6"/>
  <c r="D23" i="6"/>
  <c r="C23" i="6"/>
  <c r="B23" i="6"/>
  <c r="D22" i="6"/>
  <c r="C22" i="6"/>
  <c r="B22" i="6"/>
  <c r="D21" i="6"/>
  <c r="C21" i="6"/>
  <c r="B21" i="6"/>
  <c r="D20" i="6"/>
  <c r="C20" i="6"/>
  <c r="B20" i="6"/>
  <c r="D19" i="6"/>
  <c r="C19" i="6"/>
  <c r="B19" i="6"/>
  <c r="D18" i="6"/>
  <c r="C18" i="6"/>
  <c r="B18" i="6"/>
  <c r="D17" i="6"/>
  <c r="C17" i="6"/>
  <c r="B17" i="6"/>
  <c r="D16" i="6"/>
  <c r="C16" i="6"/>
  <c r="B16" i="6"/>
  <c r="D15" i="6"/>
  <c r="C15" i="6"/>
  <c r="B15" i="6"/>
  <c r="D14" i="6"/>
  <c r="C14" i="6"/>
  <c r="B14" i="6"/>
  <c r="D13" i="6"/>
  <c r="C13" i="6"/>
  <c r="B13" i="6"/>
  <c r="D12" i="6"/>
  <c r="C12" i="6"/>
  <c r="B12" i="6"/>
  <c r="D11" i="6"/>
  <c r="C11" i="6"/>
  <c r="B11" i="6"/>
  <c r="D10" i="6"/>
  <c r="C10" i="6"/>
  <c r="B10" i="6"/>
  <c r="D9" i="6"/>
  <c r="C9" i="6"/>
  <c r="B9" i="6"/>
  <c r="D8" i="6"/>
  <c r="C8" i="6"/>
  <c r="B8" i="6"/>
  <c r="D7" i="6"/>
  <c r="C7" i="6"/>
  <c r="D26" i="2"/>
  <c r="D25" i="2"/>
  <c r="D24" i="2"/>
  <c r="D23" i="2"/>
  <c r="D22" i="2"/>
  <c r="D21" i="2"/>
  <c r="D20" i="2"/>
  <c r="D19" i="2"/>
  <c r="D18" i="2"/>
  <c r="D17" i="2"/>
  <c r="D16" i="2"/>
  <c r="D15" i="2"/>
  <c r="D14" i="2"/>
  <c r="D13" i="2"/>
  <c r="D12" i="2"/>
  <c r="D11" i="2"/>
  <c r="D10" i="2"/>
  <c r="D9" i="2"/>
  <c r="D8" i="2"/>
  <c r="D7" i="2"/>
  <c r="C26" i="2"/>
  <c r="C25" i="2"/>
  <c r="C24" i="2"/>
  <c r="C23" i="2"/>
  <c r="C22" i="2"/>
  <c r="C21" i="2"/>
  <c r="C20" i="2"/>
  <c r="C19" i="2"/>
  <c r="C18" i="2"/>
  <c r="C17" i="2"/>
  <c r="C16" i="2"/>
  <c r="C15" i="2"/>
  <c r="C14" i="2"/>
  <c r="C13" i="2"/>
  <c r="C12" i="2"/>
  <c r="C11" i="2"/>
  <c r="C10" i="2"/>
  <c r="C9" i="2"/>
  <c r="C8" i="2"/>
  <c r="C7" i="2"/>
  <c r="B26" i="2"/>
  <c r="B25" i="2"/>
  <c r="B24" i="2"/>
  <c r="B23" i="2"/>
  <c r="B22" i="2"/>
  <c r="B21" i="2"/>
  <c r="B20" i="2"/>
  <c r="B19" i="2"/>
  <c r="B18" i="2"/>
  <c r="B17" i="2"/>
  <c r="B16" i="2"/>
  <c r="B15" i="2"/>
  <c r="B14" i="2"/>
  <c r="B13" i="2"/>
  <c r="B12" i="2"/>
  <c r="B11" i="2"/>
  <c r="B10" i="2"/>
  <c r="B9" i="2"/>
  <c r="B8" i="2"/>
  <c r="B7" i="2"/>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F101" i="4"/>
  <c r="F100" i="4"/>
  <c r="F99" i="4"/>
  <c r="F98" i="4"/>
  <c r="F97" i="4"/>
  <c r="F96" i="4"/>
  <c r="F95" i="4"/>
  <c r="F94" i="4"/>
  <c r="F93" i="4"/>
  <c r="F92" i="4"/>
  <c r="F91" i="4"/>
  <c r="F90" i="4"/>
  <c r="F89" i="4"/>
  <c r="F88" i="4"/>
  <c r="F87" i="4"/>
  <c r="F86" i="4"/>
  <c r="F85" i="4"/>
  <c r="F84" i="4"/>
  <c r="F83" i="4"/>
  <c r="F82" i="4"/>
  <c r="F81" i="4"/>
  <c r="F80" i="4"/>
  <c r="F79" i="4"/>
  <c r="F78" i="4"/>
  <c r="F77" i="4"/>
  <c r="F76" i="4"/>
  <c r="F75" i="4"/>
  <c r="F74" i="4"/>
  <c r="F73" i="4"/>
  <c r="F72" i="4"/>
  <c r="F71" i="4"/>
  <c r="F70" i="4"/>
  <c r="F69" i="4"/>
  <c r="F68" i="4"/>
  <c r="F67" i="4"/>
  <c r="F66" i="4"/>
  <c r="F65" i="4"/>
  <c r="F64" i="4"/>
  <c r="F63" i="4"/>
  <c r="F62" i="4"/>
  <c r="F61" i="4"/>
  <c r="F60" i="4"/>
  <c r="F59" i="4"/>
  <c r="F58" i="4"/>
  <c r="F57" i="4"/>
  <c r="F56" i="4"/>
  <c r="F55" i="4"/>
  <c r="F54" i="4"/>
  <c r="F53" i="4"/>
  <c r="F52" i="4"/>
  <c r="F51" i="4"/>
  <c r="F50" i="4"/>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H3" i="2" l="1"/>
  <c r="G7" i="6"/>
  <c r="E7" i="6"/>
  <c r="K7" i="6"/>
  <c r="G7" i="2"/>
  <c r="K7" i="2"/>
  <c r="E7" i="2"/>
  <c r="L26" i="10" l="1"/>
  <c r="L25" i="10" s="1"/>
  <c r="L24" i="10" s="1"/>
  <c r="L23" i="10" s="1"/>
  <c r="L22" i="10" s="1"/>
  <c r="L21" i="10" s="1"/>
  <c r="L20" i="10" s="1"/>
  <c r="L19" i="10" s="1"/>
  <c r="L18" i="10" s="1"/>
  <c r="L17" i="10" s="1"/>
  <c r="L16" i="10" s="1"/>
  <c r="L15" i="10" s="1"/>
  <c r="L14" i="10" s="1"/>
  <c r="L13" i="10" s="1"/>
  <c r="L12" i="10" s="1"/>
  <c r="L11" i="10" s="1"/>
  <c r="L10" i="10" s="1"/>
  <c r="L9" i="10" s="1"/>
  <c r="L8" i="10" s="1"/>
  <c r="L7" i="10" s="1"/>
  <c r="H26" i="10"/>
  <c r="L26" i="9"/>
  <c r="H26" i="9"/>
  <c r="E8" i="2"/>
  <c r="I7" i="2"/>
  <c r="E8" i="6"/>
  <c r="K9" i="6" s="1"/>
  <c r="I7" i="6"/>
  <c r="L25" i="9"/>
  <c r="L24" i="9" s="1"/>
  <c r="L23" i="9" s="1"/>
  <c r="L22" i="9" s="1"/>
  <c r="L21" i="9" s="1"/>
  <c r="L20" i="9" s="1"/>
  <c r="L19" i="9" s="1"/>
  <c r="L18" i="9" s="1"/>
  <c r="L17" i="9" s="1"/>
  <c r="L16" i="9" s="1"/>
  <c r="L15" i="9" s="1"/>
  <c r="L14" i="9" s="1"/>
  <c r="L13" i="9" s="1"/>
  <c r="L12" i="9" s="1"/>
  <c r="L11" i="9" s="1"/>
  <c r="L10" i="9" s="1"/>
  <c r="L9" i="9" s="1"/>
  <c r="L8" i="9" s="1"/>
  <c r="L7" i="9" s="1"/>
  <c r="J26" i="9"/>
  <c r="J25" i="9" s="1"/>
  <c r="J24" i="9" s="1"/>
  <c r="J23" i="9" s="1"/>
  <c r="J22" i="9" s="1"/>
  <c r="J21" i="9" s="1"/>
  <c r="J20" i="9" s="1"/>
  <c r="J19" i="9" s="1"/>
  <c r="J18" i="9" s="1"/>
  <c r="J17" i="9" s="1"/>
  <c r="J16" i="9" s="1"/>
  <c r="J15" i="9" s="1"/>
  <c r="J14" i="9" s="1"/>
  <c r="J13" i="9" s="1"/>
  <c r="J12" i="9" s="1"/>
  <c r="J11" i="9" s="1"/>
  <c r="J10" i="9" s="1"/>
  <c r="J9" i="9" s="1"/>
  <c r="J8" i="9" s="1"/>
  <c r="J7" i="9" s="1"/>
  <c r="J26" i="10"/>
  <c r="J25" i="10" s="1"/>
  <c r="J24" i="10" s="1"/>
  <c r="J23" i="10" s="1"/>
  <c r="J22" i="10" s="1"/>
  <c r="J21" i="10" s="1"/>
  <c r="J20" i="10" s="1"/>
  <c r="J19" i="10" s="1"/>
  <c r="J18" i="10" s="1"/>
  <c r="J17" i="10" s="1"/>
  <c r="J16" i="10" s="1"/>
  <c r="J15" i="10" s="1"/>
  <c r="J14" i="10" s="1"/>
  <c r="J13" i="10" s="1"/>
  <c r="J12" i="10" s="1"/>
  <c r="J11" i="10" s="1"/>
  <c r="J10" i="10" s="1"/>
  <c r="J9" i="10" s="1"/>
  <c r="J8" i="10" s="1"/>
  <c r="J7" i="10" s="1"/>
  <c r="K8" i="6"/>
  <c r="G8" i="6"/>
  <c r="K8" i="2"/>
  <c r="K9" i="2"/>
  <c r="G9" i="2"/>
  <c r="G8" i="2"/>
  <c r="E9" i="6" l="1"/>
  <c r="E10" i="6" s="1"/>
  <c r="E11" i="6" s="1"/>
  <c r="E9" i="2"/>
  <c r="I8" i="2"/>
  <c r="I9" i="6"/>
  <c r="G9" i="6"/>
  <c r="I8" i="6"/>
  <c r="H25" i="10"/>
  <c r="P26" i="10"/>
  <c r="P26" i="9"/>
  <c r="H25" i="9"/>
  <c r="K10" i="6"/>
  <c r="G10" i="6"/>
  <c r="Q26" i="10" l="1"/>
  <c r="R26" i="10" s="1"/>
  <c r="G11" i="6"/>
  <c r="E10" i="2"/>
  <c r="I9" i="2"/>
  <c r="G10" i="2"/>
  <c r="K10" i="2"/>
  <c r="E12" i="6"/>
  <c r="I12" i="6" s="1"/>
  <c r="I11" i="6"/>
  <c r="K11" i="6"/>
  <c r="I10" i="6"/>
  <c r="P25" i="9"/>
  <c r="H24" i="9"/>
  <c r="P25" i="10"/>
  <c r="H24" i="10"/>
  <c r="G12" i="6"/>
  <c r="K12" i="6"/>
  <c r="Q25" i="10" l="1"/>
  <c r="R25" i="10" s="1"/>
  <c r="E11" i="2"/>
  <c r="I10" i="2"/>
  <c r="G11" i="2"/>
  <c r="K11" i="2"/>
  <c r="K13" i="6"/>
  <c r="G13" i="6"/>
  <c r="E13" i="6"/>
  <c r="I13" i="6" s="1"/>
  <c r="P24" i="10"/>
  <c r="H23" i="10"/>
  <c r="P24" i="9"/>
  <c r="H23" i="9"/>
  <c r="Q24" i="10" l="1"/>
  <c r="R24" i="10" s="1"/>
  <c r="E14" i="6"/>
  <c r="I14" i="6" s="1"/>
  <c r="G14" i="6"/>
  <c r="E12" i="2"/>
  <c r="I11" i="2"/>
  <c r="G12" i="2"/>
  <c r="K12" i="2"/>
  <c r="K14" i="6"/>
  <c r="P23" i="9"/>
  <c r="H22" i="9"/>
  <c r="P23" i="10"/>
  <c r="H22" i="10"/>
  <c r="E15" i="6"/>
  <c r="I15" i="6" s="1"/>
  <c r="K15" i="6"/>
  <c r="Q23" i="10" l="1"/>
  <c r="R23" i="10" s="1"/>
  <c r="G15" i="6"/>
  <c r="E13" i="2"/>
  <c r="I12" i="2"/>
  <c r="K13" i="2"/>
  <c r="G13" i="2"/>
  <c r="P22" i="10"/>
  <c r="H21" i="10"/>
  <c r="H21" i="9"/>
  <c r="P22" i="9"/>
  <c r="E16" i="6"/>
  <c r="I16" i="6" s="1"/>
  <c r="G16" i="6"/>
  <c r="K16" i="6"/>
  <c r="Q22" i="10" l="1"/>
  <c r="R22" i="10" s="1"/>
  <c r="E14" i="2"/>
  <c r="I13" i="2"/>
  <c r="G14" i="2"/>
  <c r="K14" i="2"/>
  <c r="P21" i="9"/>
  <c r="H20" i="9"/>
  <c r="P21" i="10"/>
  <c r="H20" i="10"/>
  <c r="E17" i="6"/>
  <c r="I17" i="6" s="1"/>
  <c r="K17" i="6"/>
  <c r="G17" i="6"/>
  <c r="Q21" i="10" l="1"/>
  <c r="R21" i="10" s="1"/>
  <c r="E15" i="2"/>
  <c r="I14" i="2"/>
  <c r="K15" i="2"/>
  <c r="G15" i="2"/>
  <c r="P20" i="10"/>
  <c r="H19" i="10"/>
  <c r="H19" i="9"/>
  <c r="P20" i="9"/>
  <c r="E18" i="6"/>
  <c r="I18" i="6" s="1"/>
  <c r="K18" i="6"/>
  <c r="G18" i="6"/>
  <c r="Q20" i="10" l="1"/>
  <c r="R20" i="10" s="1"/>
  <c r="E16" i="2"/>
  <c r="I15" i="2"/>
  <c r="K16" i="2"/>
  <c r="G16" i="2"/>
  <c r="P19" i="9"/>
  <c r="H18" i="9"/>
  <c r="P19" i="10"/>
  <c r="H18" i="10"/>
  <c r="E19" i="6"/>
  <c r="I19" i="6" s="1"/>
  <c r="G19" i="6"/>
  <c r="K19" i="6"/>
  <c r="Q19" i="10" l="1"/>
  <c r="R19" i="10" s="1"/>
  <c r="K17" i="2"/>
  <c r="I16" i="2"/>
  <c r="G17" i="2"/>
  <c r="E17" i="2"/>
  <c r="P18" i="10"/>
  <c r="H17" i="10"/>
  <c r="P18" i="9"/>
  <c r="H17" i="9"/>
  <c r="E20" i="6"/>
  <c r="I20" i="6" s="1"/>
  <c r="K20" i="6"/>
  <c r="G20" i="6"/>
  <c r="Q18" i="10" l="1"/>
  <c r="R18" i="10" s="1"/>
  <c r="I17" i="2"/>
  <c r="E18" i="2"/>
  <c r="K18" i="2"/>
  <c r="G18" i="2"/>
  <c r="H16" i="9"/>
  <c r="P17" i="9"/>
  <c r="P17" i="10"/>
  <c r="H16" i="10"/>
  <c r="E21" i="6"/>
  <c r="I21" i="6" s="1"/>
  <c r="K21" i="6"/>
  <c r="G21" i="6"/>
  <c r="Q17" i="10" l="1"/>
  <c r="R17" i="10" s="1"/>
  <c r="I18" i="2"/>
  <c r="K19" i="2"/>
  <c r="G19" i="2"/>
  <c r="E19" i="2"/>
  <c r="P16" i="10"/>
  <c r="H15" i="10"/>
  <c r="H15" i="9"/>
  <c r="P16" i="9"/>
  <c r="E22" i="6"/>
  <c r="I22" i="6" s="1"/>
  <c r="K22" i="6"/>
  <c r="G22" i="6"/>
  <c r="Q16" i="10" l="1"/>
  <c r="R16" i="10" s="1"/>
  <c r="I19" i="2"/>
  <c r="E20" i="2"/>
  <c r="G20" i="2"/>
  <c r="K20" i="2"/>
  <c r="H14" i="9"/>
  <c r="P15" i="9"/>
  <c r="P15" i="10"/>
  <c r="H14" i="10"/>
  <c r="E23" i="6"/>
  <c r="I23" i="6" s="1"/>
  <c r="K23" i="6"/>
  <c r="G23" i="6"/>
  <c r="Q15" i="10" l="1"/>
  <c r="R15" i="10" s="1"/>
  <c r="I20" i="2"/>
  <c r="K21" i="2"/>
  <c r="E21" i="2"/>
  <c r="G21" i="2"/>
  <c r="P14" i="10"/>
  <c r="H13" i="10"/>
  <c r="P14" i="9"/>
  <c r="H13" i="9"/>
  <c r="E24" i="6"/>
  <c r="I24" i="6" s="1"/>
  <c r="K24" i="6"/>
  <c r="G24" i="6"/>
  <c r="Q14" i="10" l="1"/>
  <c r="R14" i="10" s="1"/>
  <c r="I21" i="2"/>
  <c r="K22" i="2"/>
  <c r="E22" i="2"/>
  <c r="G22" i="2"/>
  <c r="H12" i="9"/>
  <c r="P13" i="9"/>
  <c r="P13" i="10"/>
  <c r="H12" i="10"/>
  <c r="E25" i="6"/>
  <c r="I25" i="6" s="1"/>
  <c r="K25" i="6"/>
  <c r="G25" i="6"/>
  <c r="Q13" i="10" l="1"/>
  <c r="R13" i="10" s="1"/>
  <c r="I22" i="2"/>
  <c r="E23" i="2"/>
  <c r="K23" i="2"/>
  <c r="G23" i="2"/>
  <c r="P12" i="10"/>
  <c r="H11" i="10"/>
  <c r="P12" i="9"/>
  <c r="H11" i="9"/>
  <c r="E26" i="6"/>
  <c r="I26" i="6" s="1"/>
  <c r="J26" i="6" s="1"/>
  <c r="G26" i="6"/>
  <c r="K26" i="6"/>
  <c r="Q12" i="10" l="1"/>
  <c r="R12" i="10" s="1"/>
  <c r="H26" i="6"/>
  <c r="H25" i="6" s="1"/>
  <c r="H24" i="6" s="1"/>
  <c r="L26" i="6"/>
  <c r="L25" i="6" s="1"/>
  <c r="L24" i="6" s="1"/>
  <c r="L23" i="6" s="1"/>
  <c r="L22" i="6" s="1"/>
  <c r="L21" i="6" s="1"/>
  <c r="L20" i="6" s="1"/>
  <c r="L19" i="6" s="1"/>
  <c r="L18" i="6" s="1"/>
  <c r="L17" i="6" s="1"/>
  <c r="L16" i="6" s="1"/>
  <c r="L15" i="6" s="1"/>
  <c r="L14" i="6" s="1"/>
  <c r="L13" i="6" s="1"/>
  <c r="L12" i="6" s="1"/>
  <c r="L11" i="6" s="1"/>
  <c r="L10" i="6" s="1"/>
  <c r="L9" i="6" s="1"/>
  <c r="L8" i="6" s="1"/>
  <c r="L7" i="6" s="1"/>
  <c r="I23" i="2"/>
  <c r="G24" i="2"/>
  <c r="K24" i="2"/>
  <c r="E24" i="2"/>
  <c r="P11" i="9"/>
  <c r="H10" i="9"/>
  <c r="P11" i="10"/>
  <c r="H10" i="10"/>
  <c r="J25" i="6"/>
  <c r="P25" i="6"/>
  <c r="C86" i="7" s="1"/>
  <c r="Q11" i="10" l="1"/>
  <c r="R11" i="10" s="1"/>
  <c r="I24" i="2"/>
  <c r="K25" i="2"/>
  <c r="E25" i="2"/>
  <c r="G25" i="2"/>
  <c r="P10" i="10"/>
  <c r="H9" i="10"/>
  <c r="H9" i="9"/>
  <c r="P10" i="9"/>
  <c r="J24" i="6"/>
  <c r="H23" i="6"/>
  <c r="P24" i="6" l="1"/>
  <c r="C85" i="7" s="1"/>
  <c r="Q10" i="10"/>
  <c r="R10" i="10" s="1"/>
  <c r="I25" i="2"/>
  <c r="G26" i="2"/>
  <c r="E26" i="2"/>
  <c r="I26" i="2" s="1"/>
  <c r="J26" i="2" s="1"/>
  <c r="J25" i="2" s="1"/>
  <c r="J24" i="2" s="1"/>
  <c r="J23" i="2" s="1"/>
  <c r="J22" i="2" s="1"/>
  <c r="J21" i="2" s="1"/>
  <c r="J20" i="2" s="1"/>
  <c r="J19" i="2" s="1"/>
  <c r="J18" i="2" s="1"/>
  <c r="J17" i="2" s="1"/>
  <c r="K26" i="2"/>
  <c r="H8" i="9"/>
  <c r="P9" i="9"/>
  <c r="P9" i="10"/>
  <c r="H8" i="10"/>
  <c r="J23" i="6"/>
  <c r="H22" i="6"/>
  <c r="P23" i="6" l="1"/>
  <c r="C84" i="7" s="1"/>
  <c r="Q9" i="10"/>
  <c r="R9" i="10" s="1"/>
  <c r="H26" i="2"/>
  <c r="H25" i="2" s="1"/>
  <c r="L26" i="2"/>
  <c r="L25" i="2" s="1"/>
  <c r="L24" i="2" s="1"/>
  <c r="L23" i="2" s="1"/>
  <c r="L22" i="2" s="1"/>
  <c r="L21" i="2" s="1"/>
  <c r="L20" i="2" s="1"/>
  <c r="L19" i="2" s="1"/>
  <c r="L18" i="2" s="1"/>
  <c r="L17" i="2" s="1"/>
  <c r="L16" i="2" s="1"/>
  <c r="L15" i="2" s="1"/>
  <c r="L14" i="2" s="1"/>
  <c r="L13" i="2" s="1"/>
  <c r="L12" i="2" s="1"/>
  <c r="L11" i="2" s="1"/>
  <c r="L10" i="2" s="1"/>
  <c r="L9" i="2" s="1"/>
  <c r="L8" i="2" s="1"/>
  <c r="L7" i="2" s="1"/>
  <c r="P26" i="2"/>
  <c r="P8" i="10"/>
  <c r="H7" i="10"/>
  <c r="P7" i="10" s="1"/>
  <c r="H7" i="9"/>
  <c r="P7" i="9" s="1"/>
  <c r="P8" i="9"/>
  <c r="J16" i="2"/>
  <c r="J22" i="6"/>
  <c r="H21" i="6"/>
  <c r="D17" i="7" l="1"/>
  <c r="D16" i="7"/>
  <c r="G16" i="7"/>
  <c r="D7" i="7"/>
  <c r="D43" i="7" s="1"/>
  <c r="Q26" i="2"/>
  <c r="R26" i="2" s="1"/>
  <c r="D87" i="7" s="1"/>
  <c r="P22" i="6"/>
  <c r="C83" i="7" s="1"/>
  <c r="Q7" i="10"/>
  <c r="R7" i="10" s="1"/>
  <c r="Q8" i="10"/>
  <c r="R8" i="10" s="1"/>
  <c r="H24" i="2"/>
  <c r="P25" i="2"/>
  <c r="P24" i="2"/>
  <c r="H23" i="2"/>
  <c r="J15" i="2"/>
  <c r="J21" i="6"/>
  <c r="H20" i="6"/>
  <c r="Q25" i="2" l="1"/>
  <c r="R25" i="2" s="1"/>
  <c r="D86" i="7" s="1"/>
  <c r="Q24" i="2"/>
  <c r="R24" i="2" s="1"/>
  <c r="D85" i="7" s="1"/>
  <c r="P21" i="6"/>
  <c r="C82" i="7" s="1"/>
  <c r="G17" i="7"/>
  <c r="G18" i="7"/>
  <c r="D9" i="7"/>
  <c r="D45" i="7" s="1"/>
  <c r="P23" i="2"/>
  <c r="H22" i="2"/>
  <c r="J14" i="2"/>
  <c r="J20" i="6"/>
  <c r="H19" i="6"/>
  <c r="Q23" i="2" l="1"/>
  <c r="R23" i="2" s="1"/>
  <c r="D84" i="7" s="1"/>
  <c r="P20" i="6"/>
  <c r="C81" i="7" s="1"/>
  <c r="P22" i="2"/>
  <c r="H21" i="2"/>
  <c r="J13" i="2"/>
  <c r="J19" i="6"/>
  <c r="H18" i="6"/>
  <c r="Q22" i="2" l="1"/>
  <c r="R22" i="2" s="1"/>
  <c r="D83" i="7" s="1"/>
  <c r="P19" i="6"/>
  <c r="C80" i="7" s="1"/>
  <c r="P21" i="2"/>
  <c r="H20" i="2"/>
  <c r="J12" i="2"/>
  <c r="J18" i="6"/>
  <c r="H17" i="6"/>
  <c r="Q21" i="2" l="1"/>
  <c r="R21" i="2" s="1"/>
  <c r="D82" i="7" s="1"/>
  <c r="P18" i="6"/>
  <c r="C79" i="7" s="1"/>
  <c r="H19" i="2"/>
  <c r="P20" i="2"/>
  <c r="J11" i="2"/>
  <c r="J17" i="6"/>
  <c r="H16" i="6"/>
  <c r="Q20" i="2" l="1"/>
  <c r="R20" i="2" s="1"/>
  <c r="D81" i="7" s="1"/>
  <c r="P17" i="6"/>
  <c r="C78" i="7" s="1"/>
  <c r="H18" i="2"/>
  <c r="P19" i="2"/>
  <c r="J10" i="2"/>
  <c r="J16" i="6"/>
  <c r="H15" i="6"/>
  <c r="Q19" i="2" l="1"/>
  <c r="R19" i="2" s="1"/>
  <c r="D80" i="7" s="1"/>
  <c r="P16" i="6"/>
  <c r="C77" i="7" s="1"/>
  <c r="H17" i="2"/>
  <c r="P18" i="2"/>
  <c r="J9" i="2"/>
  <c r="J15" i="6"/>
  <c r="H14" i="6"/>
  <c r="Q18" i="2" l="1"/>
  <c r="R18" i="2" s="1"/>
  <c r="D79" i="7" s="1"/>
  <c r="P15" i="6"/>
  <c r="C76" i="7" s="1"/>
  <c r="P17" i="2"/>
  <c r="H16" i="2"/>
  <c r="J8" i="2"/>
  <c r="J14" i="6"/>
  <c r="H13" i="6"/>
  <c r="Q17" i="2" l="1"/>
  <c r="R17" i="2" s="1"/>
  <c r="D78" i="7" s="1"/>
  <c r="P14" i="6"/>
  <c r="C75" i="7" s="1"/>
  <c r="H15" i="2"/>
  <c r="P16" i="2"/>
  <c r="J7" i="2"/>
  <c r="J13" i="6"/>
  <c r="H12" i="6"/>
  <c r="Q16" i="2" l="1"/>
  <c r="R16" i="2" s="1"/>
  <c r="D77" i="7" s="1"/>
  <c r="P13" i="6"/>
  <c r="C74" i="7" s="1"/>
  <c r="P15" i="2"/>
  <c r="H14" i="2"/>
  <c r="J12" i="6"/>
  <c r="H11" i="6"/>
  <c r="Q15" i="2" l="1"/>
  <c r="R15" i="2" s="1"/>
  <c r="D76" i="7" s="1"/>
  <c r="P12" i="6"/>
  <c r="C73" i="7" s="1"/>
  <c r="P14" i="2"/>
  <c r="H13" i="2"/>
  <c r="J11" i="6"/>
  <c r="H10" i="6"/>
  <c r="Q14" i="2" l="1"/>
  <c r="R14" i="2" s="1"/>
  <c r="D75" i="7" s="1"/>
  <c r="P11" i="6"/>
  <c r="C72" i="7" s="1"/>
  <c r="P13" i="2"/>
  <c r="H12" i="2"/>
  <c r="J10" i="6"/>
  <c r="H9" i="6"/>
  <c r="Q13" i="2" l="1"/>
  <c r="R13" i="2" s="1"/>
  <c r="D74" i="7" s="1"/>
  <c r="P10" i="6"/>
  <c r="C71" i="7" s="1"/>
  <c r="H11" i="2"/>
  <c r="P12" i="2"/>
  <c r="J9" i="6"/>
  <c r="H8" i="6"/>
  <c r="Q12" i="2" l="1"/>
  <c r="R12" i="2" s="1"/>
  <c r="D73" i="7" s="1"/>
  <c r="P9" i="6"/>
  <c r="C70" i="7" s="1"/>
  <c r="P11" i="2"/>
  <c r="H10" i="2"/>
  <c r="J8" i="6"/>
  <c r="H7" i="6"/>
  <c r="Q11" i="2" l="1"/>
  <c r="R11" i="2" s="1"/>
  <c r="D72" i="7" s="1"/>
  <c r="P7" i="6"/>
  <c r="P8" i="6"/>
  <c r="C69" i="7" s="1"/>
  <c r="H9" i="2"/>
  <c r="P10" i="2"/>
  <c r="J7" i="6"/>
  <c r="Q10" i="2" l="1"/>
  <c r="R10" i="2" s="1"/>
  <c r="D71" i="7" s="1"/>
  <c r="D5" i="7"/>
  <c r="D41" i="7"/>
  <c r="D24" i="7"/>
  <c r="C68" i="7"/>
  <c r="D15" i="7"/>
  <c r="D25" i="7"/>
  <c r="G15" i="7"/>
  <c r="D14" i="7"/>
  <c r="D19" i="7" s="1"/>
  <c r="G14" i="7"/>
  <c r="D6" i="7"/>
  <c r="D42" i="7" s="1"/>
  <c r="P9" i="2"/>
  <c r="H8" i="2"/>
  <c r="Q9" i="2" l="1"/>
  <c r="R9" i="2" s="1"/>
  <c r="D70" i="7" s="1"/>
  <c r="G19" i="7"/>
  <c r="D29" i="7"/>
  <c r="D10" i="7"/>
  <c r="D46" i="7" s="1"/>
  <c r="H7" i="2"/>
  <c r="P7" i="2" s="1"/>
  <c r="P8" i="2"/>
  <c r="Q8" i="2" l="1"/>
  <c r="R8" i="2" s="1"/>
  <c r="D69" i="7" s="1"/>
  <c r="Q7" i="2"/>
  <c r="R7" i="2" s="1"/>
  <c r="D68" i="7" s="1"/>
</calcChain>
</file>

<file path=xl/sharedStrings.xml><?xml version="1.0" encoding="utf-8"?>
<sst xmlns="http://schemas.openxmlformats.org/spreadsheetml/2006/main" count="350" uniqueCount="131">
  <si>
    <t>BEL</t>
  </si>
  <si>
    <t>RA</t>
  </si>
  <si>
    <t>Time</t>
  </si>
  <si>
    <t>Premiums</t>
  </si>
  <si>
    <t>Sum Assured</t>
  </si>
  <si>
    <t>Qx</t>
  </si>
  <si>
    <t>Best Estimate</t>
  </si>
  <si>
    <t>Px</t>
  </si>
  <si>
    <t>Base</t>
  </si>
  <si>
    <t>Age</t>
  </si>
  <si>
    <t>EPV Death benefit</t>
  </si>
  <si>
    <t>Interest Rate</t>
  </si>
  <si>
    <t>Maturity Benefit</t>
  </si>
  <si>
    <t>EPV Expenses</t>
  </si>
  <si>
    <t>EPV Premiums</t>
  </si>
  <si>
    <t>EPV Maturity Benefit</t>
  </si>
  <si>
    <t>Padded</t>
  </si>
  <si>
    <t>Diirectly Attrbutable Expenses</t>
  </si>
  <si>
    <t>Term</t>
  </si>
  <si>
    <t>Starting Year</t>
  </si>
  <si>
    <t>Risk Free Rate</t>
  </si>
  <si>
    <t>30% of FY premium</t>
  </si>
  <si>
    <t>Acquisition Expense</t>
  </si>
  <si>
    <t>Liquidity Premium</t>
  </si>
  <si>
    <t>Yearly Premium</t>
  </si>
  <si>
    <t>Risk Margin</t>
  </si>
  <si>
    <t>Maintenance Expense (BE)</t>
  </si>
  <si>
    <t>Maintenance Expense (Padded)</t>
  </si>
  <si>
    <t>Expense Inflation Rate (BE)</t>
  </si>
  <si>
    <t>Expense Inflation Rate (Padded)</t>
  </si>
  <si>
    <t>of BEL</t>
  </si>
  <si>
    <t>Reserve</t>
  </si>
  <si>
    <t>Reserves</t>
  </si>
  <si>
    <t>Reserve (Old Regime)</t>
  </si>
  <si>
    <t>Change in Discount Rate</t>
  </si>
  <si>
    <t>Using RA instead of MADs</t>
  </si>
  <si>
    <t>Removal of Non Attributable Expenses</t>
  </si>
  <si>
    <t>Gender</t>
  </si>
  <si>
    <t>M</t>
  </si>
  <si>
    <t>Method and Assumptions</t>
  </si>
  <si>
    <t>Number of Policies</t>
  </si>
  <si>
    <t>Average Age</t>
  </si>
  <si>
    <t>Removal of Flooring</t>
  </si>
  <si>
    <t xml:space="preserve">Reserve Movement Between Old and New Regime </t>
  </si>
  <si>
    <t>Reserve (New Regime)</t>
  </si>
  <si>
    <t>paid annually in advance</t>
  </si>
  <si>
    <t>Additional Assumptions</t>
  </si>
  <si>
    <t>Options under the New Regime</t>
  </si>
  <si>
    <t xml:space="preserve">Market Consistent Discount Rate </t>
  </si>
  <si>
    <t>No Surrender or Lapses during the term of the product</t>
  </si>
  <si>
    <t>Valuation Discount rate under the Old Regime</t>
  </si>
  <si>
    <t>Per Policy (Incurred annually at the beginning of the year)</t>
  </si>
  <si>
    <t>Premium</t>
  </si>
  <si>
    <t>Attributable Expenses</t>
  </si>
  <si>
    <t>Base Scenario</t>
  </si>
  <si>
    <t>Graphs</t>
  </si>
  <si>
    <t>1.a. (i)</t>
  </si>
  <si>
    <t>1.a. (ii)</t>
  </si>
  <si>
    <t>2.a</t>
  </si>
  <si>
    <t>Movement in reserves between the Old and New Regime for the base scenario</t>
  </si>
  <si>
    <t>Removal of Non 
Attributable Expenses</t>
  </si>
  <si>
    <t>RM instead of MADs</t>
  </si>
  <si>
    <t>2.b</t>
  </si>
  <si>
    <t>Reserve Projection comparison between the old and new regime under different scenarios</t>
  </si>
  <si>
    <t>Old Regime</t>
  </si>
  <si>
    <t>New Regime (Base)</t>
  </si>
  <si>
    <t>New Regime (Scenario 1)</t>
  </si>
  <si>
    <t>New Regime (Scenario 2)</t>
  </si>
  <si>
    <t>Scenario 1 - 70% attributable expenses</t>
  </si>
  <si>
    <t xml:space="preserve">Scenario 2 - 1% Liquidity premium </t>
  </si>
  <si>
    <t>BE Male mortality rate</t>
  </si>
  <si>
    <t>BE Female mortality rate</t>
  </si>
  <si>
    <t>Padded Male mortality rate</t>
  </si>
  <si>
    <t>Padded Female mortality rate</t>
  </si>
  <si>
    <t>There is no change in the best estimate assumptions for mortality, expenses and expense inflation between the old and the new regime</t>
  </si>
  <si>
    <t>Change in 
Discount Rate</t>
  </si>
  <si>
    <t>Expected Death Benefit (EOP)</t>
  </si>
  <si>
    <t>Expected Maturity benefit (EOP)</t>
  </si>
  <si>
    <t>Expected Premiums (BOP)</t>
  </si>
  <si>
    <t>Maintenance Expense (BOP)</t>
  </si>
  <si>
    <t>Expected Maintenance Expense</t>
  </si>
  <si>
    <t>Purpose</t>
  </si>
  <si>
    <t>The regulator is proposing a new regulatory reporting regime which requires life insurance companies to value reserves on a fair value basis. The following changes are being introduced in the calculation of reserves compared to the old regime:
          • Removal of zeroization floor on negative reserves 
          • Allowance for an explicit risk adjustment for risk arising from the insurance contracts compared to any prudence built through Margins for Adverse Deviation.
          • Estimated future cashflows to only include cashflows directly attributable to the contracts
          • Use of market consistent discount rate
The CFO of the company is looking to understand the high-level impact of these changes on a portfolio of non-par saving product that the company sells under a range of scenarios. The following scenarios have been considered for the purpose of this project.</t>
  </si>
  <si>
    <t>Data</t>
  </si>
  <si>
    <t xml:space="preserve">Data has been provided for a portfolio of 1000 male policies aged 30 years issued together in Jan 2022. The following additional details are provided along with the data:
• Policy Term = 20 Years
• Per Policy Sum Assured = Rs. 100,000
• Per Policy Premium paid yearly at the beginning of the year = Rs. 3500  
The best estimate and valuation mortality rates, expenses, expense inflation and valuation discount rate used by the company for the calculation of reserves under the old regime have been provided within the model.
</t>
  </si>
  <si>
    <t xml:space="preserve">
Valuation Discount Rate = 6%
A chart of the male mortality rates show that these are smooth and increasing to 1 as we would expect, and valuation mortality rates are higher than the best estimate rates as expected.</t>
  </si>
  <si>
    <t>The risk-free rate has been provided as 4%.</t>
  </si>
  <si>
    <t>Assumptions</t>
  </si>
  <si>
    <t>• Data provided is valid for use
• No Surrender or Lapses during the term of the product
• Company can assess the applicability of each change introduced and use the assumption basis their portfolio.
• The best estimate assumptions used for calculation of reserves under the old regime will not change under the new regime.
• Risk free rate of 4% per annum is appropriate for the market conditions and for all terms
• Discount Rate = Risk Free Rate + Any allowance for Liquidity Risk Premium is appropriate as a methodology for arriving at the market consistent valuation discount rate.
• 5% of Best Estimate Liability appropriately captures the explicit adjustment required for non-financial risk.</t>
  </si>
  <si>
    <t>Methodology</t>
  </si>
  <si>
    <t>We have performed the reserve calculations by projecting the expected cashflows and calculating the net present value under the following scenarios:
• Old Regime
• Base Scenarios under the new regime
• Scenario 1 under the new regime
• Scenario 2 under the new regime</t>
  </si>
  <si>
    <t>Reserve calculation under old regime</t>
  </si>
  <si>
    <t xml:space="preserve">First, we start by capturing the policy details provided as part of the data.
The in-force probabilities are then projected for each year for the term of the product.  For the starting year of the projections, 2022, it is assumed that the in-force probability was 1.  Each subsequent year this is reduced by the probability of mortality using the valuation mortality rates i.e. probability alive this year = probability alive last year * (1 – valuation mortality rate for age this year).
The expected death benefit is calculated by taking the in-force probability at the beginning of the year, multiplying by the valuation mortality rate at that age and then multiplying death benefit amount.  
The net present value of the expected death benefit is calculated recursively as expected present value of Death Benefit at time t-1 = (expected present value of Death Benefit at time t +expected Death Benefit at time t-1) / (1+valuation discount rate)
The expected maturity benefit is calculated taking the in-force probability at the end of the year, multiplying by the maturity benefit amount.
The net present value of the expected maturity benefit is calculated recursively using the formula expected present value of Maturity Benefit at time t-1 = expected present value of Maturity Benefit at time t / (1+ valuation discount rate)
The premiums for each year are projected as Premium* In-force probability at the beginning of the year
</t>
  </si>
  <si>
    <t xml:space="preserve">The net present value of the expected premium is calculated recursively using the formula expected present value of Premium at time t-1 = expected Premium at time t-1 + (expected present value of Premium at time t / (1+ valuation discount rate))
The valuation maintenance expenses for year 1 are picked up from the data provided and for each subsequent year maintenance expense is calculated as maintenance expense at time t-1 * (1+ valuation expense inflation rate). The expected maintenance expenses for each year are projected as maintenance expenses * In-force probability at the beginning of the year.
The net present value of the expected expenses is calculated recursively using the formula expected present value of Expense at time t-1 = expected Expense at time t-1 + (expected present value of Expense at time t / (1+ valuation discount rate))
Reserve for each year is calculated as the sum of net present value of death benefit, maturity benefit and expenses minus net present value of premiums with a floor of zero in case of negative reserves. The per policy reserve is then multiplied by the total number of policies to calculate the reserves at the portfolio level.
</t>
  </si>
  <si>
    <t>Reserve calculation for base scenario under the new regime</t>
  </si>
  <si>
    <t xml:space="preserve">The calculation methodology for the expected cashflows under the new regime is the same as used for the old regime except the following:
• Use of best estimate mortality rate instead of valuation mortality rate in the calculation of in-force probabilities and expected death benefit.
•  Use of market consistent discount rate instead of valuation discount rate to calculate the net present value of expected death benefit, expected maturity benefit, expected premiums, and expected expenses.
• Use of best estimate maintenance expenses and expense inflation rate instead of padded maintenance expenses and expense inflation rate for the calculation of expected maintenance expenses.
• Multiplying the year 1 best estimate expense by a factor showing the percentage of expenses which are directly attributable to the contracts.
The market consistent discount rate is calculated as the risk-free rate plus allowance for liquidity risk premium.
Reserve for each year is calculated as the sum of best estimate liability plus risk margin.
Best estimate liability for each year is calculated as the sum of net present value of death benefit, maturity benefit and expenses minus net present value of premiums. The per policy reserve is then multiplied by the total number of policies to calculate the best estimate liability at the portfolio level.
Risk Margin is calculated as a factor of 5% of the best estimate liability. 
</t>
  </si>
  <si>
    <t>Reserve calculation for Scenario 1 under the new regime</t>
  </si>
  <si>
    <t>The same calculation methodology as per the base scenario is followed for Scenario 1. However, in the calculation of expected present value of expenses, only 70% of the expenses are considered as attributable to the contract.</t>
  </si>
  <si>
    <t>Reserve calculation for Scenario 2 under the new regime</t>
  </si>
  <si>
    <t>The same calculation methodology as per the base scenario is followed for Scenario 1. An allowance for liquidity risk premium of 1% was included for arriving at the market consistent discount rate.</t>
  </si>
  <si>
    <t>Results</t>
  </si>
  <si>
    <t>The chart below illustrates the reserve projections under the different scenarios over the policy years for the term of the contract.</t>
  </si>
  <si>
    <t>As the chart illustrates, the reserve under the new regime is expected to increase under all the scenarios as compared to the old regime. 
The main factor contributing to the increase in reserves under the new regime during the initial years is the use of a lower market consistent discount rate compared to the valuation discount rate of 6 %.
However, at later durations as the best estimate liability increases, the impact of explicit risk margin as a percentage of best estimate liability is much higher as compared to the implicit margins for adverse deviation under the old regime leading to higher reserve requirement under the new regime.
Of the three scenarios under the new regime, the base scenario shows the maximum increase in reserves as compared to the other two scenarios. This is because of the assumption of 100% expenses being directly attributable to the contract and no allowance made for liquidity premium in the calculation of market consistent discount rate under the base scenario.
The difference in initial years is higher between the three scenarios under the new regime but as the policy comes closer to maturity the difference starts to reduce. The impact is muted at higher durations due to the following reasons:</t>
  </si>
  <si>
    <t>• Impact of discounting is lower at higher durations
• Magnitude of expense cashflows is lower compared to the high maturity benefits
Scenario 2 with a higher discount rate curve adjusting for the allowance for liquidity premium leads to the lowest reserve requirement under the new regime.
The following charts depicts the movement of reserves at time 1 (Year 2022) from the old regime to new regime under the three scenarios and impact of each change introduced as part of the new regime.</t>
  </si>
  <si>
    <t>At time 1 (Year 2022), The biggest contributor to the increase in reserves is the change in discount rates from the valuation discount rate to the market consistent rate. All other factors have a positive impact on the reserves and leads to lower initial reserve requirement under the new regime.
The impact of explicit risk margin instead of MAD results in a lower reserve requirement during initial years under all the 3 scenarios. There is a difference in magnitude of the impact under the three scenarios due to the second order impact of risk margin being calculated as a factor of best estimate liability. There is also an impact of the order in which the changes are made.
However, as we progress into later durations and my best estimate liability increases, the impact of explicit risk margin instead of MAD would lead to higher reserve requirement as compared to the use of MADs under the old regime. This would be the main contributing factor to the increase in reserves and impact of change in discount rates would become less material at later durations.
The impact on discount rates is consistent between the base scenario and scenario 1 whereas for scenario 2, we see a lower increase in reserve requirement which is expected due to the additional allowance for liquidity premium.
As expected, we can see a reduction in reserves due to the removal of non-attributable expense under scenario 1 and no impact on base scenario and scenario 2.
The impact of removal of flooring is consistent between the three scenarios and leads to a lower reserve requirement which is in line with the expectation.</t>
  </si>
  <si>
    <t>Conclusions</t>
  </si>
  <si>
    <t>As can be seen from the results, the reserve under the new regime is higher compared to old regime primarily across all durations. The reason for higher reserves during the initial policy years is driven by lower discount rate, whereas in later policy years, the reason for higher reserves is driven by the use of factor-based approach for calculating the risk margin compared to the prudence through MAD in old regime. 
The reserve requirement under the new regime is expected to increase across each line of business. The biggest contributing factor to the increase in reserves would be change to market consistent discount rate during the initial years and explicit risk margins at later durations.
The actual impact due to the explicit risk margin instead of margins for adverse deviation built within the reserves will also depend on the calculation methodology chosen by the company. 
Removal of flooring for negative reserves and allocation of directly attributable expense would lead to lower reserve requirement. The magnitude of the impact will depend on the assumptions used by the company.
The additional scenarios using reduced directly attributable expenses and higher discount rate lead to reduced reserving requirements as lower reserve will be required for lower expense outgoes in future, and with increase in discount rate, the reserving requirement will be lower. 
The assumptions and methodology that the company decides to use for calculating the directly attributable expenses, market consistent discount rate and explicit risk margins will be an important factor in evaluating the overall impact of the new regulation for the company.</t>
  </si>
  <si>
    <t>Next Steps</t>
  </si>
  <si>
    <t>• Validate the data.
• Perform similar analysis on other cohort of policies of line of businesses.
• Stress test the assumptions like expenses, mortality, inflation, discount rate, attributable expenses, liquidity premium etc.
• Validate the assumptions 
• Look for different approached for deriving the assumptions like top-down approach for discount rate, starting with portfolio rate and then removing adjustment for underlying risks for the market consistent discount rate
• Expand the business mix to allow for different ages and female policies
• Allow for different terms of the non-par savings portfolio.
• Expand the model to allow for different premium paying terms like single premium.
• Consider the different methodologies for the calculation of risk margin e.g. cost of capital approach etc.
• Consider different scenarios for risk adjustment to understand the right level of prudence the company wishes to maintain in its reserves under the new regime.
• expand the analysis to include other product portfolios of the company to understand the impact for each line of business.
• Impact analysis at an aggregate company level will be required to understand the full impact of the regulation.
• Assess the impact on the ALM requirements since market consistent rate will be used for valuations
• Assess if there is any impact on the asset valuation methodology from the new regulation.
• Consider if best estimate assumption would need to be updated with the new regulations
• Allow for modelling of lapses and other decrements in the model.
• A deeper expense study will be required to understand the directly attributable expenses for each portfolio of products.
• Understand the guidance on treatment of non-attributable expenses under the new regime.
• Expand model to allow for discount rates to vary over time to provide more realistic outputs of the scenarios.
• Update the model and analysis as the regulations evolve.
• Obtain more information from the industry on the analysis and approaches being used.
• Get the model peer reviewed</t>
  </si>
  <si>
    <r>
      <t xml:space="preserve"> </t>
    </r>
    <r>
      <rPr>
        <b/>
        <sz val="11"/>
        <color rgb="FF000000"/>
        <rFont val="Calibri"/>
        <family val="2"/>
      </rPr>
      <t xml:space="preserve">Introduction
</t>
    </r>
    <r>
      <rPr>
        <sz val="11"/>
        <color theme="1"/>
        <rFont val="Calibri"/>
        <family val="2"/>
        <scheme val="minor"/>
      </rPr>
      <t>The Examiners’ Report is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
The report is written based on the legislative and regulatory context pertaining to the date that the examination was set. Candidates should take into account the possibility that circumstances may have changed if using these reports for revision.</t>
    </r>
  </si>
  <si>
    <t>Question</t>
  </si>
  <si>
    <t>Sub-question</t>
  </si>
  <si>
    <t>Comments</t>
  </si>
  <si>
    <t>Q2) Techniques + Checks + Charts</t>
  </si>
  <si>
    <t>Model techniques + checks</t>
  </si>
  <si>
    <t>Charts</t>
  </si>
  <si>
    <t>Q4) Summary</t>
  </si>
  <si>
    <t>Approach</t>
  </si>
  <si>
    <t>Drafting</t>
  </si>
  <si>
    <t>Conclusions / Next Steps</t>
  </si>
  <si>
    <r>
      <rPr>
        <b/>
        <sz val="11"/>
        <color theme="1"/>
        <rFont val="Calibri"/>
        <family val="2"/>
        <scheme val="minor"/>
      </rPr>
      <t xml:space="preserve">B. Comments on candidates’ performance in this diet of the examination
</t>
    </r>
    <r>
      <rPr>
        <sz val="11"/>
        <color theme="1"/>
        <rFont val="Calibri"/>
        <family val="2"/>
        <scheme val="minor"/>
      </rPr>
      <t>i. Read the question paper thoroughly
ii. Take time to think through the points and present those points properly
iii. Allocate appropriate time to Summary report. 
iv. Summary report should be a standalone document and shouldn’t make any reference to the spreadsheet.
v. Have logical and technical reasoning in the Conclusions section
vi. Format of the report should be presentable.
vii. Perform spell-check.</t>
    </r>
  </si>
  <si>
    <r>
      <rPr>
        <b/>
        <sz val="11"/>
        <color theme="1"/>
        <rFont val="Calibri"/>
        <family val="2"/>
        <scheme val="minor"/>
      </rPr>
      <t>A. General comments on the aims of this subject</t>
    </r>
    <r>
      <rPr>
        <sz val="11"/>
        <color theme="1"/>
        <rFont val="Calibri"/>
        <family val="2"/>
        <scheme val="minor"/>
      </rPr>
      <t xml:space="preserve">
The aim of this subject is to ensure that the successful candidate should be able to analyze the methods used and outputs generated from the model, and communicate to a senior actuary the approach, results and conclusions.</t>
    </r>
  </si>
  <si>
    <r>
      <rPr>
        <b/>
        <sz val="11"/>
        <color theme="1"/>
        <rFont val="Calibri"/>
        <family val="2"/>
        <scheme val="minor"/>
      </rPr>
      <t xml:space="preserve">C. Pass Mark 
</t>
    </r>
    <r>
      <rPr>
        <sz val="11"/>
        <color theme="1"/>
        <rFont val="Calibri"/>
        <family val="2"/>
        <scheme val="minor"/>
      </rPr>
      <t xml:space="preserve">The Pass Mark for this exam was 50. 
176 candidates appeared and 69 passed. </t>
    </r>
  </si>
  <si>
    <t>Overall performance of the candidates was average. Generally, candidates were able to modify the model correctly for the additional scenarios. However, candidates did not prepare the summary table and failed to score good marks in this section.</t>
  </si>
  <si>
    <t xml:space="preserve">Most of the candidates performed well in first chart required for base scenario. Few candidates failed to show the movement through waterfall chart accurately. 
Only few candidates scored good marks in second chart showing comparison of reserves projections. Most of the candidates picked incorrect input for the chart. </t>
  </si>
  <si>
    <t>The Summary document was, in general, structured consistently with a logical flow. 
Few candidates, created the summary document in the manner similar to ‘Audit trail’. 
Most of the candidates failed to properly summarize the calculation methodology.</t>
  </si>
  <si>
    <t xml:space="preserve">This section was poorly answered by most of the candidates. Candidates found it difficult to write specific commentary in different sections of the report i.e. interpretation of charts, results, and conclusions. The commentary was repetitive among different sections of the report. </t>
  </si>
  <si>
    <t>Well prepared candidates focused not only on the ‘what’ but also on the ‘why’ in the results section.</t>
  </si>
  <si>
    <t>Generally, candidates scored well in drafting of the Summary report. Very few candidates lost marks for poor drafting, grammatical mistakes and spelling errors in the Summary report.</t>
  </si>
  <si>
    <t>Mostly candidates didn’t answer the “Conclusion” section well and lost marks. Candidates generally explained the outcome of the model without commenting on the technical reasoning for such outcomes.</t>
  </si>
  <si>
    <t xml:space="preserve">“Next steps” was well answered and highly scored section by most of the candidates.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</si>
</sst>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_-* #,##0.000000_-;\-* #,##0.000000_-;_-* &quot;-&quot;??_-;_-@_-"/>
    <numFmt numFmtId="166" formatCode="0.000000"/>
    <numFmt numFmtId="167" formatCode="_(* #,##0_);_(* \(#,##0\);_(* &quot;-&quot;??_);_(@_)"/>
  </numFmts>
  <fonts count="10" x14ac:knownFonts="1">
    <font>
      <sz val="11"/>
      <color theme="1"/>
      <name val="Calibri"/>
      <family val="2"/>
      <scheme val="minor"/>
    </font>
    <font>
      <b/>
      <sz val="11"/>
      <color theme="1"/>
      <name val="Calibri"/>
      <family val="2"/>
      <scheme val="minor"/>
    </font>
    <font>
      <sz val="11"/>
      <color theme="1"/>
      <name val="Calibri"/>
      <family val="2"/>
      <scheme val="minor"/>
    </font>
    <font>
      <b/>
      <sz val="11"/>
      <color rgb="FF00B050"/>
      <name val="Calibri"/>
      <family val="2"/>
      <scheme val="minor"/>
    </font>
    <font>
      <b/>
      <u/>
      <sz val="11"/>
      <color theme="1"/>
      <name val="Calibri"/>
      <family val="2"/>
      <scheme val="minor"/>
    </font>
    <font>
      <sz val="12"/>
      <color theme="1"/>
      <name val="Times New Roman"/>
      <family val="1"/>
    </font>
    <font>
      <b/>
      <u/>
      <sz val="12"/>
      <color theme="1"/>
      <name val="Calibri"/>
      <family val="2"/>
      <scheme val="minor"/>
    </font>
    <font>
      <i/>
      <u/>
      <sz val="11"/>
      <color theme="1"/>
      <name val="Calibri"/>
      <family val="2"/>
      <scheme val="minor"/>
    </font>
    <font>
      <b/>
      <sz val="11"/>
      <color rgb="FF000000"/>
      <name val="Calibri"/>
      <family val="2"/>
    </font>
    <font>
      <sz val="11"/>
      <color rgb="FF000000"/>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thin">
        <color indexed="64"/>
      </left>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71">
    <xf numFmtId="0" fontId="0" fillId="0" borderId="0" xfId="0"/>
    <xf numFmtId="0" fontId="1" fillId="0" borderId="0" xfId="0" applyFont="1"/>
    <xf numFmtId="0" fontId="2" fillId="0" borderId="1" xfId="0" applyFont="1" applyBorder="1"/>
    <xf numFmtId="0" fontId="2" fillId="0" borderId="1" xfId="0" applyFont="1" applyBorder="1" applyAlignment="1">
      <alignment wrapText="1"/>
    </xf>
    <xf numFmtId="165" fontId="2" fillId="0" borderId="1" xfId="1" applyNumberFormat="1" applyFont="1" applyBorder="1"/>
    <xf numFmtId="164" fontId="0" fillId="0" borderId="0" xfId="0" applyNumberFormat="1"/>
    <xf numFmtId="9" fontId="0" fillId="0" borderId="0" xfId="0" applyNumberFormat="1"/>
    <xf numFmtId="0" fontId="1" fillId="0" borderId="0" xfId="0" applyFont="1" applyAlignment="1">
      <alignment wrapText="1"/>
    </xf>
    <xf numFmtId="0" fontId="0" fillId="0" borderId="0" xfId="0" applyAlignment="1">
      <alignment wrapText="1"/>
    </xf>
    <xf numFmtId="10" fontId="0" fillId="0" borderId="0" xfId="0" applyNumberFormat="1"/>
    <xf numFmtId="0" fontId="0" fillId="0" borderId="0" xfId="0" applyAlignment="1">
      <alignment horizontal="right"/>
    </xf>
    <xf numFmtId="164" fontId="0" fillId="0" borderId="0" xfId="1" applyFont="1"/>
    <xf numFmtId="166" fontId="0" fillId="0" borderId="0" xfId="0" applyNumberFormat="1"/>
    <xf numFmtId="167" fontId="0" fillId="0" borderId="0" xfId="1" applyNumberFormat="1" applyFont="1"/>
    <xf numFmtId="0" fontId="1" fillId="0" borderId="1" xfId="0" applyFont="1" applyBorder="1"/>
    <xf numFmtId="0" fontId="1" fillId="0" borderId="1" xfId="0" applyFont="1" applyBorder="1" applyAlignment="1">
      <alignment horizontal="center"/>
    </xf>
    <xf numFmtId="0" fontId="0" fillId="0" borderId="1" xfId="0" applyBorder="1"/>
    <xf numFmtId="164" fontId="1" fillId="0" borderId="1" xfId="1" applyFont="1" applyBorder="1"/>
    <xf numFmtId="164" fontId="0" fillId="0" borderId="1" xfId="1" applyFont="1" applyBorder="1"/>
    <xf numFmtId="0" fontId="3" fillId="0" borderId="0" xfId="0" applyFont="1"/>
    <xf numFmtId="39" fontId="1" fillId="0" borderId="1" xfId="1" applyNumberFormat="1" applyFont="1" applyBorder="1"/>
    <xf numFmtId="39" fontId="0" fillId="0" borderId="1" xfId="1" applyNumberFormat="1" applyFont="1" applyBorder="1"/>
    <xf numFmtId="0" fontId="0" fillId="0" borderId="1" xfId="0" applyBorder="1" applyAlignment="1">
      <alignment wrapText="1"/>
    </xf>
    <xf numFmtId="0" fontId="4" fillId="0" borderId="0" xfId="0" applyFont="1"/>
    <xf numFmtId="0" fontId="0" fillId="0" borderId="2" xfId="0" applyBorder="1" applyAlignment="1">
      <alignment wrapText="1"/>
    </xf>
    <xf numFmtId="0" fontId="0" fillId="0" borderId="3" xfId="0" applyBorder="1"/>
    <xf numFmtId="0" fontId="0" fillId="0" borderId="4" xfId="0" applyBorder="1"/>
    <xf numFmtId="0" fontId="0" fillId="0" borderId="3" xfId="0" applyBorder="1" applyAlignment="1">
      <alignment wrapText="1"/>
    </xf>
    <xf numFmtId="0" fontId="0" fillId="0" borderId="4" xfId="0" applyFont="1" applyBorder="1" applyAlignment="1">
      <alignment vertical="top"/>
    </xf>
    <xf numFmtId="0" fontId="0" fillId="0" borderId="0" xfId="0" applyBorder="1"/>
    <xf numFmtId="0" fontId="6" fillId="0" borderId="0" xfId="0" applyFont="1" applyAlignment="1">
      <alignment horizontal="left" vertical="center"/>
    </xf>
    <xf numFmtId="0" fontId="6" fillId="0" borderId="0" xfId="0" applyFont="1"/>
    <xf numFmtId="0" fontId="0" fillId="0" borderId="2" xfId="0" applyFont="1" applyBorder="1" applyAlignment="1">
      <alignment horizontal="left" wrapText="1"/>
    </xf>
    <xf numFmtId="0" fontId="0" fillId="0" borderId="3" xfId="0" applyFont="1" applyBorder="1" applyAlignment="1">
      <alignment horizontal="left"/>
    </xf>
    <xf numFmtId="0" fontId="7" fillId="0" borderId="3" xfId="0" applyFont="1" applyBorder="1" applyAlignment="1">
      <alignment horizontal="left"/>
    </xf>
    <xf numFmtId="0" fontId="0" fillId="0" borderId="3" xfId="0" applyFont="1" applyBorder="1" applyAlignment="1">
      <alignment horizontal="left" wrapText="1"/>
    </xf>
    <xf numFmtId="0" fontId="7" fillId="0" borderId="3" xfId="0" applyFont="1" applyBorder="1" applyAlignment="1">
      <alignment horizontal="left" vertical="center"/>
    </xf>
    <xf numFmtId="0" fontId="0" fillId="0" borderId="4" xfId="0" applyFont="1" applyBorder="1" applyAlignment="1">
      <alignment horizontal="left" vertical="center"/>
    </xf>
    <xf numFmtId="0" fontId="4" fillId="0" borderId="2" xfId="0" applyFont="1" applyBorder="1" applyAlignment="1">
      <alignment horizontal="left" vertical="center"/>
    </xf>
    <xf numFmtId="0" fontId="0" fillId="0" borderId="3" xfId="0" applyFont="1" applyBorder="1" applyAlignment="1">
      <alignment horizontal="left" vertical="center"/>
    </xf>
    <xf numFmtId="0" fontId="5" fillId="0" borderId="3" xfId="0" applyFont="1" applyBorder="1" applyAlignment="1">
      <alignment horizontal="left" vertical="center" indent="5"/>
    </xf>
    <xf numFmtId="0" fontId="0" fillId="0" borderId="4" xfId="0" applyBorder="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1" fillId="0" borderId="1" xfId="0" applyFont="1" applyBorder="1" applyAlignment="1">
      <alignment vertical="center" wrapText="1"/>
    </xf>
    <xf numFmtId="0" fontId="1" fillId="0" borderId="8" xfId="0" applyFont="1" applyBorder="1" applyAlignment="1">
      <alignment horizontal="center" vertical="center" wrapText="1"/>
    </xf>
    <xf numFmtId="0" fontId="9" fillId="0" borderId="1" xfId="0" applyFont="1" applyBorder="1" applyAlignment="1">
      <alignment vertical="center" wrapText="1"/>
    </xf>
    <xf numFmtId="0" fontId="9" fillId="0" borderId="3" xfId="0" applyFont="1" applyBorder="1" applyAlignment="1">
      <alignment horizontal="justify" vertical="center"/>
    </xf>
    <xf numFmtId="0" fontId="9" fillId="0" borderId="4" xfId="0" applyFont="1" applyBorder="1" applyAlignment="1">
      <alignment horizontal="justify" vertical="center"/>
    </xf>
    <xf numFmtId="0" fontId="1" fillId="0" borderId="1" xfId="0" applyFont="1" applyBorder="1" applyAlignment="1">
      <alignment vertical="center"/>
    </xf>
    <xf numFmtId="0" fontId="1" fillId="0" borderId="2" xfId="0" applyFont="1" applyBorder="1" applyAlignment="1">
      <alignment horizontal="center" vertical="center" wrapText="1"/>
    </xf>
    <xf numFmtId="0" fontId="9" fillId="0" borderId="4"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2" xfId="0" applyFont="1" applyBorder="1" applyAlignment="1">
      <alignment horizontal="justify" vertical="center" wrapText="1"/>
    </xf>
    <xf numFmtId="0" fontId="1" fillId="0" borderId="1"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vertical="center"/>
    </xf>
    <xf numFmtId="0" fontId="1" fillId="0" borderId="8"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2" fillId="0" borderId="1" xfId="0" applyFont="1" applyBorder="1" applyAlignment="1">
      <alignment horizontal="center"/>
    </xf>
    <xf numFmtId="0" fontId="1" fillId="0" borderId="0" xfId="0" applyFont="1" applyAlignment="1">
      <alignment horizontal="center"/>
    </xf>
    <xf numFmtId="0" fontId="0" fillId="0" borderId="1" xfId="0" applyBorder="1" applyAlignment="1">
      <alignment horizontal="center"/>
    </xf>
  </cellXfs>
  <cellStyles count="2">
    <cellStyle name="Comma" xfId="1" builtinId="3"/>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Ex2.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Ex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 of</a:t>
            </a:r>
            <a:r>
              <a:rPr lang="en-US" baseline="0"/>
              <a:t> Male BE and Valuation Mortality rates</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'Mortality rates'!$C$5</c:f>
              <c:strCache>
                <c:ptCount val="1"/>
                <c:pt idx="0">
                  <c:v>BE Male mortality rate</c:v>
                </c:pt>
              </c:strCache>
            </c:strRef>
          </c:tx>
          <c:spPr>
            <a:ln w="19050" cap="rnd">
              <a:solidFill>
                <a:schemeClr val="accent1"/>
              </a:solidFill>
              <a:round/>
            </a:ln>
            <a:effectLst/>
          </c:spPr>
          <c:marker>
            <c:symbol val="none"/>
          </c:marker>
          <c:xVal>
            <c:numRef>
              <c:f>'Mortality rates'!$B$6:$B$101</c:f>
              <c:numCache>
                <c:formatCode>General</c:formatCode>
                <c:ptCount val="96"/>
                <c:pt idx="0">
                  <c:v>25</c:v>
                </c:pt>
                <c:pt idx="1">
                  <c:v>26</c:v>
                </c:pt>
                <c:pt idx="2">
                  <c:v>27</c:v>
                </c:pt>
                <c:pt idx="3">
                  <c:v>28</c:v>
                </c:pt>
                <c:pt idx="4">
                  <c:v>29</c:v>
                </c:pt>
                <c:pt idx="5">
                  <c:v>30</c:v>
                </c:pt>
                <c:pt idx="6">
                  <c:v>31</c:v>
                </c:pt>
                <c:pt idx="7">
                  <c:v>32</c:v>
                </c:pt>
                <c:pt idx="8">
                  <c:v>33</c:v>
                </c:pt>
                <c:pt idx="9">
                  <c:v>34</c:v>
                </c:pt>
                <c:pt idx="10">
                  <c:v>35</c:v>
                </c:pt>
                <c:pt idx="11">
                  <c:v>36</c:v>
                </c:pt>
                <c:pt idx="12">
                  <c:v>37</c:v>
                </c:pt>
                <c:pt idx="13">
                  <c:v>38</c:v>
                </c:pt>
                <c:pt idx="14">
                  <c:v>39</c:v>
                </c:pt>
                <c:pt idx="15">
                  <c:v>40</c:v>
                </c:pt>
                <c:pt idx="16">
                  <c:v>41</c:v>
                </c:pt>
                <c:pt idx="17">
                  <c:v>42</c:v>
                </c:pt>
                <c:pt idx="18">
                  <c:v>43</c:v>
                </c:pt>
                <c:pt idx="19">
                  <c:v>44</c:v>
                </c:pt>
                <c:pt idx="20">
                  <c:v>45</c:v>
                </c:pt>
                <c:pt idx="21">
                  <c:v>46</c:v>
                </c:pt>
                <c:pt idx="22">
                  <c:v>47</c:v>
                </c:pt>
                <c:pt idx="23">
                  <c:v>48</c:v>
                </c:pt>
                <c:pt idx="24">
                  <c:v>49</c:v>
                </c:pt>
                <c:pt idx="25">
                  <c:v>50</c:v>
                </c:pt>
                <c:pt idx="26">
                  <c:v>51</c:v>
                </c:pt>
                <c:pt idx="27">
                  <c:v>52</c:v>
                </c:pt>
                <c:pt idx="28">
                  <c:v>53</c:v>
                </c:pt>
                <c:pt idx="29">
                  <c:v>54</c:v>
                </c:pt>
                <c:pt idx="30">
                  <c:v>55</c:v>
                </c:pt>
                <c:pt idx="31">
                  <c:v>56</c:v>
                </c:pt>
                <c:pt idx="32">
                  <c:v>57</c:v>
                </c:pt>
                <c:pt idx="33">
                  <c:v>58</c:v>
                </c:pt>
                <c:pt idx="34">
                  <c:v>59</c:v>
                </c:pt>
                <c:pt idx="35">
                  <c:v>60</c:v>
                </c:pt>
                <c:pt idx="36">
                  <c:v>61</c:v>
                </c:pt>
                <c:pt idx="37">
                  <c:v>62</c:v>
                </c:pt>
                <c:pt idx="38">
                  <c:v>63</c:v>
                </c:pt>
                <c:pt idx="39">
                  <c:v>64</c:v>
                </c:pt>
                <c:pt idx="40">
                  <c:v>65</c:v>
                </c:pt>
                <c:pt idx="41">
                  <c:v>66</c:v>
                </c:pt>
                <c:pt idx="42">
                  <c:v>67</c:v>
                </c:pt>
                <c:pt idx="43">
                  <c:v>68</c:v>
                </c:pt>
                <c:pt idx="44">
                  <c:v>69</c:v>
                </c:pt>
                <c:pt idx="45">
                  <c:v>70</c:v>
                </c:pt>
                <c:pt idx="46">
                  <c:v>71</c:v>
                </c:pt>
                <c:pt idx="47">
                  <c:v>72</c:v>
                </c:pt>
                <c:pt idx="48">
                  <c:v>73</c:v>
                </c:pt>
                <c:pt idx="49">
                  <c:v>74</c:v>
                </c:pt>
                <c:pt idx="50">
                  <c:v>75</c:v>
                </c:pt>
                <c:pt idx="51">
                  <c:v>76</c:v>
                </c:pt>
                <c:pt idx="52">
                  <c:v>77</c:v>
                </c:pt>
                <c:pt idx="53">
                  <c:v>78</c:v>
                </c:pt>
                <c:pt idx="54">
                  <c:v>79</c:v>
                </c:pt>
                <c:pt idx="55">
                  <c:v>80</c:v>
                </c:pt>
                <c:pt idx="56">
                  <c:v>81</c:v>
                </c:pt>
                <c:pt idx="57">
                  <c:v>82</c:v>
                </c:pt>
                <c:pt idx="58">
                  <c:v>83</c:v>
                </c:pt>
                <c:pt idx="59">
                  <c:v>84</c:v>
                </c:pt>
                <c:pt idx="60">
                  <c:v>85</c:v>
                </c:pt>
                <c:pt idx="61">
                  <c:v>86</c:v>
                </c:pt>
                <c:pt idx="62">
                  <c:v>87</c:v>
                </c:pt>
                <c:pt idx="63">
                  <c:v>88</c:v>
                </c:pt>
                <c:pt idx="64">
                  <c:v>89</c:v>
                </c:pt>
                <c:pt idx="65">
                  <c:v>90</c:v>
                </c:pt>
                <c:pt idx="66">
                  <c:v>91</c:v>
                </c:pt>
                <c:pt idx="67">
                  <c:v>92</c:v>
                </c:pt>
                <c:pt idx="68">
                  <c:v>93</c:v>
                </c:pt>
                <c:pt idx="69">
                  <c:v>94</c:v>
                </c:pt>
                <c:pt idx="70">
                  <c:v>95</c:v>
                </c:pt>
                <c:pt idx="71">
                  <c:v>96</c:v>
                </c:pt>
                <c:pt idx="72">
                  <c:v>97</c:v>
                </c:pt>
                <c:pt idx="73">
                  <c:v>98</c:v>
                </c:pt>
                <c:pt idx="74">
                  <c:v>99</c:v>
                </c:pt>
                <c:pt idx="75">
                  <c:v>100</c:v>
                </c:pt>
                <c:pt idx="76">
                  <c:v>101</c:v>
                </c:pt>
                <c:pt idx="77">
                  <c:v>102</c:v>
                </c:pt>
                <c:pt idx="78">
                  <c:v>103</c:v>
                </c:pt>
                <c:pt idx="79">
                  <c:v>104</c:v>
                </c:pt>
                <c:pt idx="80">
                  <c:v>105</c:v>
                </c:pt>
                <c:pt idx="81">
                  <c:v>106</c:v>
                </c:pt>
                <c:pt idx="82">
                  <c:v>107</c:v>
                </c:pt>
                <c:pt idx="83">
                  <c:v>108</c:v>
                </c:pt>
                <c:pt idx="84">
                  <c:v>109</c:v>
                </c:pt>
                <c:pt idx="85">
                  <c:v>110</c:v>
                </c:pt>
                <c:pt idx="86">
                  <c:v>111</c:v>
                </c:pt>
                <c:pt idx="87">
                  <c:v>112</c:v>
                </c:pt>
                <c:pt idx="88">
                  <c:v>113</c:v>
                </c:pt>
                <c:pt idx="89">
                  <c:v>114</c:v>
                </c:pt>
                <c:pt idx="90">
                  <c:v>115</c:v>
                </c:pt>
                <c:pt idx="91">
                  <c:v>116</c:v>
                </c:pt>
                <c:pt idx="92">
                  <c:v>117</c:v>
                </c:pt>
                <c:pt idx="93">
                  <c:v>118</c:v>
                </c:pt>
                <c:pt idx="94">
                  <c:v>119</c:v>
                </c:pt>
                <c:pt idx="95">
                  <c:v>120</c:v>
                </c:pt>
              </c:numCache>
            </c:numRef>
          </c:xVal>
          <c:yVal>
            <c:numRef>
              <c:f>'Mortality rates'!$C$6:$C$101</c:f>
              <c:numCache>
                <c:formatCode>_-* #,##0.000000_-;\-* #,##0.000000_-;_-* "-"??_-;_-@_-</c:formatCode>
                <c:ptCount val="96"/>
                <c:pt idx="0">
                  <c:v>9.3099999999999997E-4</c:v>
                </c:pt>
                <c:pt idx="1">
                  <c:v>9.3899999999999995E-4</c:v>
                </c:pt>
                <c:pt idx="2">
                  <c:v>9.4799999999999995E-4</c:v>
                </c:pt>
                <c:pt idx="3">
                  <c:v>9.5699999999999995E-4</c:v>
                </c:pt>
                <c:pt idx="4">
                  <c:v>9.6599999999999995E-4</c:v>
                </c:pt>
                <c:pt idx="5">
                  <c:v>9.7399999999999993E-4</c:v>
                </c:pt>
                <c:pt idx="6">
                  <c:v>9.9199999999999983E-4</c:v>
                </c:pt>
                <c:pt idx="7">
                  <c:v>1.0199999999999999E-3</c:v>
                </c:pt>
                <c:pt idx="8">
                  <c:v>1.049E-3</c:v>
                </c:pt>
                <c:pt idx="9">
                  <c:v>1.0789999999999999E-3</c:v>
                </c:pt>
                <c:pt idx="10">
                  <c:v>1.1099999999999999E-3</c:v>
                </c:pt>
                <c:pt idx="11">
                  <c:v>1.1409999999999999E-3</c:v>
                </c:pt>
                <c:pt idx="12">
                  <c:v>1.1739999999999999E-3</c:v>
                </c:pt>
                <c:pt idx="13">
                  <c:v>1.207E-3</c:v>
                </c:pt>
                <c:pt idx="14">
                  <c:v>1.2539999999999999E-3</c:v>
                </c:pt>
                <c:pt idx="15">
                  <c:v>1.294E-3</c:v>
                </c:pt>
                <c:pt idx="16">
                  <c:v>1.3450000000000001E-3</c:v>
                </c:pt>
                <c:pt idx="17">
                  <c:v>1.4089999999999999E-3</c:v>
                </c:pt>
                <c:pt idx="18">
                  <c:v>1.487E-3</c:v>
                </c:pt>
                <c:pt idx="19">
                  <c:v>1.5789999999999999E-3</c:v>
                </c:pt>
                <c:pt idx="20">
                  <c:v>1.688E-3</c:v>
                </c:pt>
                <c:pt idx="21">
                  <c:v>1.8140000000000001E-3</c:v>
                </c:pt>
                <c:pt idx="22">
                  <c:v>1.9610000000000001E-3</c:v>
                </c:pt>
                <c:pt idx="23">
                  <c:v>2.1289999999999998E-3</c:v>
                </c:pt>
                <c:pt idx="24">
                  <c:v>2.3219999999999998E-3</c:v>
                </c:pt>
                <c:pt idx="25">
                  <c:v>2.542E-3</c:v>
                </c:pt>
                <c:pt idx="26">
                  <c:v>2.7919999999999998E-3</c:v>
                </c:pt>
                <c:pt idx="27">
                  <c:v>3.0760000000000002E-3</c:v>
                </c:pt>
                <c:pt idx="28">
                  <c:v>3.3960000000000001E-3</c:v>
                </c:pt>
                <c:pt idx="29">
                  <c:v>3.7559999999999998E-3</c:v>
                </c:pt>
                <c:pt idx="30">
                  <c:v>4.1600000000000005E-3</c:v>
                </c:pt>
                <c:pt idx="31">
                  <c:v>4.6110000000000005E-3</c:v>
                </c:pt>
                <c:pt idx="32">
                  <c:v>5.1110000000000001E-3</c:v>
                </c:pt>
                <c:pt idx="33">
                  <c:v>5.6640000000000006E-3</c:v>
                </c:pt>
                <c:pt idx="34">
                  <c:v>6.2710000000000005E-3</c:v>
                </c:pt>
                <c:pt idx="35">
                  <c:v>6.9330000000000008E-3</c:v>
                </c:pt>
                <c:pt idx="36">
                  <c:v>7.6500000000000005E-3</c:v>
                </c:pt>
                <c:pt idx="37">
                  <c:v>8.4189999999999994E-3</c:v>
                </c:pt>
                <c:pt idx="38">
                  <c:v>9.2379999999999997E-3</c:v>
                </c:pt>
                <c:pt idx="39">
                  <c:v>1.01E-2</c:v>
                </c:pt>
                <c:pt idx="40">
                  <c:v>1.0997999999999999E-2</c:v>
                </c:pt>
                <c:pt idx="41">
                  <c:v>1.1918999999999999E-2</c:v>
                </c:pt>
                <c:pt idx="42">
                  <c:v>1.2851E-2</c:v>
                </c:pt>
                <c:pt idx="43">
                  <c:v>1.3776999999999999E-2</c:v>
                </c:pt>
                <c:pt idx="44">
                  <c:v>1.4678E-2</c:v>
                </c:pt>
                <c:pt idx="45">
                  <c:v>1.5535E-2</c:v>
                </c:pt>
                <c:pt idx="46">
                  <c:v>1.7264000000000002E-2</c:v>
                </c:pt>
                <c:pt idx="47">
                  <c:v>1.9172000000000002E-2</c:v>
                </c:pt>
                <c:pt idx="48">
                  <c:v>2.1286000000000003E-2</c:v>
                </c:pt>
                <c:pt idx="49">
                  <c:v>2.3639E-2</c:v>
                </c:pt>
                <c:pt idx="50">
                  <c:v>2.6271000000000003E-2</c:v>
                </c:pt>
                <c:pt idx="51">
                  <c:v>2.9228000000000001E-2</c:v>
                </c:pt>
                <c:pt idx="52">
                  <c:v>3.2569000000000001E-2</c:v>
                </c:pt>
                <c:pt idx="53">
                  <c:v>3.6361999999999998E-2</c:v>
                </c:pt>
                <c:pt idx="54">
                  <c:v>4.0686E-2</c:v>
                </c:pt>
                <c:pt idx="55">
                  <c:v>4.5626E-2</c:v>
                </c:pt>
                <c:pt idx="56">
                  <c:v>5.1275999999999995E-2</c:v>
                </c:pt>
                <c:pt idx="57">
                  <c:v>5.7742999999999996E-2</c:v>
                </c:pt>
                <c:pt idx="58">
                  <c:v>6.5142000000000005E-2</c:v>
                </c:pt>
                <c:pt idx="59">
                  <c:v>7.3602000000000001E-2</c:v>
                </c:pt>
                <c:pt idx="60">
                  <c:v>8.3261000000000002E-2</c:v>
                </c:pt>
                <c:pt idx="61">
                  <c:v>9.4285000000000008E-2</c:v>
                </c:pt>
                <c:pt idx="62">
                  <c:v>0.10694000000000001</c:v>
                </c:pt>
                <c:pt idx="63">
                  <c:v>0.12156800000000001</c:v>
                </c:pt>
                <c:pt idx="64">
                  <c:v>0.13859299999999999</c:v>
                </c:pt>
                <c:pt idx="65">
                  <c:v>0.158555</c:v>
                </c:pt>
                <c:pt idx="66">
                  <c:v>0.180364</c:v>
                </c:pt>
                <c:pt idx="67">
                  <c:v>0.20402800000000001</c:v>
                </c:pt>
                <c:pt idx="68">
                  <c:v>0.22952900000000001</c:v>
                </c:pt>
                <c:pt idx="69">
                  <c:v>0.25682499999999997</c:v>
                </c:pt>
                <c:pt idx="70">
                  <c:v>0.28584999999999999</c:v>
                </c:pt>
                <c:pt idx="71">
                  <c:v>0.31650999999999996</c:v>
                </c:pt>
                <c:pt idx="72">
                  <c:v>0.34868899999999997</c:v>
                </c:pt>
                <c:pt idx="73">
                  <c:v>0.38225199999999998</c:v>
                </c:pt>
                <c:pt idx="74">
                  <c:v>0.41704199999999997</c:v>
                </c:pt>
                <c:pt idx="75">
                  <c:v>0.45289199999999996</c:v>
                </c:pt>
                <c:pt idx="76">
                  <c:v>0.48962</c:v>
                </c:pt>
                <c:pt idx="77">
                  <c:v>0.52703999999999995</c:v>
                </c:pt>
                <c:pt idx="78">
                  <c:v>0.56496199999999996</c:v>
                </c:pt>
                <c:pt idx="79">
                  <c:v>0.60319800000000001</c:v>
                </c:pt>
                <c:pt idx="80">
                  <c:v>0.64156499999999994</c:v>
                </c:pt>
                <c:pt idx="81">
                  <c:v>0.67988599999999999</c:v>
                </c:pt>
                <c:pt idx="82">
                  <c:v>0.717997</c:v>
                </c:pt>
                <c:pt idx="83">
                  <c:v>0.75574399999999997</c:v>
                </c:pt>
                <c:pt idx="84">
                  <c:v>0.79298899999999994</c:v>
                </c:pt>
                <c:pt idx="85">
                  <c:v>0.82960899999999993</c:v>
                </c:pt>
                <c:pt idx="86">
                  <c:v>0.86549599999999993</c:v>
                </c:pt>
                <c:pt idx="87">
                  <c:v>0.90055600000000002</c:v>
                </c:pt>
                <c:pt idx="88">
                  <c:v>0.93471399999999993</c:v>
                </c:pt>
                <c:pt idx="89">
                  <c:v>0.96790699999999996</c:v>
                </c:pt>
                <c:pt idx="90">
                  <c:v>1</c:v>
                </c:pt>
                <c:pt idx="91">
                  <c:v>1</c:v>
                </c:pt>
                <c:pt idx="92">
                  <c:v>1</c:v>
                </c:pt>
                <c:pt idx="93">
                  <c:v>1</c:v>
                </c:pt>
                <c:pt idx="94">
                  <c:v>1</c:v>
                </c:pt>
                <c:pt idx="95">
                  <c:v>1</c:v>
                </c:pt>
              </c:numCache>
            </c:numRef>
          </c:yVal>
          <c:smooth val="1"/>
          <c:extLst xmlns:c16r2="http://schemas.microsoft.com/office/drawing/2015/06/chart">
            <c:ext xmlns:c16="http://schemas.microsoft.com/office/drawing/2014/chart" uri="{C3380CC4-5D6E-409C-BE32-E72D297353CC}">
              <c16:uniqueId val="{00000000-B3DA-4096-A8EE-136FBF0F85F3}"/>
            </c:ext>
          </c:extLst>
        </c:ser>
        <c:ser>
          <c:idx val="1"/>
          <c:order val="1"/>
          <c:tx>
            <c:strRef>
              <c:f>'Mortality rates'!$F$5</c:f>
              <c:strCache>
                <c:ptCount val="1"/>
                <c:pt idx="0">
                  <c:v>Padded Male mortality rate</c:v>
                </c:pt>
              </c:strCache>
            </c:strRef>
          </c:tx>
          <c:spPr>
            <a:ln w="19050" cap="rnd">
              <a:solidFill>
                <a:schemeClr val="accent2"/>
              </a:solidFill>
              <a:round/>
            </a:ln>
            <a:effectLst/>
          </c:spPr>
          <c:marker>
            <c:symbol val="none"/>
          </c:marker>
          <c:xVal>
            <c:numRef>
              <c:f>'Mortality rates'!$B$6:$B$101</c:f>
              <c:numCache>
                <c:formatCode>General</c:formatCode>
                <c:ptCount val="96"/>
                <c:pt idx="0">
                  <c:v>25</c:v>
                </c:pt>
                <c:pt idx="1">
                  <c:v>26</c:v>
                </c:pt>
                <c:pt idx="2">
                  <c:v>27</c:v>
                </c:pt>
                <c:pt idx="3">
                  <c:v>28</c:v>
                </c:pt>
                <c:pt idx="4">
                  <c:v>29</c:v>
                </c:pt>
                <c:pt idx="5">
                  <c:v>30</c:v>
                </c:pt>
                <c:pt idx="6">
                  <c:v>31</c:v>
                </c:pt>
                <c:pt idx="7">
                  <c:v>32</c:v>
                </c:pt>
                <c:pt idx="8">
                  <c:v>33</c:v>
                </c:pt>
                <c:pt idx="9">
                  <c:v>34</c:v>
                </c:pt>
                <c:pt idx="10">
                  <c:v>35</c:v>
                </c:pt>
                <c:pt idx="11">
                  <c:v>36</c:v>
                </c:pt>
                <c:pt idx="12">
                  <c:v>37</c:v>
                </c:pt>
                <c:pt idx="13">
                  <c:v>38</c:v>
                </c:pt>
                <c:pt idx="14">
                  <c:v>39</c:v>
                </c:pt>
                <c:pt idx="15">
                  <c:v>40</c:v>
                </c:pt>
                <c:pt idx="16">
                  <c:v>41</c:v>
                </c:pt>
                <c:pt idx="17">
                  <c:v>42</c:v>
                </c:pt>
                <c:pt idx="18">
                  <c:v>43</c:v>
                </c:pt>
                <c:pt idx="19">
                  <c:v>44</c:v>
                </c:pt>
                <c:pt idx="20">
                  <c:v>45</c:v>
                </c:pt>
                <c:pt idx="21">
                  <c:v>46</c:v>
                </c:pt>
                <c:pt idx="22">
                  <c:v>47</c:v>
                </c:pt>
                <c:pt idx="23">
                  <c:v>48</c:v>
                </c:pt>
                <c:pt idx="24">
                  <c:v>49</c:v>
                </c:pt>
                <c:pt idx="25">
                  <c:v>50</c:v>
                </c:pt>
                <c:pt idx="26">
                  <c:v>51</c:v>
                </c:pt>
                <c:pt idx="27">
                  <c:v>52</c:v>
                </c:pt>
                <c:pt idx="28">
                  <c:v>53</c:v>
                </c:pt>
                <c:pt idx="29">
                  <c:v>54</c:v>
                </c:pt>
                <c:pt idx="30">
                  <c:v>55</c:v>
                </c:pt>
                <c:pt idx="31">
                  <c:v>56</c:v>
                </c:pt>
                <c:pt idx="32">
                  <c:v>57</c:v>
                </c:pt>
                <c:pt idx="33">
                  <c:v>58</c:v>
                </c:pt>
                <c:pt idx="34">
                  <c:v>59</c:v>
                </c:pt>
                <c:pt idx="35">
                  <c:v>60</c:v>
                </c:pt>
                <c:pt idx="36">
                  <c:v>61</c:v>
                </c:pt>
                <c:pt idx="37">
                  <c:v>62</c:v>
                </c:pt>
                <c:pt idx="38">
                  <c:v>63</c:v>
                </c:pt>
                <c:pt idx="39">
                  <c:v>64</c:v>
                </c:pt>
                <c:pt idx="40">
                  <c:v>65</c:v>
                </c:pt>
                <c:pt idx="41">
                  <c:v>66</c:v>
                </c:pt>
                <c:pt idx="42">
                  <c:v>67</c:v>
                </c:pt>
                <c:pt idx="43">
                  <c:v>68</c:v>
                </c:pt>
                <c:pt idx="44">
                  <c:v>69</c:v>
                </c:pt>
                <c:pt idx="45">
                  <c:v>70</c:v>
                </c:pt>
                <c:pt idx="46">
                  <c:v>71</c:v>
                </c:pt>
                <c:pt idx="47">
                  <c:v>72</c:v>
                </c:pt>
                <c:pt idx="48">
                  <c:v>73</c:v>
                </c:pt>
                <c:pt idx="49">
                  <c:v>74</c:v>
                </c:pt>
                <c:pt idx="50">
                  <c:v>75</c:v>
                </c:pt>
                <c:pt idx="51">
                  <c:v>76</c:v>
                </c:pt>
                <c:pt idx="52">
                  <c:v>77</c:v>
                </c:pt>
                <c:pt idx="53">
                  <c:v>78</c:v>
                </c:pt>
                <c:pt idx="54">
                  <c:v>79</c:v>
                </c:pt>
                <c:pt idx="55">
                  <c:v>80</c:v>
                </c:pt>
                <c:pt idx="56">
                  <c:v>81</c:v>
                </c:pt>
                <c:pt idx="57">
                  <c:v>82</c:v>
                </c:pt>
                <c:pt idx="58">
                  <c:v>83</c:v>
                </c:pt>
                <c:pt idx="59">
                  <c:v>84</c:v>
                </c:pt>
                <c:pt idx="60">
                  <c:v>85</c:v>
                </c:pt>
                <c:pt idx="61">
                  <c:v>86</c:v>
                </c:pt>
                <c:pt idx="62">
                  <c:v>87</c:v>
                </c:pt>
                <c:pt idx="63">
                  <c:v>88</c:v>
                </c:pt>
                <c:pt idx="64">
                  <c:v>89</c:v>
                </c:pt>
                <c:pt idx="65">
                  <c:v>90</c:v>
                </c:pt>
                <c:pt idx="66">
                  <c:v>91</c:v>
                </c:pt>
                <c:pt idx="67">
                  <c:v>92</c:v>
                </c:pt>
                <c:pt idx="68">
                  <c:v>93</c:v>
                </c:pt>
                <c:pt idx="69">
                  <c:v>94</c:v>
                </c:pt>
                <c:pt idx="70">
                  <c:v>95</c:v>
                </c:pt>
                <c:pt idx="71">
                  <c:v>96</c:v>
                </c:pt>
                <c:pt idx="72">
                  <c:v>97</c:v>
                </c:pt>
                <c:pt idx="73">
                  <c:v>98</c:v>
                </c:pt>
                <c:pt idx="74">
                  <c:v>99</c:v>
                </c:pt>
                <c:pt idx="75">
                  <c:v>100</c:v>
                </c:pt>
                <c:pt idx="76">
                  <c:v>101</c:v>
                </c:pt>
                <c:pt idx="77">
                  <c:v>102</c:v>
                </c:pt>
                <c:pt idx="78">
                  <c:v>103</c:v>
                </c:pt>
                <c:pt idx="79">
                  <c:v>104</c:v>
                </c:pt>
                <c:pt idx="80">
                  <c:v>105</c:v>
                </c:pt>
                <c:pt idx="81">
                  <c:v>106</c:v>
                </c:pt>
                <c:pt idx="82">
                  <c:v>107</c:v>
                </c:pt>
                <c:pt idx="83">
                  <c:v>108</c:v>
                </c:pt>
                <c:pt idx="84">
                  <c:v>109</c:v>
                </c:pt>
                <c:pt idx="85">
                  <c:v>110</c:v>
                </c:pt>
                <c:pt idx="86">
                  <c:v>111</c:v>
                </c:pt>
                <c:pt idx="87">
                  <c:v>112</c:v>
                </c:pt>
                <c:pt idx="88">
                  <c:v>113</c:v>
                </c:pt>
                <c:pt idx="89">
                  <c:v>114</c:v>
                </c:pt>
                <c:pt idx="90">
                  <c:v>115</c:v>
                </c:pt>
                <c:pt idx="91">
                  <c:v>116</c:v>
                </c:pt>
                <c:pt idx="92">
                  <c:v>117</c:v>
                </c:pt>
                <c:pt idx="93">
                  <c:v>118</c:v>
                </c:pt>
                <c:pt idx="94">
                  <c:v>119</c:v>
                </c:pt>
                <c:pt idx="95">
                  <c:v>120</c:v>
                </c:pt>
              </c:numCache>
            </c:numRef>
          </c:xVal>
          <c:yVal>
            <c:numRef>
              <c:f>'Mortality rates'!$F$6:$F$101</c:f>
              <c:numCache>
                <c:formatCode>_-* #,##0.000000_-;\-* #,##0.000000_-;_-* "-"??_-;_-@_-</c:formatCode>
                <c:ptCount val="96"/>
                <c:pt idx="0">
                  <c:v>1.0241E-3</c:v>
                </c:pt>
                <c:pt idx="1">
                  <c:v>1.0329E-3</c:v>
                </c:pt>
                <c:pt idx="2">
                  <c:v>1.0428E-3</c:v>
                </c:pt>
                <c:pt idx="3">
                  <c:v>1.0526999999999999E-3</c:v>
                </c:pt>
                <c:pt idx="4">
                  <c:v>1.0626000000000001E-3</c:v>
                </c:pt>
                <c:pt idx="5">
                  <c:v>1.0713999999999999E-3</c:v>
                </c:pt>
                <c:pt idx="6">
                  <c:v>1.0911999999999999E-3</c:v>
                </c:pt>
                <c:pt idx="7">
                  <c:v>1.122E-3</c:v>
                </c:pt>
                <c:pt idx="8">
                  <c:v>1.1539E-3</c:v>
                </c:pt>
                <c:pt idx="9">
                  <c:v>1.1869000000000001E-3</c:v>
                </c:pt>
                <c:pt idx="10">
                  <c:v>1.2209999999999999E-3</c:v>
                </c:pt>
                <c:pt idx="11">
                  <c:v>1.2550999999999999E-3</c:v>
                </c:pt>
                <c:pt idx="12">
                  <c:v>1.2914000000000001E-3</c:v>
                </c:pt>
                <c:pt idx="13">
                  <c:v>1.3277E-3</c:v>
                </c:pt>
                <c:pt idx="14">
                  <c:v>1.3794E-3</c:v>
                </c:pt>
                <c:pt idx="15">
                  <c:v>1.4234000000000002E-3</c:v>
                </c:pt>
                <c:pt idx="16">
                  <c:v>1.4795000000000001E-3</c:v>
                </c:pt>
                <c:pt idx="17">
                  <c:v>1.5498999999999999E-3</c:v>
                </c:pt>
                <c:pt idx="18">
                  <c:v>1.6357000000000001E-3</c:v>
                </c:pt>
                <c:pt idx="19">
                  <c:v>1.7369E-3</c:v>
                </c:pt>
                <c:pt idx="20">
                  <c:v>1.8568000000000002E-3</c:v>
                </c:pt>
                <c:pt idx="21">
                  <c:v>1.9954E-3</c:v>
                </c:pt>
                <c:pt idx="22">
                  <c:v>2.1571000000000003E-3</c:v>
                </c:pt>
                <c:pt idx="23">
                  <c:v>2.3419000000000001E-3</c:v>
                </c:pt>
                <c:pt idx="24">
                  <c:v>2.5542E-3</c:v>
                </c:pt>
                <c:pt idx="25">
                  <c:v>2.7962000000000004E-3</c:v>
                </c:pt>
                <c:pt idx="26">
                  <c:v>3.0712000000000001E-3</c:v>
                </c:pt>
                <c:pt idx="27">
                  <c:v>3.3836000000000005E-3</c:v>
                </c:pt>
                <c:pt idx="28">
                  <c:v>3.7356000000000004E-3</c:v>
                </c:pt>
                <c:pt idx="29">
                  <c:v>4.1316E-3</c:v>
                </c:pt>
                <c:pt idx="30">
                  <c:v>4.5760000000000011E-3</c:v>
                </c:pt>
                <c:pt idx="31">
                  <c:v>5.0721000000000013E-3</c:v>
                </c:pt>
                <c:pt idx="32">
                  <c:v>5.6221000000000005E-3</c:v>
                </c:pt>
                <c:pt idx="33">
                  <c:v>6.2304000000000014E-3</c:v>
                </c:pt>
                <c:pt idx="34">
                  <c:v>6.8981000000000008E-3</c:v>
                </c:pt>
                <c:pt idx="35">
                  <c:v>7.6263000000000017E-3</c:v>
                </c:pt>
                <c:pt idx="36">
                  <c:v>8.4150000000000006E-3</c:v>
                </c:pt>
                <c:pt idx="37">
                  <c:v>9.2609000000000007E-3</c:v>
                </c:pt>
                <c:pt idx="38">
                  <c:v>1.01618E-2</c:v>
                </c:pt>
                <c:pt idx="39">
                  <c:v>1.111E-2</c:v>
                </c:pt>
                <c:pt idx="40">
                  <c:v>1.2097800000000001E-2</c:v>
                </c:pt>
                <c:pt idx="41">
                  <c:v>1.31109E-2</c:v>
                </c:pt>
                <c:pt idx="42">
                  <c:v>1.41361E-2</c:v>
                </c:pt>
                <c:pt idx="43">
                  <c:v>1.51547E-2</c:v>
                </c:pt>
                <c:pt idx="44">
                  <c:v>1.6145800000000002E-2</c:v>
                </c:pt>
                <c:pt idx="45">
                  <c:v>1.7088500000000003E-2</c:v>
                </c:pt>
                <c:pt idx="46">
                  <c:v>1.8990400000000004E-2</c:v>
                </c:pt>
                <c:pt idx="47">
                  <c:v>2.1089200000000002E-2</c:v>
                </c:pt>
                <c:pt idx="48">
                  <c:v>2.3414600000000004E-2</c:v>
                </c:pt>
                <c:pt idx="49">
                  <c:v>2.6002900000000002E-2</c:v>
                </c:pt>
                <c:pt idx="50">
                  <c:v>2.8898100000000006E-2</c:v>
                </c:pt>
                <c:pt idx="51">
                  <c:v>3.21508E-2</c:v>
                </c:pt>
                <c:pt idx="52">
                  <c:v>3.5825900000000001E-2</c:v>
                </c:pt>
                <c:pt idx="53">
                  <c:v>3.9998200000000005E-2</c:v>
                </c:pt>
                <c:pt idx="54">
                  <c:v>4.4754600000000005E-2</c:v>
                </c:pt>
                <c:pt idx="55">
                  <c:v>5.0188600000000007E-2</c:v>
                </c:pt>
                <c:pt idx="56">
                  <c:v>5.6403599999999998E-2</c:v>
                </c:pt>
                <c:pt idx="57">
                  <c:v>6.3517299999999999E-2</c:v>
                </c:pt>
                <c:pt idx="58">
                  <c:v>7.1656200000000017E-2</c:v>
                </c:pt>
                <c:pt idx="59">
                  <c:v>8.0962200000000012E-2</c:v>
                </c:pt>
                <c:pt idx="60">
                  <c:v>9.1587100000000005E-2</c:v>
                </c:pt>
                <c:pt idx="61">
                  <c:v>0.10371350000000001</c:v>
                </c:pt>
                <c:pt idx="62">
                  <c:v>0.11763400000000002</c:v>
                </c:pt>
                <c:pt idx="63">
                  <c:v>0.13372480000000003</c:v>
                </c:pt>
                <c:pt idx="64">
                  <c:v>0.15245230000000001</c:v>
                </c:pt>
                <c:pt idx="65">
                  <c:v>0.17441050000000002</c:v>
                </c:pt>
                <c:pt idx="66">
                  <c:v>0.1984004</c:v>
                </c:pt>
                <c:pt idx="67">
                  <c:v>0.22443080000000004</c:v>
                </c:pt>
                <c:pt idx="68">
                  <c:v>0.25248190000000004</c:v>
                </c:pt>
                <c:pt idx="69">
                  <c:v>0.28250749999999997</c:v>
                </c:pt>
                <c:pt idx="70">
                  <c:v>0.31443500000000002</c:v>
                </c:pt>
                <c:pt idx="71">
                  <c:v>0.348161</c:v>
                </c:pt>
                <c:pt idx="72">
                  <c:v>0.38355790000000001</c:v>
                </c:pt>
                <c:pt idx="73">
                  <c:v>0.4204772</c:v>
                </c:pt>
                <c:pt idx="74">
                  <c:v>0.45874619999999999</c:v>
                </c:pt>
                <c:pt idx="75">
                  <c:v>0.49818119999999999</c:v>
                </c:pt>
                <c:pt idx="76">
                  <c:v>0.53858200000000001</c:v>
                </c:pt>
                <c:pt idx="77">
                  <c:v>0.57974400000000004</c:v>
                </c:pt>
                <c:pt idx="78">
                  <c:v>0.62145819999999996</c:v>
                </c:pt>
                <c:pt idx="79">
                  <c:v>0.66351780000000005</c:v>
                </c:pt>
                <c:pt idx="80">
                  <c:v>0.7057215</c:v>
                </c:pt>
                <c:pt idx="81">
                  <c:v>0.74787460000000006</c:v>
                </c:pt>
                <c:pt idx="82">
                  <c:v>0.78979670000000002</c:v>
                </c:pt>
                <c:pt idx="83">
                  <c:v>0.83131840000000001</c:v>
                </c:pt>
                <c:pt idx="84">
                  <c:v>0.8722879</c:v>
                </c:pt>
                <c:pt idx="85">
                  <c:v>0.91256990000000004</c:v>
                </c:pt>
                <c:pt idx="86">
                  <c:v>0.95204560000000005</c:v>
                </c:pt>
                <c:pt idx="87">
                  <c:v>0.99061160000000015</c:v>
                </c:pt>
                <c:pt idx="88">
                  <c:v>1</c:v>
                </c:pt>
                <c:pt idx="89">
                  <c:v>1</c:v>
                </c:pt>
                <c:pt idx="90">
                  <c:v>1</c:v>
                </c:pt>
                <c:pt idx="91">
                  <c:v>1</c:v>
                </c:pt>
                <c:pt idx="92">
                  <c:v>1</c:v>
                </c:pt>
                <c:pt idx="93">
                  <c:v>1</c:v>
                </c:pt>
                <c:pt idx="94">
                  <c:v>1</c:v>
                </c:pt>
                <c:pt idx="95">
                  <c:v>1</c:v>
                </c:pt>
              </c:numCache>
            </c:numRef>
          </c:yVal>
          <c:smooth val="1"/>
          <c:extLst xmlns:c16r2="http://schemas.microsoft.com/office/drawing/2015/06/chart">
            <c:ext xmlns:c16="http://schemas.microsoft.com/office/drawing/2014/chart" uri="{C3380CC4-5D6E-409C-BE32-E72D297353CC}">
              <c16:uniqueId val="{00000001-B3DA-4096-A8EE-136FBF0F85F3}"/>
            </c:ext>
          </c:extLst>
        </c:ser>
        <c:dLbls>
          <c:showLegendKey val="0"/>
          <c:showVal val="0"/>
          <c:showCatName val="0"/>
          <c:showSerName val="0"/>
          <c:showPercent val="0"/>
          <c:showBubbleSize val="0"/>
        </c:dLbls>
        <c:axId val="822457968"/>
        <c:axId val="822452528"/>
      </c:scatterChart>
      <c:valAx>
        <c:axId val="82245796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2452528"/>
        <c:crosses val="autoZero"/>
        <c:crossBetween val="midCat"/>
      </c:valAx>
      <c:valAx>
        <c:axId val="8224525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Probability</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0000_-;\-* #,##0.00000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2457968"/>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Reserve Projections</a:t>
            </a:r>
            <a:r>
              <a:rPr lang="en-US" baseline="0"/>
              <a:t> Comparison under different scenarios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Summary!$C$67</c:f>
              <c:strCache>
                <c:ptCount val="1"/>
                <c:pt idx="0">
                  <c:v>Old Regime</c:v>
                </c:pt>
              </c:strCache>
            </c:strRef>
          </c:tx>
          <c:spPr>
            <a:ln w="28575" cap="rnd">
              <a:solidFill>
                <a:schemeClr val="accent2"/>
              </a:solidFill>
              <a:round/>
            </a:ln>
            <a:effectLst/>
          </c:spPr>
          <c:marker>
            <c:symbol val="none"/>
          </c:marker>
          <c:val>
            <c:numRef>
              <c:f>Summary!$C$68:$C$87</c:f>
              <c:numCache>
                <c:formatCode>_(* #,##0.00_);_(* \(#,##0.00\);_(* "-"??_);_(@_)</c:formatCode>
                <c:ptCount val="20"/>
                <c:pt idx="0">
                  <c:v>0</c:v>
                </c:pt>
                <c:pt idx="1">
                  <c:v>1372345.5460510377</c:v>
                </c:pt>
                <c:pt idx="2">
                  <c:v>4448949.7840990955</c:v>
                </c:pt>
                <c:pt idx="3">
                  <c:v>7682736.0659373878</c:v>
                </c:pt>
                <c:pt idx="4">
                  <c:v>11082254.557420209</c:v>
                </c:pt>
                <c:pt idx="5">
                  <c:v>14656544.84195327</c:v>
                </c:pt>
                <c:pt idx="6">
                  <c:v>18415164.78672957</c:v>
                </c:pt>
                <c:pt idx="7">
                  <c:v>22368330.380720146</c:v>
                </c:pt>
                <c:pt idx="8">
                  <c:v>26526629.921965297</c:v>
                </c:pt>
                <c:pt idx="9">
                  <c:v>30901476.542117517</c:v>
                </c:pt>
                <c:pt idx="10">
                  <c:v>35503421.003119655</c:v>
                </c:pt>
                <c:pt idx="11">
                  <c:v>40345869.445172593</c:v>
                </c:pt>
                <c:pt idx="12">
                  <c:v>45441073.186811537</c:v>
                </c:pt>
                <c:pt idx="13">
                  <c:v>50801750.406504169</c:v>
                </c:pt>
                <c:pt idx="14">
                  <c:v>56441219.582767285</c:v>
                </c:pt>
                <c:pt idx="15">
                  <c:v>62373543.786088511</c:v>
                </c:pt>
                <c:pt idx="16">
                  <c:v>68613254.841572762</c:v>
                </c:pt>
                <c:pt idx="17">
                  <c:v>75175702.022139072</c:v>
                </c:pt>
                <c:pt idx="18">
                  <c:v>82076676.187469617</c:v>
                </c:pt>
                <c:pt idx="19">
                  <c:v>89332863.738486692</c:v>
                </c:pt>
              </c:numCache>
            </c:numRef>
          </c:val>
          <c:smooth val="0"/>
          <c:extLst xmlns:c16r2="http://schemas.microsoft.com/office/drawing/2015/06/chart">
            <c:ext xmlns:c16="http://schemas.microsoft.com/office/drawing/2014/chart" uri="{C3380CC4-5D6E-409C-BE32-E72D297353CC}">
              <c16:uniqueId val="{00000000-66FB-49FA-9130-A4218290D250}"/>
            </c:ext>
          </c:extLst>
        </c:ser>
        <c:ser>
          <c:idx val="2"/>
          <c:order val="1"/>
          <c:tx>
            <c:strRef>
              <c:f>Summary!$D$67</c:f>
              <c:strCache>
                <c:ptCount val="1"/>
                <c:pt idx="0">
                  <c:v>New Regime (Base)</c:v>
                </c:pt>
              </c:strCache>
            </c:strRef>
          </c:tx>
          <c:spPr>
            <a:ln w="28575" cap="rnd">
              <a:solidFill>
                <a:schemeClr val="accent3"/>
              </a:solidFill>
              <a:round/>
            </a:ln>
            <a:effectLst>
              <a:outerShdw blurRad="50800" dist="50800" dir="5400000" algn="ctr" rotWithShape="0">
                <a:schemeClr val="bg1"/>
              </a:outerShdw>
            </a:effectLst>
          </c:spPr>
          <c:marker>
            <c:symbol val="none"/>
          </c:marker>
          <c:val>
            <c:numRef>
              <c:f>Summary!$D$68:$D$87</c:f>
              <c:numCache>
                <c:formatCode>_(* #,##0.00_);_(* \(#,##0.00\);_(* "-"??_);_(@_)</c:formatCode>
                <c:ptCount val="20"/>
                <c:pt idx="0">
                  <c:v>6501797.6158880638</c:v>
                </c:pt>
                <c:pt idx="1">
                  <c:v>9935599.5205235891</c:v>
                </c:pt>
                <c:pt idx="2">
                  <c:v>13485410.083304532</c:v>
                </c:pt>
                <c:pt idx="3">
                  <c:v>17154313.431177877</c:v>
                </c:pt>
                <c:pt idx="4">
                  <c:v>20946419.215327118</c:v>
                </c:pt>
                <c:pt idx="5">
                  <c:v>24865987.042397108</c:v>
                </c:pt>
                <c:pt idx="6">
                  <c:v>28917432.282334197</c:v>
                </c:pt>
                <c:pt idx="7">
                  <c:v>33105436.455840852</c:v>
                </c:pt>
                <c:pt idx="8">
                  <c:v>37434647.533126406</c:v>
                </c:pt>
                <c:pt idx="9">
                  <c:v>41910089.714572914</c:v>
                </c:pt>
                <c:pt idx="10">
                  <c:v>46535519.61756444</c:v>
                </c:pt>
                <c:pt idx="11">
                  <c:v>51316976.359635979</c:v>
                </c:pt>
                <c:pt idx="12">
                  <c:v>56258879.08865983</c:v>
                </c:pt>
                <c:pt idx="13">
                  <c:v>61365576.577259071</c:v>
                </c:pt>
                <c:pt idx="14">
                  <c:v>66641444.810108386</c:v>
                </c:pt>
                <c:pt idx="15">
                  <c:v>72090991.215055734</c:v>
                </c:pt>
                <c:pt idx="16">
                  <c:v>77718553.098765522</c:v>
                </c:pt>
                <c:pt idx="17">
                  <c:v>83528596.460339114</c:v>
                </c:pt>
                <c:pt idx="18">
                  <c:v>89525314.031092256</c:v>
                </c:pt>
                <c:pt idx="19">
                  <c:v>95713021.670298547</c:v>
                </c:pt>
              </c:numCache>
            </c:numRef>
          </c:val>
          <c:smooth val="0"/>
          <c:extLst xmlns:c16r2="http://schemas.microsoft.com/office/drawing/2015/06/chart">
            <c:ext xmlns:c16="http://schemas.microsoft.com/office/drawing/2014/chart" uri="{C3380CC4-5D6E-409C-BE32-E72D297353CC}">
              <c16:uniqueId val="{00000001-66FB-49FA-9130-A4218290D250}"/>
            </c:ext>
          </c:extLst>
        </c:ser>
        <c:ser>
          <c:idx val="3"/>
          <c:order val="2"/>
          <c:tx>
            <c:strRef>
              <c:f>Summary!$E$67</c:f>
              <c:strCache>
                <c:ptCount val="1"/>
                <c:pt idx="0">
                  <c:v>New Regime (Scenario 1)</c:v>
                </c:pt>
              </c:strCache>
            </c:strRef>
          </c:tx>
          <c:spPr>
            <a:ln w="28575" cap="rnd">
              <a:solidFill>
                <a:schemeClr val="accent4"/>
              </a:solidFill>
              <a:round/>
            </a:ln>
            <a:effectLst/>
          </c:spPr>
          <c:marker>
            <c:symbol val="none"/>
          </c:marker>
          <c:val>
            <c:numRef>
              <c:f>Summary!$E$68:$E$87</c:f>
              <c:numCache>
                <c:formatCode>_(* #,##0.00_);_(* \(#,##0.00\);_(* "-"??_);_(@_)</c:formatCode>
                <c:ptCount val="20"/>
                <c:pt idx="0">
                  <c:v>3654429.2982632406</c:v>
                </c:pt>
                <c:pt idx="1">
                  <c:v>7138136.4701937726</c:v>
                </c:pt>
                <c:pt idx="2">
                  <c:v>10744598.183525531</c:v>
                </c:pt>
                <c:pt idx="3">
                  <c:v>14477303.000835193</c:v>
                </c:pt>
                <c:pt idx="4">
                  <c:v>18340783.121857956</c:v>
                </c:pt>
                <c:pt idx="5">
                  <c:v>22339741.086890895</c:v>
                </c:pt>
                <c:pt idx="6">
                  <c:v>26479056.472911447</c:v>
                </c:pt>
                <c:pt idx="7">
                  <c:v>30763897.205655992</c:v>
                </c:pt>
                <c:pt idx="8">
                  <c:v>35199421.020971753</c:v>
                </c:pt>
                <c:pt idx="9">
                  <c:v>39791185.866278037</c:v>
                </c:pt>
                <c:pt idx="10">
                  <c:v>44543507.523677103</c:v>
                </c:pt>
                <c:pt idx="11">
                  <c:v>49463007.758911282</c:v>
                </c:pt>
                <c:pt idx="12">
                  <c:v>54554717.253260925</c:v>
                </c:pt>
                <c:pt idx="13">
                  <c:v>59823622.472461231</c:v>
                </c:pt>
                <c:pt idx="14">
                  <c:v>65274763.6360851</c:v>
                </c:pt>
                <c:pt idx="15">
                  <c:v>70913339.505220443</c:v>
                </c:pt>
                <c:pt idx="16">
                  <c:v>76744406.592000082</c:v>
                </c:pt>
                <c:pt idx="17">
                  <c:v>82773177.980129197</c:v>
                </c:pt>
                <c:pt idx="18">
                  <c:v>89004622.034692839</c:v>
                </c:pt>
                <c:pt idx="19">
                  <c:v>95443858.373482496</c:v>
                </c:pt>
              </c:numCache>
            </c:numRef>
          </c:val>
          <c:smooth val="0"/>
          <c:extLst xmlns:c16r2="http://schemas.microsoft.com/office/drawing/2015/06/chart">
            <c:ext xmlns:c16="http://schemas.microsoft.com/office/drawing/2014/chart" uri="{C3380CC4-5D6E-409C-BE32-E72D297353CC}">
              <c16:uniqueId val="{00000002-66FB-49FA-9130-A4218290D250}"/>
            </c:ext>
          </c:extLst>
        </c:ser>
        <c:ser>
          <c:idx val="4"/>
          <c:order val="3"/>
          <c:tx>
            <c:strRef>
              <c:f>Summary!$F$67</c:f>
              <c:strCache>
                <c:ptCount val="1"/>
                <c:pt idx="0">
                  <c:v>New Regime (Scenario 2)</c:v>
                </c:pt>
              </c:strCache>
            </c:strRef>
          </c:tx>
          <c:spPr>
            <a:ln w="28575" cap="rnd">
              <a:solidFill>
                <a:schemeClr val="accent5"/>
              </a:solidFill>
              <a:round/>
            </a:ln>
            <a:effectLst/>
          </c:spPr>
          <c:marker>
            <c:symbol val="none"/>
          </c:marker>
          <c:val>
            <c:numRef>
              <c:f>Summary!$F$68:$F$87</c:f>
              <c:numCache>
                <c:formatCode>_(* #,##0.00_);_(* \(#,##0.00\);_(* "-"??_);_(@_)</c:formatCode>
                <c:ptCount val="20"/>
                <c:pt idx="0">
                  <c:v>1225287.6967587217</c:v>
                </c:pt>
                <c:pt idx="1">
                  <c:v>4491782.0815966558</c:v>
                </c:pt>
                <c:pt idx="2">
                  <c:v>7900069.7400414916</c:v>
                </c:pt>
                <c:pt idx="3">
                  <c:v>11455679.176290696</c:v>
                </c:pt>
                <c:pt idx="4">
                  <c:v>15165317.052018147</c:v>
                </c:pt>
                <c:pt idx="5">
                  <c:v>19036010.786193289</c:v>
                </c:pt>
                <c:pt idx="6">
                  <c:v>23075124.400466546</c:v>
                </c:pt>
                <c:pt idx="7">
                  <c:v>27290479.504108712</c:v>
                </c:pt>
                <c:pt idx="8">
                  <c:v>31690067.854084894</c:v>
                </c:pt>
                <c:pt idx="9">
                  <c:v>36282470.922313914</c:v>
                </c:pt>
                <c:pt idx="10">
                  <c:v>41075230.57706511</c:v>
                </c:pt>
                <c:pt idx="11">
                  <c:v>46078397.474426582</c:v>
                </c:pt>
                <c:pt idx="12">
                  <c:v>51300663.350828663</c:v>
                </c:pt>
                <c:pt idx="13">
                  <c:v>56750906.940130405</c:v>
                </c:pt>
                <c:pt idx="14">
                  <c:v>62438303.676910184</c:v>
                </c:pt>
                <c:pt idx="15">
                  <c:v>68372443.657067001</c:v>
                </c:pt>
                <c:pt idx="16">
                  <c:v>74563045.56219855</c:v>
                </c:pt>
                <c:pt idx="17">
                  <c:v>81020268.638448715</c:v>
                </c:pt>
                <c:pt idx="18">
                  <c:v>87754327.636139303</c:v>
                </c:pt>
                <c:pt idx="19">
                  <c:v>94775902.823504657</c:v>
                </c:pt>
              </c:numCache>
            </c:numRef>
          </c:val>
          <c:smooth val="0"/>
          <c:extLst xmlns:c16r2="http://schemas.microsoft.com/office/drawing/2015/06/chart">
            <c:ext xmlns:c16="http://schemas.microsoft.com/office/drawing/2014/chart" uri="{C3380CC4-5D6E-409C-BE32-E72D297353CC}">
              <c16:uniqueId val="{00000003-66FB-49FA-9130-A4218290D250}"/>
            </c:ext>
          </c:extLst>
        </c:ser>
        <c:dLbls>
          <c:showLegendKey val="0"/>
          <c:showVal val="0"/>
          <c:showCatName val="0"/>
          <c:showSerName val="0"/>
          <c:showPercent val="0"/>
          <c:showBubbleSize val="0"/>
        </c:dLbls>
        <c:smooth val="0"/>
        <c:axId val="822455248"/>
        <c:axId val="822460688"/>
      </c:lineChart>
      <c:catAx>
        <c:axId val="822455248"/>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Time In Years</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2460688"/>
        <c:crosses val="autoZero"/>
        <c:auto val="1"/>
        <c:lblAlgn val="ctr"/>
        <c:lblOffset val="100"/>
        <c:tickLblSkip val="2"/>
        <c:noMultiLvlLbl val="0"/>
      </c:catAx>
      <c:valAx>
        <c:axId val="822460688"/>
        <c:scaling>
          <c:orientation val="minMax"/>
        </c:scaling>
        <c:delete val="0"/>
        <c:axPos val="l"/>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INR</a:t>
                </a:r>
                <a:r>
                  <a:rPr lang="en-US" b="1" baseline="0"/>
                  <a:t> in Thousdands</a:t>
                </a:r>
                <a:endParaRPr lang="en-US" b="1"/>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2455248"/>
        <c:crossesAt val="1"/>
        <c:crossBetween val="between"/>
        <c:majorUnit val="15000000"/>
        <c:dispUnits>
          <c:builtInUnit val="thousands"/>
        </c:dispUnits>
      </c:valAx>
      <c:spPr>
        <a:noFill/>
        <a:ln>
          <a:solidFill>
            <a:schemeClr val="accent1"/>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Comparison of</a:t>
            </a:r>
            <a:r>
              <a:rPr lang="en-US" baseline="0"/>
              <a:t> Male BE and Padded Mortality rates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'Mortality rates'!$C$5</c:f>
              <c:strCache>
                <c:ptCount val="1"/>
                <c:pt idx="0">
                  <c:v>BE Male mortality rate</c:v>
                </c:pt>
              </c:strCache>
            </c:strRef>
          </c:tx>
          <c:spPr>
            <a:ln w="19050" cap="rnd">
              <a:solidFill>
                <a:schemeClr val="accent1"/>
              </a:solidFill>
              <a:round/>
            </a:ln>
            <a:effectLst/>
          </c:spPr>
          <c:marker>
            <c:symbol val="none"/>
          </c:marker>
          <c:xVal>
            <c:numRef>
              <c:f>'Mortality rates'!$B$6:$B$101</c:f>
              <c:numCache>
                <c:formatCode>General</c:formatCode>
                <c:ptCount val="96"/>
                <c:pt idx="0">
                  <c:v>25</c:v>
                </c:pt>
                <c:pt idx="1">
                  <c:v>26</c:v>
                </c:pt>
                <c:pt idx="2">
                  <c:v>27</c:v>
                </c:pt>
                <c:pt idx="3">
                  <c:v>28</c:v>
                </c:pt>
                <c:pt idx="4">
                  <c:v>29</c:v>
                </c:pt>
                <c:pt idx="5">
                  <c:v>30</c:v>
                </c:pt>
                <c:pt idx="6">
                  <c:v>31</c:v>
                </c:pt>
                <c:pt idx="7">
                  <c:v>32</c:v>
                </c:pt>
                <c:pt idx="8">
                  <c:v>33</c:v>
                </c:pt>
                <c:pt idx="9">
                  <c:v>34</c:v>
                </c:pt>
                <c:pt idx="10">
                  <c:v>35</c:v>
                </c:pt>
                <c:pt idx="11">
                  <c:v>36</c:v>
                </c:pt>
                <c:pt idx="12">
                  <c:v>37</c:v>
                </c:pt>
                <c:pt idx="13">
                  <c:v>38</c:v>
                </c:pt>
                <c:pt idx="14">
                  <c:v>39</c:v>
                </c:pt>
                <c:pt idx="15">
                  <c:v>40</c:v>
                </c:pt>
                <c:pt idx="16">
                  <c:v>41</c:v>
                </c:pt>
                <c:pt idx="17">
                  <c:v>42</c:v>
                </c:pt>
                <c:pt idx="18">
                  <c:v>43</c:v>
                </c:pt>
                <c:pt idx="19">
                  <c:v>44</c:v>
                </c:pt>
                <c:pt idx="20">
                  <c:v>45</c:v>
                </c:pt>
                <c:pt idx="21">
                  <c:v>46</c:v>
                </c:pt>
                <c:pt idx="22">
                  <c:v>47</c:v>
                </c:pt>
                <c:pt idx="23">
                  <c:v>48</c:v>
                </c:pt>
                <c:pt idx="24">
                  <c:v>49</c:v>
                </c:pt>
                <c:pt idx="25">
                  <c:v>50</c:v>
                </c:pt>
                <c:pt idx="26">
                  <c:v>51</c:v>
                </c:pt>
                <c:pt idx="27">
                  <c:v>52</c:v>
                </c:pt>
                <c:pt idx="28">
                  <c:v>53</c:v>
                </c:pt>
                <c:pt idx="29">
                  <c:v>54</c:v>
                </c:pt>
                <c:pt idx="30">
                  <c:v>55</c:v>
                </c:pt>
                <c:pt idx="31">
                  <c:v>56</c:v>
                </c:pt>
                <c:pt idx="32">
                  <c:v>57</c:v>
                </c:pt>
                <c:pt idx="33">
                  <c:v>58</c:v>
                </c:pt>
                <c:pt idx="34">
                  <c:v>59</c:v>
                </c:pt>
                <c:pt idx="35">
                  <c:v>60</c:v>
                </c:pt>
                <c:pt idx="36">
                  <c:v>61</c:v>
                </c:pt>
                <c:pt idx="37">
                  <c:v>62</c:v>
                </c:pt>
                <c:pt idx="38">
                  <c:v>63</c:v>
                </c:pt>
                <c:pt idx="39">
                  <c:v>64</c:v>
                </c:pt>
                <c:pt idx="40">
                  <c:v>65</c:v>
                </c:pt>
                <c:pt idx="41">
                  <c:v>66</c:v>
                </c:pt>
                <c:pt idx="42">
                  <c:v>67</c:v>
                </c:pt>
                <c:pt idx="43">
                  <c:v>68</c:v>
                </c:pt>
                <c:pt idx="44">
                  <c:v>69</c:v>
                </c:pt>
                <c:pt idx="45">
                  <c:v>70</c:v>
                </c:pt>
                <c:pt idx="46">
                  <c:v>71</c:v>
                </c:pt>
                <c:pt idx="47">
                  <c:v>72</c:v>
                </c:pt>
                <c:pt idx="48">
                  <c:v>73</c:v>
                </c:pt>
                <c:pt idx="49">
                  <c:v>74</c:v>
                </c:pt>
                <c:pt idx="50">
                  <c:v>75</c:v>
                </c:pt>
                <c:pt idx="51">
                  <c:v>76</c:v>
                </c:pt>
                <c:pt idx="52">
                  <c:v>77</c:v>
                </c:pt>
                <c:pt idx="53">
                  <c:v>78</c:v>
                </c:pt>
                <c:pt idx="54">
                  <c:v>79</c:v>
                </c:pt>
                <c:pt idx="55">
                  <c:v>80</c:v>
                </c:pt>
                <c:pt idx="56">
                  <c:v>81</c:v>
                </c:pt>
                <c:pt idx="57">
                  <c:v>82</c:v>
                </c:pt>
                <c:pt idx="58">
                  <c:v>83</c:v>
                </c:pt>
                <c:pt idx="59">
                  <c:v>84</c:v>
                </c:pt>
                <c:pt idx="60">
                  <c:v>85</c:v>
                </c:pt>
                <c:pt idx="61">
                  <c:v>86</c:v>
                </c:pt>
                <c:pt idx="62">
                  <c:v>87</c:v>
                </c:pt>
                <c:pt idx="63">
                  <c:v>88</c:v>
                </c:pt>
                <c:pt idx="64">
                  <c:v>89</c:v>
                </c:pt>
                <c:pt idx="65">
                  <c:v>90</c:v>
                </c:pt>
                <c:pt idx="66">
                  <c:v>91</c:v>
                </c:pt>
                <c:pt idx="67">
                  <c:v>92</c:v>
                </c:pt>
                <c:pt idx="68">
                  <c:v>93</c:v>
                </c:pt>
                <c:pt idx="69">
                  <c:v>94</c:v>
                </c:pt>
                <c:pt idx="70">
                  <c:v>95</c:v>
                </c:pt>
                <c:pt idx="71">
                  <c:v>96</c:v>
                </c:pt>
                <c:pt idx="72">
                  <c:v>97</c:v>
                </c:pt>
                <c:pt idx="73">
                  <c:v>98</c:v>
                </c:pt>
                <c:pt idx="74">
                  <c:v>99</c:v>
                </c:pt>
                <c:pt idx="75">
                  <c:v>100</c:v>
                </c:pt>
                <c:pt idx="76">
                  <c:v>101</c:v>
                </c:pt>
                <c:pt idx="77">
                  <c:v>102</c:v>
                </c:pt>
                <c:pt idx="78">
                  <c:v>103</c:v>
                </c:pt>
                <c:pt idx="79">
                  <c:v>104</c:v>
                </c:pt>
                <c:pt idx="80">
                  <c:v>105</c:v>
                </c:pt>
                <c:pt idx="81">
                  <c:v>106</c:v>
                </c:pt>
                <c:pt idx="82">
                  <c:v>107</c:v>
                </c:pt>
                <c:pt idx="83">
                  <c:v>108</c:v>
                </c:pt>
                <c:pt idx="84">
                  <c:v>109</c:v>
                </c:pt>
                <c:pt idx="85">
                  <c:v>110</c:v>
                </c:pt>
                <c:pt idx="86">
                  <c:v>111</c:v>
                </c:pt>
                <c:pt idx="87">
                  <c:v>112</c:v>
                </c:pt>
                <c:pt idx="88">
                  <c:v>113</c:v>
                </c:pt>
                <c:pt idx="89">
                  <c:v>114</c:v>
                </c:pt>
                <c:pt idx="90">
                  <c:v>115</c:v>
                </c:pt>
                <c:pt idx="91">
                  <c:v>116</c:v>
                </c:pt>
                <c:pt idx="92">
                  <c:v>117</c:v>
                </c:pt>
                <c:pt idx="93">
                  <c:v>118</c:v>
                </c:pt>
                <c:pt idx="94">
                  <c:v>119</c:v>
                </c:pt>
                <c:pt idx="95">
                  <c:v>120</c:v>
                </c:pt>
              </c:numCache>
            </c:numRef>
          </c:xVal>
          <c:yVal>
            <c:numRef>
              <c:f>'Mortality rates'!$C$6:$C$101</c:f>
              <c:numCache>
                <c:formatCode>_-* #,##0.000000_-;\-* #,##0.000000_-;_-* "-"??_-;_-@_-</c:formatCode>
                <c:ptCount val="96"/>
                <c:pt idx="0">
                  <c:v>9.3099999999999997E-4</c:v>
                </c:pt>
                <c:pt idx="1">
                  <c:v>9.3899999999999995E-4</c:v>
                </c:pt>
                <c:pt idx="2">
                  <c:v>9.4799999999999995E-4</c:v>
                </c:pt>
                <c:pt idx="3">
                  <c:v>9.5699999999999995E-4</c:v>
                </c:pt>
                <c:pt idx="4">
                  <c:v>9.6599999999999995E-4</c:v>
                </c:pt>
                <c:pt idx="5">
                  <c:v>9.7399999999999993E-4</c:v>
                </c:pt>
                <c:pt idx="6">
                  <c:v>9.9199999999999983E-4</c:v>
                </c:pt>
                <c:pt idx="7">
                  <c:v>1.0199999999999999E-3</c:v>
                </c:pt>
                <c:pt idx="8">
                  <c:v>1.049E-3</c:v>
                </c:pt>
                <c:pt idx="9">
                  <c:v>1.0789999999999999E-3</c:v>
                </c:pt>
                <c:pt idx="10">
                  <c:v>1.1099999999999999E-3</c:v>
                </c:pt>
                <c:pt idx="11">
                  <c:v>1.1409999999999999E-3</c:v>
                </c:pt>
                <c:pt idx="12">
                  <c:v>1.1739999999999999E-3</c:v>
                </c:pt>
                <c:pt idx="13">
                  <c:v>1.207E-3</c:v>
                </c:pt>
                <c:pt idx="14">
                  <c:v>1.2539999999999999E-3</c:v>
                </c:pt>
                <c:pt idx="15">
                  <c:v>1.294E-3</c:v>
                </c:pt>
                <c:pt idx="16">
                  <c:v>1.3450000000000001E-3</c:v>
                </c:pt>
                <c:pt idx="17">
                  <c:v>1.4089999999999999E-3</c:v>
                </c:pt>
                <c:pt idx="18">
                  <c:v>1.487E-3</c:v>
                </c:pt>
                <c:pt idx="19">
                  <c:v>1.5789999999999999E-3</c:v>
                </c:pt>
                <c:pt idx="20">
                  <c:v>1.688E-3</c:v>
                </c:pt>
                <c:pt idx="21">
                  <c:v>1.8140000000000001E-3</c:v>
                </c:pt>
                <c:pt idx="22">
                  <c:v>1.9610000000000001E-3</c:v>
                </c:pt>
                <c:pt idx="23">
                  <c:v>2.1289999999999998E-3</c:v>
                </c:pt>
                <c:pt idx="24">
                  <c:v>2.3219999999999998E-3</c:v>
                </c:pt>
                <c:pt idx="25">
                  <c:v>2.542E-3</c:v>
                </c:pt>
                <c:pt idx="26">
                  <c:v>2.7919999999999998E-3</c:v>
                </c:pt>
                <c:pt idx="27">
                  <c:v>3.0760000000000002E-3</c:v>
                </c:pt>
                <c:pt idx="28">
                  <c:v>3.3960000000000001E-3</c:v>
                </c:pt>
                <c:pt idx="29">
                  <c:v>3.7559999999999998E-3</c:v>
                </c:pt>
                <c:pt idx="30">
                  <c:v>4.1600000000000005E-3</c:v>
                </c:pt>
                <c:pt idx="31">
                  <c:v>4.6110000000000005E-3</c:v>
                </c:pt>
                <c:pt idx="32">
                  <c:v>5.1110000000000001E-3</c:v>
                </c:pt>
                <c:pt idx="33">
                  <c:v>5.6640000000000006E-3</c:v>
                </c:pt>
                <c:pt idx="34">
                  <c:v>6.2710000000000005E-3</c:v>
                </c:pt>
                <c:pt idx="35">
                  <c:v>6.9330000000000008E-3</c:v>
                </c:pt>
                <c:pt idx="36">
                  <c:v>7.6500000000000005E-3</c:v>
                </c:pt>
                <c:pt idx="37">
                  <c:v>8.4189999999999994E-3</c:v>
                </c:pt>
                <c:pt idx="38">
                  <c:v>9.2379999999999997E-3</c:v>
                </c:pt>
                <c:pt idx="39">
                  <c:v>1.01E-2</c:v>
                </c:pt>
                <c:pt idx="40">
                  <c:v>1.0997999999999999E-2</c:v>
                </c:pt>
                <c:pt idx="41">
                  <c:v>1.1918999999999999E-2</c:v>
                </c:pt>
                <c:pt idx="42">
                  <c:v>1.2851E-2</c:v>
                </c:pt>
                <c:pt idx="43">
                  <c:v>1.3776999999999999E-2</c:v>
                </c:pt>
                <c:pt idx="44">
                  <c:v>1.4678E-2</c:v>
                </c:pt>
                <c:pt idx="45">
                  <c:v>1.5535E-2</c:v>
                </c:pt>
                <c:pt idx="46">
                  <c:v>1.7264000000000002E-2</c:v>
                </c:pt>
                <c:pt idx="47">
                  <c:v>1.9172000000000002E-2</c:v>
                </c:pt>
                <c:pt idx="48">
                  <c:v>2.1286000000000003E-2</c:v>
                </c:pt>
                <c:pt idx="49">
                  <c:v>2.3639E-2</c:v>
                </c:pt>
                <c:pt idx="50">
                  <c:v>2.6271000000000003E-2</c:v>
                </c:pt>
                <c:pt idx="51">
                  <c:v>2.9228000000000001E-2</c:v>
                </c:pt>
                <c:pt idx="52">
                  <c:v>3.2569000000000001E-2</c:v>
                </c:pt>
                <c:pt idx="53">
                  <c:v>3.6361999999999998E-2</c:v>
                </c:pt>
                <c:pt idx="54">
                  <c:v>4.0686E-2</c:v>
                </c:pt>
                <c:pt idx="55">
                  <c:v>4.5626E-2</c:v>
                </c:pt>
                <c:pt idx="56">
                  <c:v>5.1275999999999995E-2</c:v>
                </c:pt>
                <c:pt idx="57">
                  <c:v>5.7742999999999996E-2</c:v>
                </c:pt>
                <c:pt idx="58">
                  <c:v>6.5142000000000005E-2</c:v>
                </c:pt>
                <c:pt idx="59">
                  <c:v>7.3602000000000001E-2</c:v>
                </c:pt>
                <c:pt idx="60">
                  <c:v>8.3261000000000002E-2</c:v>
                </c:pt>
                <c:pt idx="61">
                  <c:v>9.4285000000000008E-2</c:v>
                </c:pt>
                <c:pt idx="62">
                  <c:v>0.10694000000000001</c:v>
                </c:pt>
                <c:pt idx="63">
                  <c:v>0.12156800000000001</c:v>
                </c:pt>
                <c:pt idx="64">
                  <c:v>0.13859299999999999</c:v>
                </c:pt>
                <c:pt idx="65">
                  <c:v>0.158555</c:v>
                </c:pt>
                <c:pt idx="66">
                  <c:v>0.180364</c:v>
                </c:pt>
                <c:pt idx="67">
                  <c:v>0.20402800000000001</c:v>
                </c:pt>
                <c:pt idx="68">
                  <c:v>0.22952900000000001</c:v>
                </c:pt>
                <c:pt idx="69">
                  <c:v>0.25682499999999997</c:v>
                </c:pt>
                <c:pt idx="70">
                  <c:v>0.28584999999999999</c:v>
                </c:pt>
                <c:pt idx="71">
                  <c:v>0.31650999999999996</c:v>
                </c:pt>
                <c:pt idx="72">
                  <c:v>0.34868899999999997</c:v>
                </c:pt>
                <c:pt idx="73">
                  <c:v>0.38225199999999998</c:v>
                </c:pt>
                <c:pt idx="74">
                  <c:v>0.41704199999999997</c:v>
                </c:pt>
                <c:pt idx="75">
                  <c:v>0.45289199999999996</c:v>
                </c:pt>
                <c:pt idx="76">
                  <c:v>0.48962</c:v>
                </c:pt>
                <c:pt idx="77">
                  <c:v>0.52703999999999995</c:v>
                </c:pt>
                <c:pt idx="78">
                  <c:v>0.56496199999999996</c:v>
                </c:pt>
                <c:pt idx="79">
                  <c:v>0.60319800000000001</c:v>
                </c:pt>
                <c:pt idx="80">
                  <c:v>0.64156499999999994</c:v>
                </c:pt>
                <c:pt idx="81">
                  <c:v>0.67988599999999999</c:v>
                </c:pt>
                <c:pt idx="82">
                  <c:v>0.717997</c:v>
                </c:pt>
                <c:pt idx="83">
                  <c:v>0.75574399999999997</c:v>
                </c:pt>
                <c:pt idx="84">
                  <c:v>0.79298899999999994</c:v>
                </c:pt>
                <c:pt idx="85">
                  <c:v>0.82960899999999993</c:v>
                </c:pt>
                <c:pt idx="86">
                  <c:v>0.86549599999999993</c:v>
                </c:pt>
                <c:pt idx="87">
                  <c:v>0.90055600000000002</c:v>
                </c:pt>
                <c:pt idx="88">
                  <c:v>0.93471399999999993</c:v>
                </c:pt>
                <c:pt idx="89">
                  <c:v>0.96790699999999996</c:v>
                </c:pt>
                <c:pt idx="90">
                  <c:v>1</c:v>
                </c:pt>
                <c:pt idx="91">
                  <c:v>1</c:v>
                </c:pt>
                <c:pt idx="92">
                  <c:v>1</c:v>
                </c:pt>
                <c:pt idx="93">
                  <c:v>1</c:v>
                </c:pt>
                <c:pt idx="94">
                  <c:v>1</c:v>
                </c:pt>
                <c:pt idx="95">
                  <c:v>1</c:v>
                </c:pt>
              </c:numCache>
            </c:numRef>
          </c:yVal>
          <c:smooth val="1"/>
          <c:extLst xmlns:c16r2="http://schemas.microsoft.com/office/drawing/2015/06/chart">
            <c:ext xmlns:c16="http://schemas.microsoft.com/office/drawing/2014/chart" uri="{C3380CC4-5D6E-409C-BE32-E72D297353CC}">
              <c16:uniqueId val="{00000000-CAC3-465A-B636-52AA24A531B7}"/>
            </c:ext>
          </c:extLst>
        </c:ser>
        <c:ser>
          <c:idx val="1"/>
          <c:order val="1"/>
          <c:tx>
            <c:strRef>
              <c:f>'Mortality rates'!$F$5</c:f>
              <c:strCache>
                <c:ptCount val="1"/>
                <c:pt idx="0">
                  <c:v>Padded Male mortality rate</c:v>
                </c:pt>
              </c:strCache>
            </c:strRef>
          </c:tx>
          <c:spPr>
            <a:ln w="19050" cap="rnd">
              <a:solidFill>
                <a:schemeClr val="accent2"/>
              </a:solidFill>
              <a:round/>
            </a:ln>
            <a:effectLst/>
          </c:spPr>
          <c:marker>
            <c:symbol val="none"/>
          </c:marker>
          <c:xVal>
            <c:numRef>
              <c:f>'Mortality rates'!$B$6:$B$101</c:f>
              <c:numCache>
                <c:formatCode>General</c:formatCode>
                <c:ptCount val="96"/>
                <c:pt idx="0">
                  <c:v>25</c:v>
                </c:pt>
                <c:pt idx="1">
                  <c:v>26</c:v>
                </c:pt>
                <c:pt idx="2">
                  <c:v>27</c:v>
                </c:pt>
                <c:pt idx="3">
                  <c:v>28</c:v>
                </c:pt>
                <c:pt idx="4">
                  <c:v>29</c:v>
                </c:pt>
                <c:pt idx="5">
                  <c:v>30</c:v>
                </c:pt>
                <c:pt idx="6">
                  <c:v>31</c:v>
                </c:pt>
                <c:pt idx="7">
                  <c:v>32</c:v>
                </c:pt>
                <c:pt idx="8">
                  <c:v>33</c:v>
                </c:pt>
                <c:pt idx="9">
                  <c:v>34</c:v>
                </c:pt>
                <c:pt idx="10">
                  <c:v>35</c:v>
                </c:pt>
                <c:pt idx="11">
                  <c:v>36</c:v>
                </c:pt>
                <c:pt idx="12">
                  <c:v>37</c:v>
                </c:pt>
                <c:pt idx="13">
                  <c:v>38</c:v>
                </c:pt>
                <c:pt idx="14">
                  <c:v>39</c:v>
                </c:pt>
                <c:pt idx="15">
                  <c:v>40</c:v>
                </c:pt>
                <c:pt idx="16">
                  <c:v>41</c:v>
                </c:pt>
                <c:pt idx="17">
                  <c:v>42</c:v>
                </c:pt>
                <c:pt idx="18">
                  <c:v>43</c:v>
                </c:pt>
                <c:pt idx="19">
                  <c:v>44</c:v>
                </c:pt>
                <c:pt idx="20">
                  <c:v>45</c:v>
                </c:pt>
                <c:pt idx="21">
                  <c:v>46</c:v>
                </c:pt>
                <c:pt idx="22">
                  <c:v>47</c:v>
                </c:pt>
                <c:pt idx="23">
                  <c:v>48</c:v>
                </c:pt>
                <c:pt idx="24">
                  <c:v>49</c:v>
                </c:pt>
                <c:pt idx="25">
                  <c:v>50</c:v>
                </c:pt>
                <c:pt idx="26">
                  <c:v>51</c:v>
                </c:pt>
                <c:pt idx="27">
                  <c:v>52</c:v>
                </c:pt>
                <c:pt idx="28">
                  <c:v>53</c:v>
                </c:pt>
                <c:pt idx="29">
                  <c:v>54</c:v>
                </c:pt>
                <c:pt idx="30">
                  <c:v>55</c:v>
                </c:pt>
                <c:pt idx="31">
                  <c:v>56</c:v>
                </c:pt>
                <c:pt idx="32">
                  <c:v>57</c:v>
                </c:pt>
                <c:pt idx="33">
                  <c:v>58</c:v>
                </c:pt>
                <c:pt idx="34">
                  <c:v>59</c:v>
                </c:pt>
                <c:pt idx="35">
                  <c:v>60</c:v>
                </c:pt>
                <c:pt idx="36">
                  <c:v>61</c:v>
                </c:pt>
                <c:pt idx="37">
                  <c:v>62</c:v>
                </c:pt>
                <c:pt idx="38">
                  <c:v>63</c:v>
                </c:pt>
                <c:pt idx="39">
                  <c:v>64</c:v>
                </c:pt>
                <c:pt idx="40">
                  <c:v>65</c:v>
                </c:pt>
                <c:pt idx="41">
                  <c:v>66</c:v>
                </c:pt>
                <c:pt idx="42">
                  <c:v>67</c:v>
                </c:pt>
                <c:pt idx="43">
                  <c:v>68</c:v>
                </c:pt>
                <c:pt idx="44">
                  <c:v>69</c:v>
                </c:pt>
                <c:pt idx="45">
                  <c:v>70</c:v>
                </c:pt>
                <c:pt idx="46">
                  <c:v>71</c:v>
                </c:pt>
                <c:pt idx="47">
                  <c:v>72</c:v>
                </c:pt>
                <c:pt idx="48">
                  <c:v>73</c:v>
                </c:pt>
                <c:pt idx="49">
                  <c:v>74</c:v>
                </c:pt>
                <c:pt idx="50">
                  <c:v>75</c:v>
                </c:pt>
                <c:pt idx="51">
                  <c:v>76</c:v>
                </c:pt>
                <c:pt idx="52">
                  <c:v>77</c:v>
                </c:pt>
                <c:pt idx="53">
                  <c:v>78</c:v>
                </c:pt>
                <c:pt idx="54">
                  <c:v>79</c:v>
                </c:pt>
                <c:pt idx="55">
                  <c:v>80</c:v>
                </c:pt>
                <c:pt idx="56">
                  <c:v>81</c:v>
                </c:pt>
                <c:pt idx="57">
                  <c:v>82</c:v>
                </c:pt>
                <c:pt idx="58">
                  <c:v>83</c:v>
                </c:pt>
                <c:pt idx="59">
                  <c:v>84</c:v>
                </c:pt>
                <c:pt idx="60">
                  <c:v>85</c:v>
                </c:pt>
                <c:pt idx="61">
                  <c:v>86</c:v>
                </c:pt>
                <c:pt idx="62">
                  <c:v>87</c:v>
                </c:pt>
                <c:pt idx="63">
                  <c:v>88</c:v>
                </c:pt>
                <c:pt idx="64">
                  <c:v>89</c:v>
                </c:pt>
                <c:pt idx="65">
                  <c:v>90</c:v>
                </c:pt>
                <c:pt idx="66">
                  <c:v>91</c:v>
                </c:pt>
                <c:pt idx="67">
                  <c:v>92</c:v>
                </c:pt>
                <c:pt idx="68">
                  <c:v>93</c:v>
                </c:pt>
                <c:pt idx="69">
                  <c:v>94</c:v>
                </c:pt>
                <c:pt idx="70">
                  <c:v>95</c:v>
                </c:pt>
                <c:pt idx="71">
                  <c:v>96</c:v>
                </c:pt>
                <c:pt idx="72">
                  <c:v>97</c:v>
                </c:pt>
                <c:pt idx="73">
                  <c:v>98</c:v>
                </c:pt>
                <c:pt idx="74">
                  <c:v>99</c:v>
                </c:pt>
                <c:pt idx="75">
                  <c:v>100</c:v>
                </c:pt>
                <c:pt idx="76">
                  <c:v>101</c:v>
                </c:pt>
                <c:pt idx="77">
                  <c:v>102</c:v>
                </c:pt>
                <c:pt idx="78">
                  <c:v>103</c:v>
                </c:pt>
                <c:pt idx="79">
                  <c:v>104</c:v>
                </c:pt>
                <c:pt idx="80">
                  <c:v>105</c:v>
                </c:pt>
                <c:pt idx="81">
                  <c:v>106</c:v>
                </c:pt>
                <c:pt idx="82">
                  <c:v>107</c:v>
                </c:pt>
                <c:pt idx="83">
                  <c:v>108</c:v>
                </c:pt>
                <c:pt idx="84">
                  <c:v>109</c:v>
                </c:pt>
                <c:pt idx="85">
                  <c:v>110</c:v>
                </c:pt>
                <c:pt idx="86">
                  <c:v>111</c:v>
                </c:pt>
                <c:pt idx="87">
                  <c:v>112</c:v>
                </c:pt>
                <c:pt idx="88">
                  <c:v>113</c:v>
                </c:pt>
                <c:pt idx="89">
                  <c:v>114</c:v>
                </c:pt>
                <c:pt idx="90">
                  <c:v>115</c:v>
                </c:pt>
                <c:pt idx="91">
                  <c:v>116</c:v>
                </c:pt>
                <c:pt idx="92">
                  <c:v>117</c:v>
                </c:pt>
                <c:pt idx="93">
                  <c:v>118</c:v>
                </c:pt>
                <c:pt idx="94">
                  <c:v>119</c:v>
                </c:pt>
                <c:pt idx="95">
                  <c:v>120</c:v>
                </c:pt>
              </c:numCache>
            </c:numRef>
          </c:xVal>
          <c:yVal>
            <c:numRef>
              <c:f>'Mortality rates'!$F$6:$F$101</c:f>
              <c:numCache>
                <c:formatCode>_-* #,##0.000000_-;\-* #,##0.000000_-;_-* "-"??_-;_-@_-</c:formatCode>
                <c:ptCount val="96"/>
                <c:pt idx="0">
                  <c:v>1.0241E-3</c:v>
                </c:pt>
                <c:pt idx="1">
                  <c:v>1.0329E-3</c:v>
                </c:pt>
                <c:pt idx="2">
                  <c:v>1.0428E-3</c:v>
                </c:pt>
                <c:pt idx="3">
                  <c:v>1.0526999999999999E-3</c:v>
                </c:pt>
                <c:pt idx="4">
                  <c:v>1.0626000000000001E-3</c:v>
                </c:pt>
                <c:pt idx="5">
                  <c:v>1.0713999999999999E-3</c:v>
                </c:pt>
                <c:pt idx="6">
                  <c:v>1.0911999999999999E-3</c:v>
                </c:pt>
                <c:pt idx="7">
                  <c:v>1.122E-3</c:v>
                </c:pt>
                <c:pt idx="8">
                  <c:v>1.1539E-3</c:v>
                </c:pt>
                <c:pt idx="9">
                  <c:v>1.1869000000000001E-3</c:v>
                </c:pt>
                <c:pt idx="10">
                  <c:v>1.2209999999999999E-3</c:v>
                </c:pt>
                <c:pt idx="11">
                  <c:v>1.2550999999999999E-3</c:v>
                </c:pt>
                <c:pt idx="12">
                  <c:v>1.2914000000000001E-3</c:v>
                </c:pt>
                <c:pt idx="13">
                  <c:v>1.3277E-3</c:v>
                </c:pt>
                <c:pt idx="14">
                  <c:v>1.3794E-3</c:v>
                </c:pt>
                <c:pt idx="15">
                  <c:v>1.4234000000000002E-3</c:v>
                </c:pt>
                <c:pt idx="16">
                  <c:v>1.4795000000000001E-3</c:v>
                </c:pt>
                <c:pt idx="17">
                  <c:v>1.5498999999999999E-3</c:v>
                </c:pt>
                <c:pt idx="18">
                  <c:v>1.6357000000000001E-3</c:v>
                </c:pt>
                <c:pt idx="19">
                  <c:v>1.7369E-3</c:v>
                </c:pt>
                <c:pt idx="20">
                  <c:v>1.8568000000000002E-3</c:v>
                </c:pt>
                <c:pt idx="21">
                  <c:v>1.9954E-3</c:v>
                </c:pt>
                <c:pt idx="22">
                  <c:v>2.1571000000000003E-3</c:v>
                </c:pt>
                <c:pt idx="23">
                  <c:v>2.3419000000000001E-3</c:v>
                </c:pt>
                <c:pt idx="24">
                  <c:v>2.5542E-3</c:v>
                </c:pt>
                <c:pt idx="25">
                  <c:v>2.7962000000000004E-3</c:v>
                </c:pt>
                <c:pt idx="26">
                  <c:v>3.0712000000000001E-3</c:v>
                </c:pt>
                <c:pt idx="27">
                  <c:v>3.3836000000000005E-3</c:v>
                </c:pt>
                <c:pt idx="28">
                  <c:v>3.7356000000000004E-3</c:v>
                </c:pt>
                <c:pt idx="29">
                  <c:v>4.1316E-3</c:v>
                </c:pt>
                <c:pt idx="30">
                  <c:v>4.5760000000000011E-3</c:v>
                </c:pt>
                <c:pt idx="31">
                  <c:v>5.0721000000000013E-3</c:v>
                </c:pt>
                <c:pt idx="32">
                  <c:v>5.6221000000000005E-3</c:v>
                </c:pt>
                <c:pt idx="33">
                  <c:v>6.2304000000000014E-3</c:v>
                </c:pt>
                <c:pt idx="34">
                  <c:v>6.8981000000000008E-3</c:v>
                </c:pt>
                <c:pt idx="35">
                  <c:v>7.6263000000000017E-3</c:v>
                </c:pt>
                <c:pt idx="36">
                  <c:v>8.4150000000000006E-3</c:v>
                </c:pt>
                <c:pt idx="37">
                  <c:v>9.2609000000000007E-3</c:v>
                </c:pt>
                <c:pt idx="38">
                  <c:v>1.01618E-2</c:v>
                </c:pt>
                <c:pt idx="39">
                  <c:v>1.111E-2</c:v>
                </c:pt>
                <c:pt idx="40">
                  <c:v>1.2097800000000001E-2</c:v>
                </c:pt>
                <c:pt idx="41">
                  <c:v>1.31109E-2</c:v>
                </c:pt>
                <c:pt idx="42">
                  <c:v>1.41361E-2</c:v>
                </c:pt>
                <c:pt idx="43">
                  <c:v>1.51547E-2</c:v>
                </c:pt>
                <c:pt idx="44">
                  <c:v>1.6145800000000002E-2</c:v>
                </c:pt>
                <c:pt idx="45">
                  <c:v>1.7088500000000003E-2</c:v>
                </c:pt>
                <c:pt idx="46">
                  <c:v>1.8990400000000004E-2</c:v>
                </c:pt>
                <c:pt idx="47">
                  <c:v>2.1089200000000002E-2</c:v>
                </c:pt>
                <c:pt idx="48">
                  <c:v>2.3414600000000004E-2</c:v>
                </c:pt>
                <c:pt idx="49">
                  <c:v>2.6002900000000002E-2</c:v>
                </c:pt>
                <c:pt idx="50">
                  <c:v>2.8898100000000006E-2</c:v>
                </c:pt>
                <c:pt idx="51">
                  <c:v>3.21508E-2</c:v>
                </c:pt>
                <c:pt idx="52">
                  <c:v>3.5825900000000001E-2</c:v>
                </c:pt>
                <c:pt idx="53">
                  <c:v>3.9998200000000005E-2</c:v>
                </c:pt>
                <c:pt idx="54">
                  <c:v>4.4754600000000005E-2</c:v>
                </c:pt>
                <c:pt idx="55">
                  <c:v>5.0188600000000007E-2</c:v>
                </c:pt>
                <c:pt idx="56">
                  <c:v>5.6403599999999998E-2</c:v>
                </c:pt>
                <c:pt idx="57">
                  <c:v>6.3517299999999999E-2</c:v>
                </c:pt>
                <c:pt idx="58">
                  <c:v>7.1656200000000017E-2</c:v>
                </c:pt>
                <c:pt idx="59">
                  <c:v>8.0962200000000012E-2</c:v>
                </c:pt>
                <c:pt idx="60">
                  <c:v>9.1587100000000005E-2</c:v>
                </c:pt>
                <c:pt idx="61">
                  <c:v>0.10371350000000001</c:v>
                </c:pt>
                <c:pt idx="62">
                  <c:v>0.11763400000000002</c:v>
                </c:pt>
                <c:pt idx="63">
                  <c:v>0.13372480000000003</c:v>
                </c:pt>
                <c:pt idx="64">
                  <c:v>0.15245230000000001</c:v>
                </c:pt>
                <c:pt idx="65">
                  <c:v>0.17441050000000002</c:v>
                </c:pt>
                <c:pt idx="66">
                  <c:v>0.1984004</c:v>
                </c:pt>
                <c:pt idx="67">
                  <c:v>0.22443080000000004</c:v>
                </c:pt>
                <c:pt idx="68">
                  <c:v>0.25248190000000004</c:v>
                </c:pt>
                <c:pt idx="69">
                  <c:v>0.28250749999999997</c:v>
                </c:pt>
                <c:pt idx="70">
                  <c:v>0.31443500000000002</c:v>
                </c:pt>
                <c:pt idx="71">
                  <c:v>0.348161</c:v>
                </c:pt>
                <c:pt idx="72">
                  <c:v>0.38355790000000001</c:v>
                </c:pt>
                <c:pt idx="73">
                  <c:v>0.4204772</c:v>
                </c:pt>
                <c:pt idx="74">
                  <c:v>0.45874619999999999</c:v>
                </c:pt>
                <c:pt idx="75">
                  <c:v>0.49818119999999999</c:v>
                </c:pt>
                <c:pt idx="76">
                  <c:v>0.53858200000000001</c:v>
                </c:pt>
                <c:pt idx="77">
                  <c:v>0.57974400000000004</c:v>
                </c:pt>
                <c:pt idx="78">
                  <c:v>0.62145819999999996</c:v>
                </c:pt>
                <c:pt idx="79">
                  <c:v>0.66351780000000005</c:v>
                </c:pt>
                <c:pt idx="80">
                  <c:v>0.7057215</c:v>
                </c:pt>
                <c:pt idx="81">
                  <c:v>0.74787460000000006</c:v>
                </c:pt>
                <c:pt idx="82">
                  <c:v>0.78979670000000002</c:v>
                </c:pt>
                <c:pt idx="83">
                  <c:v>0.83131840000000001</c:v>
                </c:pt>
                <c:pt idx="84">
                  <c:v>0.8722879</c:v>
                </c:pt>
                <c:pt idx="85">
                  <c:v>0.91256990000000004</c:v>
                </c:pt>
                <c:pt idx="86">
                  <c:v>0.95204560000000005</c:v>
                </c:pt>
                <c:pt idx="87">
                  <c:v>0.99061160000000015</c:v>
                </c:pt>
                <c:pt idx="88">
                  <c:v>1</c:v>
                </c:pt>
                <c:pt idx="89">
                  <c:v>1</c:v>
                </c:pt>
                <c:pt idx="90">
                  <c:v>1</c:v>
                </c:pt>
                <c:pt idx="91">
                  <c:v>1</c:v>
                </c:pt>
                <c:pt idx="92">
                  <c:v>1</c:v>
                </c:pt>
                <c:pt idx="93">
                  <c:v>1</c:v>
                </c:pt>
                <c:pt idx="94">
                  <c:v>1</c:v>
                </c:pt>
                <c:pt idx="95">
                  <c:v>1</c:v>
                </c:pt>
              </c:numCache>
            </c:numRef>
          </c:yVal>
          <c:smooth val="1"/>
          <c:extLst xmlns:c16r2="http://schemas.microsoft.com/office/drawing/2015/06/chart">
            <c:ext xmlns:c16="http://schemas.microsoft.com/office/drawing/2014/chart" uri="{C3380CC4-5D6E-409C-BE32-E72D297353CC}">
              <c16:uniqueId val="{00000001-CAC3-465A-B636-52AA24A531B7}"/>
            </c:ext>
          </c:extLst>
        </c:ser>
        <c:dLbls>
          <c:showLegendKey val="0"/>
          <c:showVal val="0"/>
          <c:showCatName val="0"/>
          <c:showSerName val="0"/>
          <c:showPercent val="0"/>
          <c:showBubbleSize val="0"/>
        </c:dLbls>
        <c:axId val="822454160"/>
        <c:axId val="822459056"/>
      </c:scatterChart>
      <c:valAx>
        <c:axId val="8224541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2459056"/>
        <c:crosses val="autoZero"/>
        <c:crossBetween val="midCat"/>
      </c:valAx>
      <c:valAx>
        <c:axId val="8224590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Probability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0000_-;\-* #,##0.00000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245416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Reserve Projections</a:t>
            </a:r>
            <a:r>
              <a:rPr lang="en-US" baseline="0"/>
              <a:t> Comparison under different scenarios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Summary!$C$67</c:f>
              <c:strCache>
                <c:ptCount val="1"/>
                <c:pt idx="0">
                  <c:v>Old Regime</c:v>
                </c:pt>
              </c:strCache>
            </c:strRef>
          </c:tx>
          <c:spPr>
            <a:ln w="28575" cap="rnd">
              <a:solidFill>
                <a:schemeClr val="accent2"/>
              </a:solidFill>
              <a:round/>
            </a:ln>
            <a:effectLst/>
          </c:spPr>
          <c:marker>
            <c:symbol val="none"/>
          </c:marker>
          <c:val>
            <c:numRef>
              <c:f>Summary!$C$68:$C$87</c:f>
              <c:numCache>
                <c:formatCode>_(* #,##0.00_);_(* \(#,##0.00\);_(* "-"??_);_(@_)</c:formatCode>
                <c:ptCount val="20"/>
                <c:pt idx="0">
                  <c:v>0</c:v>
                </c:pt>
                <c:pt idx="1">
                  <c:v>1372345.5460510377</c:v>
                </c:pt>
                <c:pt idx="2">
                  <c:v>4448949.7840990955</c:v>
                </c:pt>
                <c:pt idx="3">
                  <c:v>7682736.0659373878</c:v>
                </c:pt>
                <c:pt idx="4">
                  <c:v>11082254.557420209</c:v>
                </c:pt>
                <c:pt idx="5">
                  <c:v>14656544.84195327</c:v>
                </c:pt>
                <c:pt idx="6">
                  <c:v>18415164.78672957</c:v>
                </c:pt>
                <c:pt idx="7">
                  <c:v>22368330.380720146</c:v>
                </c:pt>
                <c:pt idx="8">
                  <c:v>26526629.921965297</c:v>
                </c:pt>
                <c:pt idx="9">
                  <c:v>30901476.542117517</c:v>
                </c:pt>
                <c:pt idx="10">
                  <c:v>35503421.003119655</c:v>
                </c:pt>
                <c:pt idx="11">
                  <c:v>40345869.445172593</c:v>
                </c:pt>
                <c:pt idx="12">
                  <c:v>45441073.186811537</c:v>
                </c:pt>
                <c:pt idx="13">
                  <c:v>50801750.406504169</c:v>
                </c:pt>
                <c:pt idx="14">
                  <c:v>56441219.582767285</c:v>
                </c:pt>
                <c:pt idx="15">
                  <c:v>62373543.786088511</c:v>
                </c:pt>
                <c:pt idx="16">
                  <c:v>68613254.841572762</c:v>
                </c:pt>
                <c:pt idx="17">
                  <c:v>75175702.022139072</c:v>
                </c:pt>
                <c:pt idx="18">
                  <c:v>82076676.187469617</c:v>
                </c:pt>
                <c:pt idx="19">
                  <c:v>89332863.738486692</c:v>
                </c:pt>
              </c:numCache>
            </c:numRef>
          </c:val>
          <c:smooth val="0"/>
          <c:extLst xmlns:c16r2="http://schemas.microsoft.com/office/drawing/2015/06/chart">
            <c:ext xmlns:c16="http://schemas.microsoft.com/office/drawing/2014/chart" uri="{C3380CC4-5D6E-409C-BE32-E72D297353CC}">
              <c16:uniqueId val="{00000001-C7C4-4DB4-AA35-0DF8AF34EE1F}"/>
            </c:ext>
          </c:extLst>
        </c:ser>
        <c:ser>
          <c:idx val="2"/>
          <c:order val="1"/>
          <c:tx>
            <c:strRef>
              <c:f>Summary!$D$67</c:f>
              <c:strCache>
                <c:ptCount val="1"/>
                <c:pt idx="0">
                  <c:v>New Regime (Base)</c:v>
                </c:pt>
              </c:strCache>
            </c:strRef>
          </c:tx>
          <c:spPr>
            <a:ln w="28575" cap="rnd">
              <a:solidFill>
                <a:schemeClr val="accent3"/>
              </a:solidFill>
              <a:round/>
            </a:ln>
            <a:effectLst>
              <a:outerShdw blurRad="50800" dist="50800" dir="5400000" algn="ctr" rotWithShape="0">
                <a:schemeClr val="bg1"/>
              </a:outerShdw>
            </a:effectLst>
          </c:spPr>
          <c:marker>
            <c:symbol val="none"/>
          </c:marker>
          <c:val>
            <c:numRef>
              <c:f>Summary!$D$68:$D$87</c:f>
              <c:numCache>
                <c:formatCode>_(* #,##0.00_);_(* \(#,##0.00\);_(* "-"??_);_(@_)</c:formatCode>
                <c:ptCount val="20"/>
                <c:pt idx="0">
                  <c:v>6501797.6158880638</c:v>
                </c:pt>
                <c:pt idx="1">
                  <c:v>9935599.5205235891</c:v>
                </c:pt>
                <c:pt idx="2">
                  <c:v>13485410.083304532</c:v>
                </c:pt>
                <c:pt idx="3">
                  <c:v>17154313.431177877</c:v>
                </c:pt>
                <c:pt idx="4">
                  <c:v>20946419.215327118</c:v>
                </c:pt>
                <c:pt idx="5">
                  <c:v>24865987.042397108</c:v>
                </c:pt>
                <c:pt idx="6">
                  <c:v>28917432.282334197</c:v>
                </c:pt>
                <c:pt idx="7">
                  <c:v>33105436.455840852</c:v>
                </c:pt>
                <c:pt idx="8">
                  <c:v>37434647.533126406</c:v>
                </c:pt>
                <c:pt idx="9">
                  <c:v>41910089.714572914</c:v>
                </c:pt>
                <c:pt idx="10">
                  <c:v>46535519.61756444</c:v>
                </c:pt>
                <c:pt idx="11">
                  <c:v>51316976.359635979</c:v>
                </c:pt>
                <c:pt idx="12">
                  <c:v>56258879.08865983</c:v>
                </c:pt>
                <c:pt idx="13">
                  <c:v>61365576.577259071</c:v>
                </c:pt>
                <c:pt idx="14">
                  <c:v>66641444.810108386</c:v>
                </c:pt>
                <c:pt idx="15">
                  <c:v>72090991.215055734</c:v>
                </c:pt>
                <c:pt idx="16">
                  <c:v>77718553.098765522</c:v>
                </c:pt>
                <c:pt idx="17">
                  <c:v>83528596.460339114</c:v>
                </c:pt>
                <c:pt idx="18">
                  <c:v>89525314.031092256</c:v>
                </c:pt>
                <c:pt idx="19">
                  <c:v>95713021.670298547</c:v>
                </c:pt>
              </c:numCache>
            </c:numRef>
          </c:val>
          <c:smooth val="0"/>
          <c:extLst xmlns:c16r2="http://schemas.microsoft.com/office/drawing/2015/06/chart">
            <c:ext xmlns:c16="http://schemas.microsoft.com/office/drawing/2014/chart" uri="{C3380CC4-5D6E-409C-BE32-E72D297353CC}">
              <c16:uniqueId val="{00000002-C7C4-4DB4-AA35-0DF8AF34EE1F}"/>
            </c:ext>
          </c:extLst>
        </c:ser>
        <c:ser>
          <c:idx val="3"/>
          <c:order val="2"/>
          <c:tx>
            <c:strRef>
              <c:f>Summary!$E$67</c:f>
              <c:strCache>
                <c:ptCount val="1"/>
                <c:pt idx="0">
                  <c:v>New Regime (Scenario 1)</c:v>
                </c:pt>
              </c:strCache>
            </c:strRef>
          </c:tx>
          <c:spPr>
            <a:ln w="28575" cap="rnd">
              <a:solidFill>
                <a:schemeClr val="accent4"/>
              </a:solidFill>
              <a:round/>
            </a:ln>
            <a:effectLst/>
          </c:spPr>
          <c:marker>
            <c:symbol val="none"/>
          </c:marker>
          <c:val>
            <c:numRef>
              <c:f>Summary!$E$68:$E$87</c:f>
              <c:numCache>
                <c:formatCode>_(* #,##0.00_);_(* \(#,##0.00\);_(* "-"??_);_(@_)</c:formatCode>
                <c:ptCount val="20"/>
                <c:pt idx="0">
                  <c:v>3654429.2982632406</c:v>
                </c:pt>
                <c:pt idx="1">
                  <c:v>7138136.4701937726</c:v>
                </c:pt>
                <c:pt idx="2">
                  <c:v>10744598.183525531</c:v>
                </c:pt>
                <c:pt idx="3">
                  <c:v>14477303.000835193</c:v>
                </c:pt>
                <c:pt idx="4">
                  <c:v>18340783.121857956</c:v>
                </c:pt>
                <c:pt idx="5">
                  <c:v>22339741.086890895</c:v>
                </c:pt>
                <c:pt idx="6">
                  <c:v>26479056.472911447</c:v>
                </c:pt>
                <c:pt idx="7">
                  <c:v>30763897.205655992</c:v>
                </c:pt>
                <c:pt idx="8">
                  <c:v>35199421.020971753</c:v>
                </c:pt>
                <c:pt idx="9">
                  <c:v>39791185.866278037</c:v>
                </c:pt>
                <c:pt idx="10">
                  <c:v>44543507.523677103</c:v>
                </c:pt>
                <c:pt idx="11">
                  <c:v>49463007.758911282</c:v>
                </c:pt>
                <c:pt idx="12">
                  <c:v>54554717.253260925</c:v>
                </c:pt>
                <c:pt idx="13">
                  <c:v>59823622.472461231</c:v>
                </c:pt>
                <c:pt idx="14">
                  <c:v>65274763.6360851</c:v>
                </c:pt>
                <c:pt idx="15">
                  <c:v>70913339.505220443</c:v>
                </c:pt>
                <c:pt idx="16">
                  <c:v>76744406.592000082</c:v>
                </c:pt>
                <c:pt idx="17">
                  <c:v>82773177.980129197</c:v>
                </c:pt>
                <c:pt idx="18">
                  <c:v>89004622.034692839</c:v>
                </c:pt>
                <c:pt idx="19">
                  <c:v>95443858.373482496</c:v>
                </c:pt>
              </c:numCache>
            </c:numRef>
          </c:val>
          <c:smooth val="0"/>
          <c:extLst xmlns:c16r2="http://schemas.microsoft.com/office/drawing/2015/06/chart">
            <c:ext xmlns:c16="http://schemas.microsoft.com/office/drawing/2014/chart" uri="{C3380CC4-5D6E-409C-BE32-E72D297353CC}">
              <c16:uniqueId val="{00000003-C7C4-4DB4-AA35-0DF8AF34EE1F}"/>
            </c:ext>
          </c:extLst>
        </c:ser>
        <c:ser>
          <c:idx val="4"/>
          <c:order val="3"/>
          <c:tx>
            <c:strRef>
              <c:f>Summary!$F$67</c:f>
              <c:strCache>
                <c:ptCount val="1"/>
                <c:pt idx="0">
                  <c:v>New Regime (Scenario 2)</c:v>
                </c:pt>
              </c:strCache>
            </c:strRef>
          </c:tx>
          <c:spPr>
            <a:ln w="28575" cap="rnd">
              <a:solidFill>
                <a:schemeClr val="accent5"/>
              </a:solidFill>
              <a:round/>
            </a:ln>
            <a:effectLst/>
          </c:spPr>
          <c:marker>
            <c:symbol val="none"/>
          </c:marker>
          <c:val>
            <c:numRef>
              <c:f>Summary!$F$68:$F$87</c:f>
              <c:numCache>
                <c:formatCode>_(* #,##0.00_);_(* \(#,##0.00\);_(* "-"??_);_(@_)</c:formatCode>
                <c:ptCount val="20"/>
                <c:pt idx="0">
                  <c:v>1225287.6967587217</c:v>
                </c:pt>
                <c:pt idx="1">
                  <c:v>4491782.0815966558</c:v>
                </c:pt>
                <c:pt idx="2">
                  <c:v>7900069.7400414916</c:v>
                </c:pt>
                <c:pt idx="3">
                  <c:v>11455679.176290696</c:v>
                </c:pt>
                <c:pt idx="4">
                  <c:v>15165317.052018147</c:v>
                </c:pt>
                <c:pt idx="5">
                  <c:v>19036010.786193289</c:v>
                </c:pt>
                <c:pt idx="6">
                  <c:v>23075124.400466546</c:v>
                </c:pt>
                <c:pt idx="7">
                  <c:v>27290479.504108712</c:v>
                </c:pt>
                <c:pt idx="8">
                  <c:v>31690067.854084894</c:v>
                </c:pt>
                <c:pt idx="9">
                  <c:v>36282470.922313914</c:v>
                </c:pt>
                <c:pt idx="10">
                  <c:v>41075230.57706511</c:v>
                </c:pt>
                <c:pt idx="11">
                  <c:v>46078397.474426582</c:v>
                </c:pt>
                <c:pt idx="12">
                  <c:v>51300663.350828663</c:v>
                </c:pt>
                <c:pt idx="13">
                  <c:v>56750906.940130405</c:v>
                </c:pt>
                <c:pt idx="14">
                  <c:v>62438303.676910184</c:v>
                </c:pt>
                <c:pt idx="15">
                  <c:v>68372443.657067001</c:v>
                </c:pt>
                <c:pt idx="16">
                  <c:v>74563045.56219855</c:v>
                </c:pt>
                <c:pt idx="17">
                  <c:v>81020268.638448715</c:v>
                </c:pt>
                <c:pt idx="18">
                  <c:v>87754327.636139303</c:v>
                </c:pt>
                <c:pt idx="19">
                  <c:v>94775902.823504657</c:v>
                </c:pt>
              </c:numCache>
            </c:numRef>
          </c:val>
          <c:smooth val="0"/>
          <c:extLst xmlns:c16r2="http://schemas.microsoft.com/office/drawing/2015/06/chart">
            <c:ext xmlns:c16="http://schemas.microsoft.com/office/drawing/2014/chart" uri="{C3380CC4-5D6E-409C-BE32-E72D297353CC}">
              <c16:uniqueId val="{00000004-C7C4-4DB4-AA35-0DF8AF34EE1F}"/>
            </c:ext>
          </c:extLst>
        </c:ser>
        <c:dLbls>
          <c:showLegendKey val="0"/>
          <c:showVal val="0"/>
          <c:showCatName val="0"/>
          <c:showSerName val="0"/>
          <c:showPercent val="0"/>
          <c:showBubbleSize val="0"/>
        </c:dLbls>
        <c:smooth val="0"/>
        <c:axId val="822461776"/>
        <c:axId val="822459600"/>
      </c:lineChart>
      <c:catAx>
        <c:axId val="822461776"/>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Time In Years</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2459600"/>
        <c:crosses val="autoZero"/>
        <c:auto val="1"/>
        <c:lblAlgn val="ctr"/>
        <c:lblOffset val="100"/>
        <c:tickLblSkip val="2"/>
        <c:noMultiLvlLbl val="0"/>
      </c:catAx>
      <c:valAx>
        <c:axId val="822459600"/>
        <c:scaling>
          <c:orientation val="minMax"/>
        </c:scaling>
        <c:delete val="0"/>
        <c:axPos val="l"/>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INR</a:t>
                </a:r>
                <a:r>
                  <a:rPr lang="en-US" b="1" baseline="0"/>
                  <a:t> in Thousdands</a:t>
                </a:r>
                <a:endParaRPr lang="en-US" b="1"/>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2461776"/>
        <c:crossesAt val="1"/>
        <c:crossBetween val="between"/>
        <c:majorUnit val="15000000"/>
        <c:dispUnits>
          <c:builtInUnit val="thousands"/>
        </c:dispUnits>
      </c:valAx>
      <c:spPr>
        <a:noFill/>
        <a:ln>
          <a:solidFill>
            <a:schemeClr val="accent1"/>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_xlchart.v5.2</cx:f>
      </cx:strDim>
      <cx:numDim type="val">
        <cx:f>_xlchart.v5.3</cx:f>
      </cx:numDim>
    </cx:data>
  </cx:chartData>
  <cx:chart>
    <cx:title pos="t" align="ctr" overlay="0">
      <cx:tx>
        <cx:txData>
          <cx:v>Reserve Movement Analysis Under Base Scenario </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Reserve Movement Analysis Under Base Scenario </a:t>
          </a:r>
        </a:p>
      </cx:txPr>
    </cx:title>
    <cx:plotArea>
      <cx:plotAreaRegion>
        <cx:series layoutId="waterfall" uniqueId="{9708529C-CD84-4B4A-AC71-25C8E3895F11}">
          <cx:dataPt idx="5">
            <cx:spPr>
              <a:solidFill>
                <a:sysClr val="windowText" lastClr="000000">
                  <a:lumMod val="50000"/>
                  <a:lumOff val="50000"/>
                </a:sysClr>
              </a:solidFill>
            </cx:spPr>
          </cx:dataPt>
          <cx:dataLabels pos="outEnd">
            <cx:txPr>
              <a:bodyPr spcFirstLastPara="1" vertOverflow="ellipsis" horzOverflow="overflow" wrap="square" lIns="0" tIns="0" rIns="0" bIns="0" anchor="ctr" anchorCtr="1"/>
              <a:lstStyle/>
              <a:p>
                <a:pPr algn="ctr" rtl="0">
                  <a:defRPr sz="1000"/>
                </a:pPr>
                <a:endParaRPr lang="en-US" sz="1000" b="0" i="0" u="none" strike="noStrike" baseline="0">
                  <a:solidFill>
                    <a:sysClr val="windowText" lastClr="000000">
                      <a:lumMod val="65000"/>
                      <a:lumOff val="35000"/>
                    </a:sysClr>
                  </a:solidFill>
                  <a:latin typeface="Calibri" panose="020F0502020204030204"/>
                </a:endParaRPr>
              </a:p>
            </cx:txPr>
          </cx:dataLabels>
          <cx:dataId val="0"/>
          <cx:layoutPr>
            <cx:subtotals>
              <cx:idx val="0"/>
              <cx:idx val="5"/>
            </cx:subtotals>
          </cx:layoutPr>
        </cx:series>
      </cx:plotAreaRegion>
      <cx:axis id="0">
        <cx:catScaling gapWidth="0.5"/>
        <cx:tickLabels/>
        <cx:spPr>
          <a:effectLst>
            <a:softEdge rad="0"/>
          </a:effectLst>
        </cx:spPr>
        <cx:txPr>
          <a:bodyPr spcFirstLastPara="1" vertOverflow="ellipsis" horzOverflow="overflow" wrap="square" lIns="0" tIns="0" rIns="0" bIns="0" anchor="ctr" anchorCtr="1"/>
          <a:lstStyle/>
          <a:p>
            <a:pPr algn="ctr" rtl="0">
              <a:defRPr sz="900" u="none">
                <a:ln w="0" cap="flat">
                  <a:noFill/>
                  <a:round/>
                </a:ln>
              </a:defRPr>
            </a:pPr>
            <a:endParaRPr lang="en-US" sz="900" b="0" i="0" u="none" strike="noStrike" baseline="0">
              <a:ln w="0" cap="flat">
                <a:noFill/>
                <a:round/>
              </a:ln>
              <a:solidFill>
                <a:sysClr val="windowText" lastClr="000000">
                  <a:lumMod val="65000"/>
                  <a:lumOff val="35000"/>
                </a:sysClr>
              </a:solidFill>
              <a:latin typeface="Calibri" panose="020F0502020204030204"/>
            </a:endParaRPr>
          </a:p>
        </cx:txPr>
      </cx:axis>
      <cx:axis id="1">
        <cx:valScaling min="-4000000"/>
        <cx:title>
          <cx:tx>
            <cx:txData>
              <cx:v>INR in Thousands</cx:v>
            </cx:txData>
          </cx:tx>
          <cx:txPr>
            <a:bodyPr spcFirstLastPara="1" vertOverflow="ellipsis" horzOverflow="overflow" wrap="square" lIns="0" tIns="0" rIns="0" bIns="0" anchor="ctr" anchorCtr="1"/>
            <a:lstStyle/>
            <a:p>
              <a:pPr algn="ctr" rtl="0">
                <a:defRPr b="1"/>
              </a:pPr>
              <a:r>
                <a:rPr lang="en-US" sz="900" b="1" i="0" u="none" strike="noStrike" baseline="0">
                  <a:solidFill>
                    <a:sysClr val="windowText" lastClr="000000">
                      <a:lumMod val="65000"/>
                      <a:lumOff val="35000"/>
                    </a:sysClr>
                  </a:solidFill>
                  <a:latin typeface="Calibri" panose="020F0502020204030204"/>
                </a:rPr>
                <a:t>INR in Thousands</a:t>
              </a:r>
            </a:p>
          </cx:txPr>
        </cx:title>
        <cx:units unit="thousands"/>
        <cx:tickLabels/>
        <cx:numFmt formatCode="_(* #,##0_);_(* (#,##0);_(* &quot;-&quot;_);_(@_)" sourceLinked="0"/>
      </cx:axis>
    </cx:plotArea>
    <cx:legend pos="t"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Calibri" panose="020F0502020204030204"/>
          </a:endParaRPr>
        </a:p>
      </cx:txPr>
    </cx:legend>
  </cx:chart>
  <cx:spPr>
    <a:ln w="12700">
      <a:solidFill>
        <a:schemeClr val="accent1"/>
      </a:solidFill>
    </a:ln>
  </cx:spPr>
  <cx:fmtOvrs>
    <cx:fmtOvr idx="1">
      <cx:spPr>
        <a:solidFill>
          <a:srgbClr val="FF0000"/>
        </a:solidFill>
      </cx:spPr>
    </cx:fmtOvr>
    <cx:fmtOvr idx="2">
      <cx:spPr>
        <a:solidFill>
          <a:schemeClr val="tx1">
            <a:lumMod val="50000"/>
            <a:lumOff val="50000"/>
          </a:schemeClr>
        </a:solidFill>
      </cx:spPr>
    </cx:fmtOvr>
  </cx:fmtOvrs>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_xlchart.v5.4</cx:f>
      </cx:strDim>
      <cx:numDim type="val">
        <cx:f>_xlchart.v5.5</cx:f>
      </cx:numDim>
    </cx:data>
  </cx:chartData>
  <cx:chart>
    <cx:title pos="t" align="ctr" overlay="0">
      <cx:tx>
        <cx:txData>
          <cx:v>Reserve Movement Analysis Under Scenario 1</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Reserve Movement Analysis Under Scenario 1</a:t>
          </a:r>
        </a:p>
      </cx:txPr>
    </cx:title>
    <cx:plotArea>
      <cx:plotAreaRegion>
        <cx:series layoutId="waterfall" uniqueId="{D99802C8-F85B-41DD-B984-3B78D9EBB102}">
          <cx:dataLabels>
            <cx:visibility seriesName="0" categoryName="0" value="1"/>
          </cx:dataLabels>
          <cx:dataId val="0"/>
          <cx:layoutPr>
            <cx:subtotals>
              <cx:idx val="0"/>
              <cx:idx val="5"/>
            </cx:subtotals>
          </cx:layoutPr>
        </cx:series>
      </cx:plotAreaRegion>
      <cx:axis id="0">
        <cx:catScaling gapWidth="0.5"/>
        <cx:tickLabels/>
        <cx:spPr>
          <a:effectLst>
            <a:softEdge rad="0"/>
          </a:effectLst>
        </cx:spPr>
        <cx:txPr>
          <a:bodyPr spcFirstLastPara="1" vertOverflow="ellipsis" horzOverflow="overflow" wrap="square" lIns="0" tIns="0" rIns="0" bIns="0" anchor="ctr" anchorCtr="1"/>
          <a:lstStyle/>
          <a:p>
            <a:pPr algn="ctr" rtl="0">
              <a:defRPr sz="900" u="none">
                <a:ln w="0" cap="flat">
                  <a:noFill/>
                  <a:round/>
                </a:ln>
              </a:defRPr>
            </a:pPr>
            <a:endParaRPr lang="en-US" sz="900" b="0" i="0" u="none" strike="noStrike" baseline="0">
              <a:ln w="0" cap="flat">
                <a:noFill/>
                <a:round/>
              </a:ln>
              <a:solidFill>
                <a:sysClr val="windowText" lastClr="000000">
                  <a:lumMod val="65000"/>
                  <a:lumOff val="35000"/>
                </a:sysClr>
              </a:solidFill>
              <a:latin typeface="Calibri" panose="020F0502020204030204"/>
            </a:endParaRPr>
          </a:p>
        </cx:txPr>
      </cx:axis>
      <cx:axis id="1">
        <cx:valScaling min="-4000000"/>
        <cx:title>
          <cx:tx>
            <cx:txData>
              <cx:v>INR in Thousands</cx:v>
            </cx:txData>
          </cx:tx>
          <cx:txPr>
            <a:bodyPr spcFirstLastPara="1" vertOverflow="ellipsis" horzOverflow="overflow" wrap="square" lIns="0" tIns="0" rIns="0" bIns="0" anchor="ctr" anchorCtr="1"/>
            <a:lstStyle/>
            <a:p>
              <a:pPr algn="ctr" rtl="0">
                <a:defRPr b="1"/>
              </a:pPr>
              <a:r>
                <a:rPr lang="en-US" sz="900" b="1" i="0" u="none" strike="noStrike" baseline="0">
                  <a:solidFill>
                    <a:sysClr val="windowText" lastClr="000000">
                      <a:lumMod val="65000"/>
                      <a:lumOff val="35000"/>
                    </a:sysClr>
                  </a:solidFill>
                  <a:latin typeface="Calibri" panose="020F0502020204030204"/>
                </a:rPr>
                <a:t>INR in Thousands</a:t>
              </a:r>
            </a:p>
          </cx:txPr>
        </cx:title>
        <cx:units unit="thousands"/>
        <cx:tickLabels/>
        <cx:numFmt formatCode="_(* #,##0_);_(* (#,##0);_(* &quot;-&quot;_);_(@_)" sourceLinked="0"/>
      </cx:axis>
    </cx:plotArea>
    <cx:legend pos="t"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Calibri" panose="020F0502020204030204"/>
          </a:endParaRPr>
        </a:p>
      </cx:txPr>
    </cx:legend>
  </cx:chart>
  <cx:spPr>
    <a:ln w="12700">
      <a:solidFill>
        <a:schemeClr val="accent1"/>
      </a:solidFill>
    </a:ln>
  </cx:spPr>
  <cx:fmtOvrs>
    <cx:fmtOvr idx="1">
      <cx:spPr>
        <a:solidFill>
          <a:srgbClr val="FF0000"/>
        </a:solidFill>
      </cx:spPr>
    </cx:fmtOvr>
    <cx:fmtOvr idx="2">
      <cx:spPr>
        <a:solidFill>
          <a:schemeClr val="tx1">
            <a:lumMod val="50000"/>
            <a:lumOff val="50000"/>
          </a:schemeClr>
        </a:solidFill>
      </cx:spPr>
    </cx:fmtOvr>
  </cx:fmtOvrs>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_xlchart.v5.0</cx:f>
      </cx:strDim>
      <cx:numDim type="val">
        <cx:f>_xlchart.v5.1</cx:f>
      </cx:numDim>
    </cx:data>
  </cx:chartData>
  <cx:chart>
    <cx:title pos="t" align="ctr" overlay="0">
      <cx:tx>
        <cx:txData>
          <cx:v>Reserve Movement Analysis Under Scenario 2</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Reserve Movement Analysis Under Scenario 2</a:t>
          </a:r>
        </a:p>
      </cx:txPr>
    </cx:title>
    <cx:plotArea>
      <cx:plotAreaRegion>
        <cx:series layoutId="waterfall" uniqueId="{73976837-0B25-44EC-8A7D-65A70FACF278}">
          <cx:dataLabels>
            <cx:visibility seriesName="0" categoryName="0" value="1"/>
          </cx:dataLabels>
          <cx:dataId val="0"/>
          <cx:layoutPr>
            <cx:subtotals>
              <cx:idx val="0"/>
              <cx:idx val="5"/>
            </cx:subtotals>
          </cx:layoutPr>
        </cx:series>
      </cx:plotAreaRegion>
      <cx:axis id="0">
        <cx:catScaling gapWidth="0.5"/>
        <cx:tickLabels/>
        <cx:spPr>
          <a:effectLst>
            <a:softEdge rad="0"/>
          </a:effectLst>
        </cx:spPr>
        <cx:txPr>
          <a:bodyPr spcFirstLastPara="1" vertOverflow="ellipsis" horzOverflow="overflow" wrap="square" lIns="0" tIns="0" rIns="0" bIns="0" anchor="ctr" anchorCtr="1"/>
          <a:lstStyle/>
          <a:p>
            <a:pPr algn="ctr" rtl="0">
              <a:defRPr sz="900" u="none">
                <a:ln w="0" cap="flat">
                  <a:noFill/>
                  <a:round/>
                </a:ln>
              </a:defRPr>
            </a:pPr>
            <a:endParaRPr lang="en-US" sz="900" b="0" i="0" u="none" strike="noStrike" baseline="0">
              <a:ln w="0" cap="flat">
                <a:noFill/>
                <a:round/>
              </a:ln>
              <a:solidFill>
                <a:sysClr val="windowText" lastClr="000000">
                  <a:lumMod val="65000"/>
                  <a:lumOff val="35000"/>
                </a:sysClr>
              </a:solidFill>
              <a:latin typeface="Calibri" panose="020F0502020204030204"/>
            </a:endParaRPr>
          </a:p>
        </cx:txPr>
      </cx:axis>
      <cx:axis id="1">
        <cx:valScaling min="-4000000"/>
        <cx:title>
          <cx:tx>
            <cx:txData>
              <cx:v>INR in Thousands</cx:v>
            </cx:txData>
          </cx:tx>
          <cx:txPr>
            <a:bodyPr spcFirstLastPara="1" vertOverflow="ellipsis" horzOverflow="overflow" wrap="square" lIns="0" tIns="0" rIns="0" bIns="0" anchor="ctr" anchorCtr="1"/>
            <a:lstStyle/>
            <a:p>
              <a:pPr algn="ctr" rtl="0">
                <a:defRPr b="1"/>
              </a:pPr>
              <a:r>
                <a:rPr lang="en-US" sz="900" b="1" i="0" u="none" strike="noStrike" baseline="0">
                  <a:solidFill>
                    <a:sysClr val="windowText" lastClr="000000">
                      <a:lumMod val="65000"/>
                      <a:lumOff val="35000"/>
                    </a:sysClr>
                  </a:solidFill>
                  <a:latin typeface="Calibri" panose="020F0502020204030204"/>
                </a:rPr>
                <a:t>INR in Thousands</a:t>
              </a:r>
            </a:p>
          </cx:txPr>
        </cx:title>
        <cx:units unit="thousands"/>
        <cx:tickLabels/>
        <cx:numFmt formatCode="_(* #,##0_);_(* (#,##0);_(* &quot;-&quot;_);_(@_)" sourceLinked="0"/>
      </cx:axis>
    </cx:plotArea>
    <cx:legend pos="t"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Calibri" panose="020F0502020204030204"/>
          </a:endParaRPr>
        </a:p>
      </cx:txPr>
    </cx:legend>
  </cx:chart>
  <cx:spPr>
    <a:ln w="12700">
      <a:solidFill>
        <a:schemeClr val="accent1"/>
      </a:solidFill>
    </a:ln>
  </cx:spPr>
  <cx:fmtOvrs>
    <cx:fmtOvr idx="1">
      <cx:spPr>
        <a:solidFill>
          <a:srgbClr val="FF0000"/>
        </a:solidFill>
      </cx:spPr>
    </cx:fmtOvr>
    <cx:fmtOvr idx="2">
      <cx:spPr>
        <a:solidFill>
          <a:schemeClr val="tx1">
            <a:lumMod val="50000"/>
            <a:lumOff val="50000"/>
          </a:schemeClr>
        </a:solidFill>
      </cx:spPr>
    </cx:fmtOvr>
  </cx:fmtOvrs>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chart" Target="../charts/chart2.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microsoft.com/office/2014/relationships/chartEx" Target="../charts/chartEx2.xml"/><Relationship Id="rId2" Type="http://schemas.openxmlformats.org/officeDocument/2006/relationships/chart" Target="../charts/chart4.xml"/><Relationship Id="rId1" Type="http://schemas.microsoft.com/office/2014/relationships/chartEx" Target="../charts/chartEx1.xml"/><Relationship Id="rId4" Type="http://schemas.microsoft.com/office/2014/relationships/chartEx" Target="../charts/chartEx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8152381</xdr:colOff>
      <xdr:row>11</xdr:row>
      <xdr:rowOff>190286</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905000"/>
          <a:ext cx="8152381" cy="1714286"/>
        </a:xfrm>
        <a:prstGeom prst="rect">
          <a:avLst/>
        </a:prstGeom>
      </xdr:spPr>
    </xdr:pic>
    <xdr:clientData/>
  </xdr:twoCellAnchor>
  <xdr:twoCellAnchor editAs="oneCell">
    <xdr:from>
      <xdr:col>0</xdr:col>
      <xdr:colOff>0</xdr:colOff>
      <xdr:row>16</xdr:row>
      <xdr:rowOff>0</xdr:rowOff>
    </xdr:from>
    <xdr:to>
      <xdr:col>0</xdr:col>
      <xdr:colOff>6809524</xdr:colOff>
      <xdr:row>20</xdr:row>
      <xdr:rowOff>171333</xdr:rowOff>
    </xdr:to>
    <xdr:pic>
      <xdr:nvPicPr>
        <xdr:cNvPr id="3" name="Picture 2"/>
        <xdr:cNvPicPr>
          <a:picLocks noChangeAspect="1"/>
        </xdr:cNvPicPr>
      </xdr:nvPicPr>
      <xdr:blipFill>
        <a:blip xmlns:r="http://schemas.openxmlformats.org/officeDocument/2006/relationships" r:embed="rId2"/>
        <a:stretch>
          <a:fillRect/>
        </a:stretch>
      </xdr:blipFill>
      <xdr:spPr>
        <a:xfrm>
          <a:off x="0" y="5524500"/>
          <a:ext cx="6809524" cy="933333"/>
        </a:xfrm>
        <a:prstGeom prst="rect">
          <a:avLst/>
        </a:prstGeom>
      </xdr:spPr>
    </xdr:pic>
    <xdr:clientData/>
  </xdr:twoCellAnchor>
  <xdr:twoCellAnchor>
    <xdr:from>
      <xdr:col>0</xdr:col>
      <xdr:colOff>0</xdr:colOff>
      <xdr:row>23</xdr:row>
      <xdr:rowOff>0</xdr:rowOff>
    </xdr:from>
    <xdr:to>
      <xdr:col>0</xdr:col>
      <xdr:colOff>5036820</xdr:colOff>
      <xdr:row>37</xdr:row>
      <xdr:rowOff>20955</xdr:rowOff>
    </xdr:to>
    <xdr:graphicFrame macro="">
      <xdr:nvGraphicFramePr>
        <xdr:cNvPr id="5" name="Chart 4">
          <a:extLst>
            <a:ext uri="{FF2B5EF4-FFF2-40B4-BE49-F238E27FC236}">
              <a16:creationId xmlns:a16="http://schemas.microsoft.com/office/drawing/2014/main" xmlns="" id="{88955338-30DF-4CA0-B8BF-16F29D9958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62</xdr:row>
      <xdr:rowOff>0</xdr:rowOff>
    </xdr:from>
    <xdr:to>
      <xdr:col>0</xdr:col>
      <xdr:colOff>6227445</xdr:colOff>
      <xdr:row>79</xdr:row>
      <xdr:rowOff>166370</xdr:rowOff>
    </xdr:to>
    <xdr:graphicFrame macro="">
      <xdr:nvGraphicFramePr>
        <xdr:cNvPr id="6" name="Chart 5">
          <a:extLst>
            <a:ext uri="{FF2B5EF4-FFF2-40B4-BE49-F238E27FC236}">
              <a16:creationId xmlns:a16="http://schemas.microsoft.com/office/drawing/2014/main" xmlns="" id="{634C02A6-E3B4-4640-BC67-8BBB497A70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87</xdr:row>
      <xdr:rowOff>0</xdr:rowOff>
    </xdr:from>
    <xdr:to>
      <xdr:col>0</xdr:col>
      <xdr:colOff>6096000</xdr:colOff>
      <xdr:row>102</xdr:row>
      <xdr:rowOff>9525</xdr:rowOff>
    </xdr:to>
    <xdr:pic>
      <xdr:nvPicPr>
        <xdr:cNvPr id="10" name="Chart 4"/>
        <xdr:cNvPicPr>
          <a:picLocks noGrp="1" noSelect="1" noRot="1" noChangeAspect="1" noMove="1" noResize="1" noEditPoints="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33785175"/>
          <a:ext cx="6096000"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xdr:row>
      <xdr:rowOff>0</xdr:rowOff>
    </xdr:from>
    <xdr:to>
      <xdr:col>0</xdr:col>
      <xdr:colOff>6067425</xdr:colOff>
      <xdr:row>118</xdr:row>
      <xdr:rowOff>13335</xdr:rowOff>
    </xdr:to>
    <xdr:pic>
      <xdr:nvPicPr>
        <xdr:cNvPr id="11" name="Chart 5">
          <a:extLst>
            <a:ext uri="{FF2B5EF4-FFF2-40B4-BE49-F238E27FC236}">
              <a16:creationId xmlns:a16="http://schemas.microsoft.com/office/drawing/2014/main" xmlns="" id="{C8CBF50F-48B7-47E0-B6F4-677C55997F94}"/>
            </a:ext>
          </a:extLst>
        </xdr:cNvPr>
        <xdr:cNvPicPr/>
      </xdr:nvPicPr>
      <xdr:blipFill>
        <a:blip xmlns:r="http://schemas.openxmlformats.org/officeDocument/2006/relationships" r:embed="rId6"/>
        <a:stretch>
          <a:fillRect/>
        </a:stretch>
      </xdr:blipFill>
      <xdr:spPr>
        <a:xfrm>
          <a:off x="0" y="37033200"/>
          <a:ext cx="6067425" cy="2680335"/>
        </a:xfrm>
        <a:prstGeom prst="rect">
          <a:avLst/>
        </a:prstGeom>
      </xdr:spPr>
    </xdr:pic>
    <xdr:clientData/>
  </xdr:twoCellAnchor>
  <xdr:twoCellAnchor>
    <xdr:from>
      <xdr:col>0</xdr:col>
      <xdr:colOff>0</xdr:colOff>
      <xdr:row>119</xdr:row>
      <xdr:rowOff>0</xdr:rowOff>
    </xdr:from>
    <xdr:to>
      <xdr:col>0</xdr:col>
      <xdr:colOff>6067425</xdr:colOff>
      <xdr:row>132</xdr:row>
      <xdr:rowOff>142875</xdr:rowOff>
    </xdr:to>
    <xdr:pic>
      <xdr:nvPicPr>
        <xdr:cNvPr id="12" name="Chart 9"/>
        <xdr:cNvPicPr>
          <a:picLocks noGrp="1" noSelect="1" noRot="1" noChangeAspect="1" noMove="1" noResize="1" noEditPoints="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39890700"/>
          <a:ext cx="6067425"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304800</xdr:colOff>
      <xdr:row>8</xdr:row>
      <xdr:rowOff>71437</xdr:rowOff>
    </xdr:from>
    <xdr:to>
      <xdr:col>18</xdr:col>
      <xdr:colOff>471340</xdr:colOff>
      <xdr:row>22</xdr:row>
      <xdr:rowOff>147637</xdr:rowOff>
    </xdr:to>
    <xdr:graphicFrame macro="">
      <xdr:nvGraphicFramePr>
        <xdr:cNvPr id="2" name="Chart 1">
          <a:extLst>
            <a:ext uri="{FF2B5EF4-FFF2-40B4-BE49-F238E27FC236}">
              <a16:creationId xmlns:a16="http://schemas.microsoft.com/office/drawing/2014/main" xmlns="" id="{88955338-30DF-4CA0-B8BF-16F29D9958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295275</xdr:colOff>
      <xdr:row>35</xdr:row>
      <xdr:rowOff>76199</xdr:rowOff>
    </xdr:from>
    <xdr:to>
      <xdr:col>12</xdr:col>
      <xdr:colOff>485774</xdr:colOff>
      <xdr:row>55</xdr:row>
      <xdr:rowOff>66674</xdr:rowOff>
    </xdr:to>
    <mc:AlternateContent xmlns:mc="http://schemas.openxmlformats.org/markup-compatibility/2006">
      <mc:Choice xmlns="" xmlns:cx4="http://schemas.microsoft.com/office/drawing/2016/5/10/chartex" Requires="cx4">
        <xdr:graphicFrame macro="">
          <xdr:nvGraphicFramePr>
            <xdr:cNvPr id="2" name="Chart 1">
              <a:extLst>
                <a:ext uri="{FF2B5EF4-FFF2-40B4-BE49-F238E27FC236}">
                  <a16:creationId xmlns:a16="http://schemas.microsoft.com/office/drawing/2014/main" id="{C5463E5A-0790-42A3-B65B-129197552D2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2" name="Rectangle 1"/>
            <xdr:cNvSpPr>
              <a:spLocks noTextEdit="1"/>
            </xdr:cNvSpPr>
          </xdr:nvSpPr>
          <xdr:spPr>
            <a:xfrm>
              <a:off x="5638800" y="6743699"/>
              <a:ext cx="8143874" cy="4181475"/>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509586</xdr:colOff>
      <xdr:row>63</xdr:row>
      <xdr:rowOff>90487</xdr:rowOff>
    </xdr:from>
    <xdr:to>
      <xdr:col>17</xdr:col>
      <xdr:colOff>114300</xdr:colOff>
      <xdr:row>84</xdr:row>
      <xdr:rowOff>28575</xdr:rowOff>
    </xdr:to>
    <xdr:graphicFrame macro="">
      <xdr:nvGraphicFramePr>
        <xdr:cNvPr id="3" name="Chart 2">
          <a:extLst>
            <a:ext uri="{FF2B5EF4-FFF2-40B4-BE49-F238E27FC236}">
              <a16:creationId xmlns:a16="http://schemas.microsoft.com/office/drawing/2014/main" xmlns="" id="{634C02A6-E3B4-4640-BC67-8BBB497A70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723900</xdr:colOff>
      <xdr:row>105</xdr:row>
      <xdr:rowOff>28575</xdr:rowOff>
    </xdr:from>
    <xdr:to>
      <xdr:col>13</xdr:col>
      <xdr:colOff>304799</xdr:colOff>
      <xdr:row>127</xdr:row>
      <xdr:rowOff>19050</xdr:rowOff>
    </xdr:to>
    <mc:AlternateContent xmlns:mc="http://schemas.openxmlformats.org/markup-compatibility/2006">
      <mc:Choice xmlns="" xmlns:cx4="http://schemas.microsoft.com/office/drawing/2016/5/10/chartex" Requires="cx4">
        <xdr:graphicFrame macro="">
          <xdr:nvGraphicFramePr>
            <xdr:cNvPr id="5" name="Chart 4">
              <a:extLst>
                <a:ext uri="{FF2B5EF4-FFF2-40B4-BE49-F238E27FC236}">
                  <a16:creationId xmlns:a16="http://schemas.microsoft.com/office/drawing/2014/main" id="{C8CBF50F-48B7-47E0-B6F4-677C55997F9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4" name="Rectangle 3"/>
            <xdr:cNvSpPr>
              <a:spLocks noTextEdit="1"/>
            </xdr:cNvSpPr>
          </xdr:nvSpPr>
          <xdr:spPr>
            <a:xfrm>
              <a:off x="6067425" y="20412075"/>
              <a:ext cx="8143874" cy="4562475"/>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4</xdr:col>
      <xdr:colOff>762000</xdr:colOff>
      <xdr:row>132</xdr:row>
      <xdr:rowOff>47625</xdr:rowOff>
    </xdr:from>
    <xdr:to>
      <xdr:col>13</xdr:col>
      <xdr:colOff>342899</xdr:colOff>
      <xdr:row>154</xdr:row>
      <xdr:rowOff>38100</xdr:rowOff>
    </xdr:to>
    <mc:AlternateContent xmlns:mc="http://schemas.openxmlformats.org/markup-compatibility/2006">
      <mc:Choice xmlns="" xmlns:cx4="http://schemas.microsoft.com/office/drawing/2016/5/10/chartex" Requires="cx4">
        <xdr:graphicFrame macro="">
          <xdr:nvGraphicFramePr>
            <xdr:cNvPr id="6" name="Chart 5">
              <a:extLst>
                <a:ext uri="{FF2B5EF4-FFF2-40B4-BE49-F238E27FC236}">
                  <a16:creationId xmlns:a16="http://schemas.microsoft.com/office/drawing/2014/main" id="{78304664-4634-4A6C-92BB-D7542B72F09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5" name="Rectangle 4"/>
            <xdr:cNvSpPr>
              <a:spLocks noTextEdit="1"/>
            </xdr:cNvSpPr>
          </xdr:nvSpPr>
          <xdr:spPr>
            <a:xfrm>
              <a:off x="6105525" y="25955625"/>
              <a:ext cx="8143874" cy="4562475"/>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tabSelected="1" zoomScaleNormal="100" workbookViewId="0">
      <selection sqref="A1:C1"/>
    </sheetView>
  </sheetViews>
  <sheetFormatPr defaultRowHeight="15" x14ac:dyDescent="0.25"/>
  <cols>
    <col min="1" max="1" width="14.7109375" bestFit="1" customWidth="1"/>
    <col min="2" max="2" width="12.85546875" bestFit="1" customWidth="1"/>
    <col min="3" max="3" width="133.28515625" customWidth="1"/>
  </cols>
  <sheetData>
    <row r="1" spans="1:3" ht="94.5" customHeight="1" thickBot="1" x14ac:dyDescent="0.3">
      <c r="A1" s="62" t="s">
        <v>109</v>
      </c>
      <c r="B1" s="63"/>
      <c r="C1" s="64"/>
    </row>
    <row r="2" spans="1:3" ht="15.75" thickBot="1" x14ac:dyDescent="0.3"/>
    <row r="3" spans="1:3" ht="60.75" customHeight="1" thickBot="1" x14ac:dyDescent="0.3">
      <c r="A3" s="62" t="s">
        <v>121</v>
      </c>
      <c r="B3" s="63"/>
      <c r="C3" s="64"/>
    </row>
    <row r="4" spans="1:3" ht="15.75" thickBot="1" x14ac:dyDescent="0.3"/>
    <row r="5" spans="1:3" ht="138" customHeight="1" thickBot="1" x14ac:dyDescent="0.3">
      <c r="A5" s="65" t="s">
        <v>120</v>
      </c>
      <c r="B5" s="66"/>
      <c r="C5" s="67"/>
    </row>
    <row r="6" spans="1:3" ht="15.75" thickBot="1" x14ac:dyDescent="0.3"/>
    <row r="7" spans="1:3" ht="46.5" customHeight="1" thickBot="1" x14ac:dyDescent="0.3">
      <c r="A7" s="62" t="s">
        <v>122</v>
      </c>
      <c r="B7" s="63"/>
      <c r="C7" s="64"/>
    </row>
    <row r="9" spans="1:3" x14ac:dyDescent="0.25">
      <c r="A9" s="42" t="s">
        <v>110</v>
      </c>
      <c r="B9" s="42" t="s">
        <v>111</v>
      </c>
      <c r="C9" s="42" t="s">
        <v>112</v>
      </c>
    </row>
    <row r="10" spans="1:3" ht="44.25" customHeight="1" x14ac:dyDescent="0.25">
      <c r="A10" s="56" t="s">
        <v>113</v>
      </c>
      <c r="B10" s="43" t="s">
        <v>114</v>
      </c>
      <c r="C10" s="44" t="s">
        <v>123</v>
      </c>
    </row>
    <row r="11" spans="1:3" ht="75" x14ac:dyDescent="0.25">
      <c r="A11" s="56"/>
      <c r="B11" s="43" t="s">
        <v>115</v>
      </c>
      <c r="C11" s="55" t="s">
        <v>124</v>
      </c>
    </row>
    <row r="12" spans="1:3" ht="89.25" customHeight="1" x14ac:dyDescent="0.25">
      <c r="A12" s="45" t="s">
        <v>116</v>
      </c>
      <c r="B12" s="46" t="s">
        <v>117</v>
      </c>
      <c r="C12" s="47" t="s">
        <v>125</v>
      </c>
    </row>
    <row r="13" spans="1:3" ht="30" x14ac:dyDescent="0.25">
      <c r="A13" s="56"/>
      <c r="B13" s="57" t="s">
        <v>100</v>
      </c>
      <c r="C13" s="48" t="s">
        <v>126</v>
      </c>
    </row>
    <row r="14" spans="1:3" x14ac:dyDescent="0.25">
      <c r="A14" s="56"/>
      <c r="B14" s="58"/>
      <c r="C14" s="48"/>
    </row>
    <row r="15" spans="1:3" x14ac:dyDescent="0.25">
      <c r="A15" s="56"/>
      <c r="B15" s="59"/>
      <c r="C15" s="49" t="s">
        <v>127</v>
      </c>
    </row>
    <row r="16" spans="1:3" ht="30" x14ac:dyDescent="0.25">
      <c r="A16" s="50"/>
      <c r="B16" s="51" t="s">
        <v>118</v>
      </c>
      <c r="C16" s="52" t="s">
        <v>128</v>
      </c>
    </row>
    <row r="17" spans="1:3" ht="30" x14ac:dyDescent="0.25">
      <c r="A17" s="60"/>
      <c r="B17" s="61" t="s">
        <v>119</v>
      </c>
      <c r="C17" s="53" t="s">
        <v>129</v>
      </c>
    </row>
    <row r="18" spans="1:3" x14ac:dyDescent="0.25">
      <c r="A18" s="60"/>
      <c r="B18" s="61"/>
      <c r="C18" s="54"/>
    </row>
    <row r="19" spans="1:3" x14ac:dyDescent="0.25">
      <c r="A19" s="60"/>
      <c r="B19" s="61"/>
      <c r="C19" s="52" t="s">
        <v>130</v>
      </c>
    </row>
  </sheetData>
  <mergeCells count="9">
    <mergeCell ref="A13:A15"/>
    <mergeCell ref="B13:B15"/>
    <mergeCell ref="A17:A19"/>
    <mergeCell ref="B17:B19"/>
    <mergeCell ref="A1:C1"/>
    <mergeCell ref="A3:C3"/>
    <mergeCell ref="A5:C5"/>
    <mergeCell ref="A7:C7"/>
    <mergeCell ref="A10:A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41"/>
  <sheetViews>
    <sheetView showGridLines="0" topLeftCell="A22" zoomScale="85" zoomScaleNormal="85" workbookViewId="0"/>
  </sheetViews>
  <sheetFormatPr defaultRowHeight="15" x14ac:dyDescent="0.25"/>
  <cols>
    <col min="1" max="1" width="184" customWidth="1"/>
  </cols>
  <sheetData>
    <row r="2" spans="1:1" ht="15.75" x14ac:dyDescent="0.25">
      <c r="A2" s="31" t="s">
        <v>81</v>
      </c>
    </row>
    <row r="3" spans="1:1" ht="120" x14ac:dyDescent="0.25">
      <c r="A3" s="24" t="s">
        <v>82</v>
      </c>
    </row>
    <row r="4" spans="1:1" x14ac:dyDescent="0.25">
      <c r="A4" s="25"/>
    </row>
    <row r="5" spans="1:1" x14ac:dyDescent="0.25">
      <c r="A5" s="25"/>
    </row>
    <row r="6" spans="1:1" x14ac:dyDescent="0.25">
      <c r="A6" s="25"/>
    </row>
    <row r="7" spans="1:1" x14ac:dyDescent="0.25">
      <c r="A7" s="25"/>
    </row>
    <row r="8" spans="1:1" x14ac:dyDescent="0.25">
      <c r="A8" s="25"/>
    </row>
    <row r="9" spans="1:1" x14ac:dyDescent="0.25">
      <c r="A9" s="25"/>
    </row>
    <row r="10" spans="1:1" x14ac:dyDescent="0.25">
      <c r="A10" s="25"/>
    </row>
    <row r="11" spans="1:1" x14ac:dyDescent="0.25">
      <c r="A11" s="25"/>
    </row>
    <row r="12" spans="1:1" x14ac:dyDescent="0.25">
      <c r="A12" s="25"/>
    </row>
    <row r="13" spans="1:1" x14ac:dyDescent="0.25">
      <c r="A13" s="26"/>
    </row>
    <row r="14" spans="1:1" x14ac:dyDescent="0.25">
      <c r="A14" s="29"/>
    </row>
    <row r="15" spans="1:1" ht="15.75" x14ac:dyDescent="0.25">
      <c r="A15" s="31" t="s">
        <v>83</v>
      </c>
    </row>
    <row r="16" spans="1:1" ht="135" x14ac:dyDescent="0.25">
      <c r="A16" s="24" t="s">
        <v>84</v>
      </c>
    </row>
    <row r="17" spans="1:1" x14ac:dyDescent="0.25">
      <c r="A17" s="25"/>
    </row>
    <row r="18" spans="1:1" x14ac:dyDescent="0.25">
      <c r="A18" s="25"/>
    </row>
    <row r="19" spans="1:1" x14ac:dyDescent="0.25">
      <c r="A19" s="25"/>
    </row>
    <row r="20" spans="1:1" x14ac:dyDescent="0.25">
      <c r="A20" s="25"/>
    </row>
    <row r="21" spans="1:1" x14ac:dyDescent="0.25">
      <c r="A21" s="25"/>
    </row>
    <row r="22" spans="1:1" ht="60" x14ac:dyDescent="0.25">
      <c r="A22" s="27" t="s">
        <v>85</v>
      </c>
    </row>
    <row r="23" spans="1:1" x14ac:dyDescent="0.25">
      <c r="A23" s="25"/>
    </row>
    <row r="24" spans="1:1" x14ac:dyDescent="0.25">
      <c r="A24" s="25"/>
    </row>
    <row r="25" spans="1:1" x14ac:dyDescent="0.25">
      <c r="A25" s="25"/>
    </row>
    <row r="26" spans="1:1" x14ac:dyDescent="0.25">
      <c r="A26" s="25"/>
    </row>
    <row r="27" spans="1:1" x14ac:dyDescent="0.25">
      <c r="A27" s="25"/>
    </row>
    <row r="28" spans="1:1" x14ac:dyDescent="0.25">
      <c r="A28" s="25"/>
    </row>
    <row r="29" spans="1:1" x14ac:dyDescent="0.25">
      <c r="A29" s="25"/>
    </row>
    <row r="30" spans="1:1" x14ac:dyDescent="0.25">
      <c r="A30" s="25"/>
    </row>
    <row r="31" spans="1:1" x14ac:dyDescent="0.25">
      <c r="A31" s="25"/>
    </row>
    <row r="32" spans="1:1" x14ac:dyDescent="0.25">
      <c r="A32" s="25"/>
    </row>
    <row r="33" spans="1:1" x14ac:dyDescent="0.25">
      <c r="A33" s="25"/>
    </row>
    <row r="34" spans="1:1" x14ac:dyDescent="0.25">
      <c r="A34" s="25"/>
    </row>
    <row r="35" spans="1:1" x14ac:dyDescent="0.25">
      <c r="A35" s="25"/>
    </row>
    <row r="36" spans="1:1" x14ac:dyDescent="0.25">
      <c r="A36" s="25"/>
    </row>
    <row r="37" spans="1:1" x14ac:dyDescent="0.25">
      <c r="A37" s="25"/>
    </row>
    <row r="38" spans="1:1" x14ac:dyDescent="0.25">
      <c r="A38" s="25"/>
    </row>
    <row r="39" spans="1:1" x14ac:dyDescent="0.25">
      <c r="A39" s="28" t="s">
        <v>86</v>
      </c>
    </row>
    <row r="41" spans="1:1" ht="15.75" x14ac:dyDescent="0.25">
      <c r="A41" s="30" t="s">
        <v>87</v>
      </c>
    </row>
    <row r="42" spans="1:1" ht="105" x14ac:dyDescent="0.25">
      <c r="A42" s="22" t="s">
        <v>88</v>
      </c>
    </row>
    <row r="44" spans="1:1" ht="15.75" x14ac:dyDescent="0.25">
      <c r="A44" s="30" t="s">
        <v>89</v>
      </c>
    </row>
    <row r="46" spans="1:1" ht="90" x14ac:dyDescent="0.25">
      <c r="A46" s="32" t="s">
        <v>90</v>
      </c>
    </row>
    <row r="47" spans="1:1" x14ac:dyDescent="0.25">
      <c r="A47" s="33"/>
    </row>
    <row r="48" spans="1:1" x14ac:dyDescent="0.25">
      <c r="A48" s="34" t="s">
        <v>91</v>
      </c>
    </row>
    <row r="49" spans="1:1" ht="270" x14ac:dyDescent="0.25">
      <c r="A49" s="35" t="s">
        <v>92</v>
      </c>
    </row>
    <row r="50" spans="1:1" ht="180" x14ac:dyDescent="0.25">
      <c r="A50" s="35" t="s">
        <v>93</v>
      </c>
    </row>
    <row r="51" spans="1:1" x14ac:dyDescent="0.25">
      <c r="A51" s="33"/>
    </row>
    <row r="52" spans="1:1" x14ac:dyDescent="0.25">
      <c r="A52" s="36" t="s">
        <v>94</v>
      </c>
    </row>
    <row r="53" spans="1:1" ht="255" x14ac:dyDescent="0.25">
      <c r="A53" s="35" t="s">
        <v>95</v>
      </c>
    </row>
    <row r="54" spans="1:1" x14ac:dyDescent="0.25">
      <c r="A54" s="36" t="s">
        <v>96</v>
      </c>
    </row>
    <row r="55" spans="1:1" ht="30" x14ac:dyDescent="0.25">
      <c r="A55" s="35" t="s">
        <v>97</v>
      </c>
    </row>
    <row r="56" spans="1:1" x14ac:dyDescent="0.25">
      <c r="A56" s="33"/>
    </row>
    <row r="57" spans="1:1" x14ac:dyDescent="0.25">
      <c r="A57" s="34" t="s">
        <v>98</v>
      </c>
    </row>
    <row r="58" spans="1:1" x14ac:dyDescent="0.25">
      <c r="A58" s="37" t="s">
        <v>99</v>
      </c>
    </row>
    <row r="60" spans="1:1" x14ac:dyDescent="0.25">
      <c r="A60" s="38" t="s">
        <v>100</v>
      </c>
    </row>
    <row r="61" spans="1:1" x14ac:dyDescent="0.25">
      <c r="A61" s="39" t="s">
        <v>101</v>
      </c>
    </row>
    <row r="62" spans="1:1" x14ac:dyDescent="0.25">
      <c r="A62" s="25"/>
    </row>
    <row r="63" spans="1:1" x14ac:dyDescent="0.25">
      <c r="A63" s="25"/>
    </row>
    <row r="64" spans="1:1" x14ac:dyDescent="0.25">
      <c r="A64" s="25"/>
    </row>
    <row r="65" spans="1:1" x14ac:dyDescent="0.25">
      <c r="A65" s="25"/>
    </row>
    <row r="66" spans="1:1" x14ac:dyDescent="0.25">
      <c r="A66" s="25"/>
    </row>
    <row r="67" spans="1:1" x14ac:dyDescent="0.25">
      <c r="A67" s="25"/>
    </row>
    <row r="68" spans="1:1" x14ac:dyDescent="0.25">
      <c r="A68" s="25"/>
    </row>
    <row r="69" spans="1:1" x14ac:dyDescent="0.25">
      <c r="A69" s="25"/>
    </row>
    <row r="70" spans="1:1" x14ac:dyDescent="0.25">
      <c r="A70" s="25"/>
    </row>
    <row r="71" spans="1:1" x14ac:dyDescent="0.25">
      <c r="A71" s="25"/>
    </row>
    <row r="72" spans="1:1" x14ac:dyDescent="0.25">
      <c r="A72" s="25"/>
    </row>
    <row r="73" spans="1:1" x14ac:dyDescent="0.25">
      <c r="A73" s="25"/>
    </row>
    <row r="74" spans="1:1" x14ac:dyDescent="0.25">
      <c r="A74" s="25"/>
    </row>
    <row r="75" spans="1:1" x14ac:dyDescent="0.25">
      <c r="A75" s="25"/>
    </row>
    <row r="76" spans="1:1" x14ac:dyDescent="0.25">
      <c r="A76" s="25"/>
    </row>
    <row r="77" spans="1:1" x14ac:dyDescent="0.25">
      <c r="A77" s="25"/>
    </row>
    <row r="78" spans="1:1" x14ac:dyDescent="0.25">
      <c r="A78" s="25"/>
    </row>
    <row r="79" spans="1:1" x14ac:dyDescent="0.25">
      <c r="A79" s="25"/>
    </row>
    <row r="80" spans="1:1" x14ac:dyDescent="0.25">
      <c r="A80" s="25"/>
    </row>
    <row r="81" spans="1:1" x14ac:dyDescent="0.25">
      <c r="A81" s="25"/>
    </row>
    <row r="82" spans="1:1" ht="195" customHeight="1" x14ac:dyDescent="0.25">
      <c r="A82" s="27" t="s">
        <v>102</v>
      </c>
    </row>
    <row r="83" spans="1:1" x14ac:dyDescent="0.25">
      <c r="A83" s="25"/>
    </row>
    <row r="84" spans="1:1" ht="105.75" customHeight="1" x14ac:dyDescent="0.25">
      <c r="A84" s="27" t="s">
        <v>103</v>
      </c>
    </row>
    <row r="85" spans="1:1" x14ac:dyDescent="0.25">
      <c r="A85" s="25"/>
    </row>
    <row r="86" spans="1:1" ht="15.75" x14ac:dyDescent="0.25">
      <c r="A86" s="40"/>
    </row>
    <row r="87" spans="1:1" ht="15.75" x14ac:dyDescent="0.25">
      <c r="A87" s="40"/>
    </row>
    <row r="88" spans="1:1" x14ac:dyDescent="0.25">
      <c r="A88" s="25"/>
    </row>
    <row r="89" spans="1:1" ht="15.75" x14ac:dyDescent="0.25">
      <c r="A89" s="40"/>
    </row>
    <row r="90" spans="1:1" x14ac:dyDescent="0.25">
      <c r="A90" s="25"/>
    </row>
    <row r="91" spans="1:1" x14ac:dyDescent="0.25">
      <c r="A91" s="25"/>
    </row>
    <row r="92" spans="1:1" x14ac:dyDescent="0.25">
      <c r="A92" s="25"/>
    </row>
    <row r="93" spans="1:1" x14ac:dyDescent="0.25">
      <c r="A93" s="25"/>
    </row>
    <row r="94" spans="1:1" x14ac:dyDescent="0.25">
      <c r="A94" s="25"/>
    </row>
    <row r="95" spans="1:1" x14ac:dyDescent="0.25">
      <c r="A95" s="25"/>
    </row>
    <row r="96" spans="1:1" x14ac:dyDescent="0.25">
      <c r="A96" s="25"/>
    </row>
    <row r="97" spans="1:1" x14ac:dyDescent="0.25">
      <c r="A97" s="25"/>
    </row>
    <row r="98" spans="1:1" x14ac:dyDescent="0.25">
      <c r="A98" s="25"/>
    </row>
    <row r="99" spans="1:1" x14ac:dyDescent="0.25">
      <c r="A99" s="25"/>
    </row>
    <row r="100" spans="1:1" x14ac:dyDescent="0.25">
      <c r="A100" s="25"/>
    </row>
    <row r="101" spans="1:1" x14ac:dyDescent="0.25">
      <c r="A101" s="25"/>
    </row>
    <row r="102" spans="1:1" x14ac:dyDescent="0.25">
      <c r="A102" s="25"/>
    </row>
    <row r="103" spans="1:1" x14ac:dyDescent="0.25">
      <c r="A103" s="25"/>
    </row>
    <row r="104" spans="1:1" x14ac:dyDescent="0.25">
      <c r="A104" s="25"/>
    </row>
    <row r="105" spans="1:1" x14ac:dyDescent="0.25">
      <c r="A105" s="25"/>
    </row>
    <row r="106" spans="1:1" x14ac:dyDescent="0.25">
      <c r="A106" s="25"/>
    </row>
    <row r="107" spans="1:1" x14ac:dyDescent="0.25">
      <c r="A107" s="25"/>
    </row>
    <row r="108" spans="1:1" x14ac:dyDescent="0.25">
      <c r="A108" s="25"/>
    </row>
    <row r="109" spans="1:1" x14ac:dyDescent="0.25">
      <c r="A109" s="25"/>
    </row>
    <row r="110" spans="1:1" x14ac:dyDescent="0.25">
      <c r="A110" s="25"/>
    </row>
    <row r="111" spans="1:1" x14ac:dyDescent="0.25">
      <c r="A111" s="25"/>
    </row>
    <row r="112" spans="1:1" x14ac:dyDescent="0.25">
      <c r="A112" s="25"/>
    </row>
    <row r="113" spans="1:1" x14ac:dyDescent="0.25">
      <c r="A113" s="25"/>
    </row>
    <row r="114" spans="1:1" x14ac:dyDescent="0.25">
      <c r="A114" s="25"/>
    </row>
    <row r="115" spans="1:1" x14ac:dyDescent="0.25">
      <c r="A115" s="25"/>
    </row>
    <row r="116" spans="1:1" x14ac:dyDescent="0.25">
      <c r="A116" s="25"/>
    </row>
    <row r="117" spans="1:1" x14ac:dyDescent="0.25">
      <c r="A117" s="25"/>
    </row>
    <row r="118" spans="1:1" x14ac:dyDescent="0.25">
      <c r="A118" s="25"/>
    </row>
    <row r="119" spans="1:1" x14ac:dyDescent="0.25">
      <c r="A119" s="25"/>
    </row>
    <row r="120" spans="1:1" ht="15.75" x14ac:dyDescent="0.25">
      <c r="A120" s="40"/>
    </row>
    <row r="121" spans="1:1" x14ac:dyDescent="0.25">
      <c r="A121" s="25"/>
    </row>
    <row r="122" spans="1:1" x14ac:dyDescent="0.25">
      <c r="A122" s="25"/>
    </row>
    <row r="123" spans="1:1" x14ac:dyDescent="0.25">
      <c r="A123" s="25"/>
    </row>
    <row r="124" spans="1:1" x14ac:dyDescent="0.25">
      <c r="A124" s="25"/>
    </row>
    <row r="125" spans="1:1" x14ac:dyDescent="0.25">
      <c r="A125" s="25"/>
    </row>
    <row r="126" spans="1:1" x14ac:dyDescent="0.25">
      <c r="A126" s="25"/>
    </row>
    <row r="127" spans="1:1" x14ac:dyDescent="0.25">
      <c r="A127" s="25"/>
    </row>
    <row r="128" spans="1:1" x14ac:dyDescent="0.25">
      <c r="A128" s="25"/>
    </row>
    <row r="129" spans="1:1" x14ac:dyDescent="0.25">
      <c r="A129" s="25"/>
    </row>
    <row r="130" spans="1:1" x14ac:dyDescent="0.25">
      <c r="A130" s="25"/>
    </row>
    <row r="131" spans="1:1" x14ac:dyDescent="0.25">
      <c r="A131" s="25"/>
    </row>
    <row r="132" spans="1:1" x14ac:dyDescent="0.25">
      <c r="A132" s="25"/>
    </row>
    <row r="133" spans="1:1" x14ac:dyDescent="0.25">
      <c r="A133" s="25"/>
    </row>
    <row r="134" spans="1:1" x14ac:dyDescent="0.25">
      <c r="A134" s="25"/>
    </row>
    <row r="135" spans="1:1" ht="225" x14ac:dyDescent="0.25">
      <c r="A135" s="41" t="s">
        <v>104</v>
      </c>
    </row>
    <row r="137" spans="1:1" ht="15.75" x14ac:dyDescent="0.25">
      <c r="A137" s="30" t="s">
        <v>105</v>
      </c>
    </row>
    <row r="138" spans="1:1" ht="255" x14ac:dyDescent="0.25">
      <c r="A138" s="22" t="s">
        <v>106</v>
      </c>
    </row>
    <row r="140" spans="1:1" x14ac:dyDescent="0.25">
      <c r="A140" s="23" t="s">
        <v>107</v>
      </c>
    </row>
    <row r="141" spans="1:1" ht="345" x14ac:dyDescent="0.25">
      <c r="A141" s="22" t="s">
        <v>108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22"/>
  <sheetViews>
    <sheetView workbookViewId="0"/>
  </sheetViews>
  <sheetFormatPr defaultRowHeight="15" x14ac:dyDescent="0.25"/>
  <cols>
    <col min="2" max="2" width="33.42578125" bestFit="1" customWidth="1"/>
    <col min="3" max="3" width="18.140625" bestFit="1" customWidth="1"/>
    <col min="4" max="4" width="23.140625" bestFit="1" customWidth="1"/>
    <col min="6" max="6" width="11.28515625" bestFit="1" customWidth="1"/>
  </cols>
  <sheetData>
    <row r="3" spans="2:4" x14ac:dyDescent="0.25">
      <c r="B3" t="s">
        <v>18</v>
      </c>
      <c r="C3">
        <v>20</v>
      </c>
    </row>
    <row r="4" spans="2:4" x14ac:dyDescent="0.25">
      <c r="B4" t="s">
        <v>19</v>
      </c>
      <c r="C4">
        <v>2022</v>
      </c>
    </row>
    <row r="5" spans="2:4" ht="30" x14ac:dyDescent="0.25">
      <c r="B5" s="8" t="s">
        <v>50</v>
      </c>
      <c r="C5" s="6">
        <v>0.06</v>
      </c>
    </row>
    <row r="7" spans="2:4" x14ac:dyDescent="0.25">
      <c r="B7" t="s">
        <v>24</v>
      </c>
      <c r="C7" s="11">
        <v>3500</v>
      </c>
      <c r="D7" t="s">
        <v>45</v>
      </c>
    </row>
    <row r="8" spans="2:4" x14ac:dyDescent="0.25">
      <c r="B8" t="s">
        <v>4</v>
      </c>
      <c r="C8" s="11">
        <v>100000</v>
      </c>
    </row>
    <row r="9" spans="2:4" x14ac:dyDescent="0.25">
      <c r="B9" t="s">
        <v>12</v>
      </c>
      <c r="C9" s="11">
        <v>100000</v>
      </c>
    </row>
    <row r="11" spans="2:4" x14ac:dyDescent="0.25">
      <c r="B11" t="s">
        <v>20</v>
      </c>
      <c r="C11" s="6">
        <v>0.04</v>
      </c>
    </row>
    <row r="12" spans="2:4" x14ac:dyDescent="0.25">
      <c r="B12" t="s">
        <v>28</v>
      </c>
      <c r="C12" s="6">
        <v>0.03</v>
      </c>
    </row>
    <row r="13" spans="2:4" x14ac:dyDescent="0.25">
      <c r="B13" t="s">
        <v>29</v>
      </c>
      <c r="C13" s="9">
        <v>3.5000000000000003E-2</v>
      </c>
    </row>
    <row r="15" spans="2:4" x14ac:dyDescent="0.25">
      <c r="B15" t="s">
        <v>22</v>
      </c>
      <c r="C15" t="s">
        <v>21</v>
      </c>
    </row>
    <row r="16" spans="2:4" x14ac:dyDescent="0.25">
      <c r="B16" t="s">
        <v>26</v>
      </c>
      <c r="C16">
        <v>500</v>
      </c>
      <c r="D16" t="s">
        <v>51</v>
      </c>
    </row>
    <row r="17" spans="2:4" x14ac:dyDescent="0.25">
      <c r="B17" t="s">
        <v>27</v>
      </c>
      <c r="C17">
        <v>550</v>
      </c>
      <c r="D17" t="s">
        <v>51</v>
      </c>
    </row>
    <row r="19" spans="2:4" x14ac:dyDescent="0.25">
      <c r="B19" s="1"/>
    </row>
    <row r="20" spans="2:4" x14ac:dyDescent="0.25">
      <c r="B20" t="s">
        <v>41</v>
      </c>
      <c r="C20">
        <v>30</v>
      </c>
    </row>
    <row r="21" spans="2:4" x14ac:dyDescent="0.25">
      <c r="B21" t="s">
        <v>37</v>
      </c>
      <c r="C21" s="10" t="s">
        <v>38</v>
      </c>
    </row>
    <row r="22" spans="2:4" x14ac:dyDescent="0.25">
      <c r="B22" t="s">
        <v>40</v>
      </c>
      <c r="C22">
        <v>1000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01"/>
  <sheetViews>
    <sheetView zoomScale="97" workbookViewId="0"/>
  </sheetViews>
  <sheetFormatPr defaultRowHeight="15" x14ac:dyDescent="0.25"/>
  <cols>
    <col min="3" max="4" width="10" bestFit="1" customWidth="1"/>
    <col min="6" max="7" width="10" bestFit="1" customWidth="1"/>
  </cols>
  <sheetData>
    <row r="2" spans="2:7" x14ac:dyDescent="0.25">
      <c r="C2" s="69" t="s">
        <v>6</v>
      </c>
      <c r="D2" s="69"/>
      <c r="F2" s="1" t="s">
        <v>16</v>
      </c>
      <c r="G2" s="6">
        <v>0.1</v>
      </c>
    </row>
    <row r="4" spans="2:7" x14ac:dyDescent="0.25">
      <c r="B4" s="2"/>
      <c r="C4" s="68" t="s">
        <v>8</v>
      </c>
      <c r="D4" s="68"/>
      <c r="F4" s="70" t="s">
        <v>16</v>
      </c>
      <c r="G4" s="70"/>
    </row>
    <row r="5" spans="2:7" ht="60" x14ac:dyDescent="0.25">
      <c r="B5" s="3" t="s">
        <v>9</v>
      </c>
      <c r="C5" s="3" t="s">
        <v>70</v>
      </c>
      <c r="D5" s="3" t="s">
        <v>71</v>
      </c>
      <c r="F5" s="3" t="s">
        <v>72</v>
      </c>
      <c r="G5" s="3" t="s">
        <v>73</v>
      </c>
    </row>
    <row r="6" spans="2:7" x14ac:dyDescent="0.25">
      <c r="B6" s="2">
        <v>25</v>
      </c>
      <c r="C6" s="4">
        <v>9.3099999999999997E-4</v>
      </c>
      <c r="D6" s="4">
        <v>4.8299999999999998E-4</v>
      </c>
      <c r="F6" s="4">
        <f>MIN(C6*(1+$G$2),1)</f>
        <v>1.0241E-3</v>
      </c>
      <c r="G6" s="4">
        <f>MIN(D6*(1+$G$2),1)</f>
        <v>5.3130000000000007E-4</v>
      </c>
    </row>
    <row r="7" spans="2:7" x14ac:dyDescent="0.25">
      <c r="B7" s="2">
        <v>26</v>
      </c>
      <c r="C7" s="4">
        <v>9.3899999999999995E-4</v>
      </c>
      <c r="D7" s="4">
        <v>5.1999999999999995E-4</v>
      </c>
      <c r="E7" s="5"/>
      <c r="F7" s="4">
        <f t="shared" ref="F7:F70" si="0">MIN(C7*(1+$G$2),1)</f>
        <v>1.0329E-3</v>
      </c>
      <c r="G7" s="4">
        <f t="shared" ref="G7:G70" si="1">MIN(D7*(1+$G$2),1)</f>
        <v>5.7200000000000003E-4</v>
      </c>
    </row>
    <row r="8" spans="2:7" x14ac:dyDescent="0.25">
      <c r="B8" s="2">
        <v>27</v>
      </c>
      <c r="C8" s="4">
        <v>9.4799999999999995E-4</v>
      </c>
      <c r="D8" s="4">
        <v>5.5999999999999995E-4</v>
      </c>
      <c r="E8" s="5"/>
      <c r="F8" s="4">
        <f t="shared" si="0"/>
        <v>1.0428E-3</v>
      </c>
      <c r="G8" s="4">
        <f t="shared" si="1"/>
        <v>6.1600000000000001E-4</v>
      </c>
    </row>
    <row r="9" spans="2:7" x14ac:dyDescent="0.25">
      <c r="B9" s="2">
        <v>28</v>
      </c>
      <c r="C9" s="4">
        <v>9.5699999999999995E-4</v>
      </c>
      <c r="D9" s="4">
        <v>6.0399999999999994E-4</v>
      </c>
      <c r="E9" s="5"/>
      <c r="F9" s="4">
        <f t="shared" si="0"/>
        <v>1.0526999999999999E-3</v>
      </c>
      <c r="G9" s="4">
        <f t="shared" si="1"/>
        <v>6.6439999999999999E-4</v>
      </c>
    </row>
    <row r="10" spans="2:7" x14ac:dyDescent="0.25">
      <c r="B10" s="2">
        <v>29</v>
      </c>
      <c r="C10" s="4">
        <v>9.6599999999999995E-4</v>
      </c>
      <c r="D10" s="4">
        <v>6.5200000000000002E-4</v>
      </c>
      <c r="E10" s="5"/>
      <c r="F10" s="4">
        <f t="shared" si="0"/>
        <v>1.0626000000000001E-3</v>
      </c>
      <c r="G10" s="4">
        <f t="shared" si="1"/>
        <v>7.1720000000000009E-4</v>
      </c>
    </row>
    <row r="11" spans="2:7" x14ac:dyDescent="0.25">
      <c r="B11" s="2">
        <v>30</v>
      </c>
      <c r="C11" s="4">
        <v>9.7399999999999993E-4</v>
      </c>
      <c r="D11" s="4">
        <v>7.0399999999999998E-4</v>
      </c>
      <c r="E11" s="5"/>
      <c r="F11" s="4">
        <f t="shared" si="0"/>
        <v>1.0713999999999999E-3</v>
      </c>
      <c r="G11" s="4">
        <f t="shared" si="1"/>
        <v>7.7440000000000007E-4</v>
      </c>
    </row>
    <row r="12" spans="2:7" x14ac:dyDescent="0.25">
      <c r="B12" s="2">
        <v>31</v>
      </c>
      <c r="C12" s="4">
        <v>9.9199999999999983E-4</v>
      </c>
      <c r="D12" s="4">
        <v>7.6099999999999985E-4</v>
      </c>
      <c r="E12" s="5"/>
      <c r="F12" s="4">
        <f t="shared" si="0"/>
        <v>1.0911999999999999E-3</v>
      </c>
      <c r="G12" s="4">
        <f t="shared" si="1"/>
        <v>8.3709999999999991E-4</v>
      </c>
    </row>
    <row r="13" spans="2:7" x14ac:dyDescent="0.25">
      <c r="B13" s="2">
        <v>32</v>
      </c>
      <c r="C13" s="4">
        <v>1.0199999999999999E-3</v>
      </c>
      <c r="D13" s="4">
        <v>8.2399999999999986E-4</v>
      </c>
      <c r="E13" s="5"/>
      <c r="F13" s="4">
        <f t="shared" si="0"/>
        <v>1.122E-3</v>
      </c>
      <c r="G13" s="4">
        <f t="shared" si="1"/>
        <v>9.0639999999999991E-4</v>
      </c>
    </row>
    <row r="14" spans="2:7" x14ac:dyDescent="0.25">
      <c r="B14" s="2">
        <v>33</v>
      </c>
      <c r="C14" s="4">
        <v>1.049E-3</v>
      </c>
      <c r="D14" s="4">
        <v>8.92E-4</v>
      </c>
      <c r="E14" s="5"/>
      <c r="F14" s="4">
        <f t="shared" si="0"/>
        <v>1.1539E-3</v>
      </c>
      <c r="G14" s="4">
        <f t="shared" si="1"/>
        <v>9.812E-4</v>
      </c>
    </row>
    <row r="15" spans="2:7" x14ac:dyDescent="0.25">
      <c r="B15" s="2">
        <v>34</v>
      </c>
      <c r="C15" s="4">
        <v>1.0789999999999999E-3</v>
      </c>
      <c r="D15" s="4">
        <v>9.6699999999999998E-4</v>
      </c>
      <c r="E15" s="5"/>
      <c r="F15" s="4">
        <f t="shared" si="0"/>
        <v>1.1869000000000001E-3</v>
      </c>
      <c r="G15" s="4">
        <f t="shared" si="1"/>
        <v>1.0637000000000001E-3</v>
      </c>
    </row>
    <row r="16" spans="2:7" x14ac:dyDescent="0.25">
      <c r="B16" s="2">
        <v>35</v>
      </c>
      <c r="C16" s="4">
        <v>1.1099999999999999E-3</v>
      </c>
      <c r="D16" s="4">
        <v>1.049E-3</v>
      </c>
      <c r="E16" s="5"/>
      <c r="F16" s="4">
        <f t="shared" si="0"/>
        <v>1.2209999999999999E-3</v>
      </c>
      <c r="G16" s="4">
        <f t="shared" si="1"/>
        <v>1.1539E-3</v>
      </c>
    </row>
    <row r="17" spans="2:7" x14ac:dyDescent="0.25">
      <c r="B17" s="2">
        <v>36</v>
      </c>
      <c r="C17" s="4">
        <v>1.1409999999999999E-3</v>
      </c>
      <c r="D17" s="4">
        <v>1.1379999999999999E-3</v>
      </c>
      <c r="E17" s="5"/>
      <c r="F17" s="4">
        <f t="shared" si="0"/>
        <v>1.2550999999999999E-3</v>
      </c>
      <c r="G17" s="4">
        <f t="shared" si="1"/>
        <v>1.2518E-3</v>
      </c>
    </row>
    <row r="18" spans="2:7" x14ac:dyDescent="0.25">
      <c r="B18" s="2">
        <v>37</v>
      </c>
      <c r="C18" s="4">
        <v>1.1739999999999999E-3</v>
      </c>
      <c r="D18" s="4">
        <v>1.235E-3</v>
      </c>
      <c r="E18" s="5"/>
      <c r="F18" s="4">
        <f t="shared" si="0"/>
        <v>1.2914000000000001E-3</v>
      </c>
      <c r="G18" s="4">
        <f t="shared" si="1"/>
        <v>1.3585000000000001E-3</v>
      </c>
    </row>
    <row r="19" spans="2:7" x14ac:dyDescent="0.25">
      <c r="B19" s="2">
        <v>38</v>
      </c>
      <c r="C19" s="4">
        <v>1.207E-3</v>
      </c>
      <c r="D19" s="4">
        <v>1.3419999999999999E-3</v>
      </c>
      <c r="E19" s="5"/>
      <c r="F19" s="4">
        <f t="shared" si="0"/>
        <v>1.3277E-3</v>
      </c>
      <c r="G19" s="4">
        <f t="shared" si="1"/>
        <v>1.4762E-3</v>
      </c>
    </row>
    <row r="20" spans="2:7" x14ac:dyDescent="0.25">
      <c r="B20" s="2">
        <v>39</v>
      </c>
      <c r="C20" s="4">
        <v>1.2539999999999999E-3</v>
      </c>
      <c r="D20" s="4">
        <v>1.436E-3</v>
      </c>
      <c r="E20" s="5"/>
      <c r="F20" s="4">
        <f t="shared" si="0"/>
        <v>1.3794E-3</v>
      </c>
      <c r="G20" s="4">
        <f t="shared" si="1"/>
        <v>1.5796E-3</v>
      </c>
    </row>
    <row r="21" spans="2:7" x14ac:dyDescent="0.25">
      <c r="B21" s="2">
        <v>40</v>
      </c>
      <c r="C21" s="4">
        <v>1.294E-3</v>
      </c>
      <c r="D21" s="4">
        <v>1.5379999999999999E-3</v>
      </c>
      <c r="E21" s="5"/>
      <c r="F21" s="4">
        <f t="shared" si="0"/>
        <v>1.4234000000000002E-3</v>
      </c>
      <c r="G21" s="4">
        <f t="shared" si="1"/>
        <v>1.6918E-3</v>
      </c>
    </row>
    <row r="22" spans="2:7" x14ac:dyDescent="0.25">
      <c r="B22" s="2">
        <v>41</v>
      </c>
      <c r="C22" s="4">
        <v>1.3450000000000001E-3</v>
      </c>
      <c r="D22" s="4">
        <v>1.6459999999999999E-3</v>
      </c>
      <c r="E22" s="5"/>
      <c r="F22" s="4">
        <f t="shared" si="0"/>
        <v>1.4795000000000001E-3</v>
      </c>
      <c r="G22" s="4">
        <f t="shared" si="1"/>
        <v>1.8106000000000001E-3</v>
      </c>
    </row>
    <row r="23" spans="2:7" x14ac:dyDescent="0.25">
      <c r="B23" s="2">
        <v>42</v>
      </c>
      <c r="C23" s="4">
        <v>1.4089999999999999E-3</v>
      </c>
      <c r="D23" s="4">
        <v>1.763E-3</v>
      </c>
      <c r="E23" s="5"/>
      <c r="F23" s="4">
        <f t="shared" si="0"/>
        <v>1.5498999999999999E-3</v>
      </c>
      <c r="G23" s="4">
        <f t="shared" si="1"/>
        <v>1.9393000000000001E-3</v>
      </c>
    </row>
    <row r="24" spans="2:7" x14ac:dyDescent="0.25">
      <c r="B24" s="2">
        <v>43</v>
      </c>
      <c r="C24" s="4">
        <v>1.487E-3</v>
      </c>
      <c r="D24" s="4">
        <v>1.89E-3</v>
      </c>
      <c r="E24" s="5"/>
      <c r="F24" s="4">
        <f t="shared" si="0"/>
        <v>1.6357000000000001E-3</v>
      </c>
      <c r="G24" s="4">
        <f t="shared" si="1"/>
        <v>2.0790000000000001E-3</v>
      </c>
    </row>
    <row r="25" spans="2:7" x14ac:dyDescent="0.25">
      <c r="B25" s="2">
        <v>44</v>
      </c>
      <c r="C25" s="4">
        <v>1.5789999999999999E-3</v>
      </c>
      <c r="D25" s="4">
        <v>2.026E-3</v>
      </c>
      <c r="E25" s="5"/>
      <c r="F25" s="4">
        <f t="shared" si="0"/>
        <v>1.7369E-3</v>
      </c>
      <c r="G25" s="4">
        <f t="shared" si="1"/>
        <v>2.2286000000000003E-3</v>
      </c>
    </row>
    <row r="26" spans="2:7" x14ac:dyDescent="0.25">
      <c r="B26" s="2">
        <v>45</v>
      </c>
      <c r="C26" s="4">
        <v>1.688E-3</v>
      </c>
      <c r="D26" s="4">
        <v>2.1740000000000002E-3</v>
      </c>
      <c r="E26" s="5"/>
      <c r="F26" s="4">
        <f t="shared" si="0"/>
        <v>1.8568000000000002E-3</v>
      </c>
      <c r="G26" s="4">
        <f t="shared" si="1"/>
        <v>2.3914000000000006E-3</v>
      </c>
    </row>
    <row r="27" spans="2:7" x14ac:dyDescent="0.25">
      <c r="B27" s="2">
        <v>46</v>
      </c>
      <c r="C27" s="4">
        <v>1.8140000000000001E-3</v>
      </c>
      <c r="D27" s="4">
        <v>2.3319999999999999E-3</v>
      </c>
      <c r="E27" s="5"/>
      <c r="F27" s="4">
        <f t="shared" si="0"/>
        <v>1.9954E-3</v>
      </c>
      <c r="G27" s="4">
        <f t="shared" si="1"/>
        <v>2.5652000000000001E-3</v>
      </c>
    </row>
    <row r="28" spans="2:7" x14ac:dyDescent="0.25">
      <c r="B28" s="2">
        <v>47</v>
      </c>
      <c r="C28" s="4">
        <v>1.9610000000000001E-3</v>
      </c>
      <c r="D28" s="4">
        <v>2.5019999999999999E-3</v>
      </c>
      <c r="E28" s="5"/>
      <c r="F28" s="4">
        <f t="shared" si="0"/>
        <v>2.1571000000000003E-3</v>
      </c>
      <c r="G28" s="4">
        <f t="shared" si="1"/>
        <v>2.7522000000000002E-3</v>
      </c>
    </row>
    <row r="29" spans="2:7" x14ac:dyDescent="0.25">
      <c r="B29" s="2">
        <v>48</v>
      </c>
      <c r="C29" s="4">
        <v>2.1289999999999998E-3</v>
      </c>
      <c r="D29" s="4">
        <v>2.6839999999999998E-3</v>
      </c>
      <c r="E29" s="5"/>
      <c r="F29" s="4">
        <f t="shared" si="0"/>
        <v>2.3419000000000001E-3</v>
      </c>
      <c r="G29" s="4">
        <f t="shared" si="1"/>
        <v>2.9524E-3</v>
      </c>
    </row>
    <row r="30" spans="2:7" x14ac:dyDescent="0.25">
      <c r="B30" s="2">
        <v>49</v>
      </c>
      <c r="C30" s="4">
        <v>2.3219999999999998E-3</v>
      </c>
      <c r="D30" s="4">
        <v>2.8769999999999998E-3</v>
      </c>
      <c r="E30" s="5"/>
      <c r="F30" s="4">
        <f t="shared" si="0"/>
        <v>2.5542E-3</v>
      </c>
      <c r="G30" s="4">
        <f t="shared" si="1"/>
        <v>3.1646999999999999E-3</v>
      </c>
    </row>
    <row r="31" spans="2:7" x14ac:dyDescent="0.25">
      <c r="B31" s="2">
        <v>50</v>
      </c>
      <c r="C31" s="4">
        <v>2.542E-3</v>
      </c>
      <c r="D31" s="4">
        <v>3.0820000000000001E-3</v>
      </c>
      <c r="E31" s="5"/>
      <c r="F31" s="4">
        <f t="shared" si="0"/>
        <v>2.7962000000000004E-3</v>
      </c>
      <c r="G31" s="4">
        <f t="shared" si="1"/>
        <v>3.3902000000000003E-3</v>
      </c>
    </row>
    <row r="32" spans="2:7" x14ac:dyDescent="0.25">
      <c r="B32" s="2">
        <v>51</v>
      </c>
      <c r="C32" s="4">
        <v>2.7919999999999998E-3</v>
      </c>
      <c r="D32" s="4">
        <v>3.2989999999999998E-3</v>
      </c>
      <c r="E32" s="5"/>
      <c r="F32" s="4">
        <f t="shared" si="0"/>
        <v>3.0712000000000001E-3</v>
      </c>
      <c r="G32" s="4">
        <f t="shared" si="1"/>
        <v>3.6289E-3</v>
      </c>
    </row>
    <row r="33" spans="2:7" x14ac:dyDescent="0.25">
      <c r="B33" s="2">
        <v>52</v>
      </c>
      <c r="C33" s="4">
        <v>3.0760000000000002E-3</v>
      </c>
      <c r="D33" s="4">
        <v>3.5270000000000002E-3</v>
      </c>
      <c r="E33" s="5"/>
      <c r="F33" s="4">
        <f t="shared" si="0"/>
        <v>3.3836000000000005E-3</v>
      </c>
      <c r="G33" s="4">
        <f t="shared" si="1"/>
        <v>3.8797000000000007E-3</v>
      </c>
    </row>
    <row r="34" spans="2:7" x14ac:dyDescent="0.25">
      <c r="B34" s="2">
        <v>53</v>
      </c>
      <c r="C34" s="4">
        <v>3.3960000000000001E-3</v>
      </c>
      <c r="D34" s="4">
        <v>3.7669999999999999E-3</v>
      </c>
      <c r="E34" s="5"/>
      <c r="F34" s="4">
        <f t="shared" si="0"/>
        <v>3.7356000000000004E-3</v>
      </c>
      <c r="G34" s="4">
        <f t="shared" si="1"/>
        <v>4.1437000000000002E-3</v>
      </c>
    </row>
    <row r="35" spans="2:7" x14ac:dyDescent="0.25">
      <c r="B35" s="2">
        <v>54</v>
      </c>
      <c r="C35" s="4">
        <v>3.7559999999999998E-3</v>
      </c>
      <c r="D35" s="4">
        <v>4.0169999999999997E-3</v>
      </c>
      <c r="E35" s="5"/>
      <c r="F35" s="4">
        <f t="shared" si="0"/>
        <v>4.1316E-3</v>
      </c>
      <c r="G35" s="4">
        <f t="shared" si="1"/>
        <v>4.4187000000000002E-3</v>
      </c>
    </row>
    <row r="36" spans="2:7" x14ac:dyDescent="0.25">
      <c r="B36" s="2">
        <v>55</v>
      </c>
      <c r="C36" s="4">
        <v>4.1600000000000005E-3</v>
      </c>
      <c r="D36" s="4">
        <v>4.2760000000000003E-3</v>
      </c>
      <c r="E36" s="5"/>
      <c r="F36" s="4">
        <f t="shared" si="0"/>
        <v>4.5760000000000011E-3</v>
      </c>
      <c r="G36" s="4">
        <f t="shared" si="1"/>
        <v>4.7036000000000005E-3</v>
      </c>
    </row>
    <row r="37" spans="2:7" x14ac:dyDescent="0.25">
      <c r="B37" s="2">
        <v>56</v>
      </c>
      <c r="C37" s="4">
        <v>4.6110000000000005E-3</v>
      </c>
      <c r="D37" s="4">
        <v>4.5440000000000003E-3</v>
      </c>
      <c r="E37" s="5"/>
      <c r="F37" s="4">
        <f t="shared" si="0"/>
        <v>5.0721000000000013E-3</v>
      </c>
      <c r="G37" s="4">
        <f t="shared" si="1"/>
        <v>4.9984000000000009E-3</v>
      </c>
    </row>
    <row r="38" spans="2:7" x14ac:dyDescent="0.25">
      <c r="B38" s="2">
        <v>57</v>
      </c>
      <c r="C38" s="4">
        <v>5.1110000000000001E-3</v>
      </c>
      <c r="D38" s="4">
        <v>4.8190000000000004E-3</v>
      </c>
      <c r="E38" s="5"/>
      <c r="F38" s="4">
        <f t="shared" si="0"/>
        <v>5.6221000000000005E-3</v>
      </c>
      <c r="G38" s="4">
        <f t="shared" si="1"/>
        <v>5.3009000000000008E-3</v>
      </c>
    </row>
    <row r="39" spans="2:7" x14ac:dyDescent="0.25">
      <c r="B39" s="2">
        <v>58</v>
      </c>
      <c r="C39" s="4">
        <v>5.6640000000000006E-3</v>
      </c>
      <c r="D39" s="4">
        <v>5.1000000000000004E-3</v>
      </c>
      <c r="E39" s="5"/>
      <c r="F39" s="4">
        <f t="shared" si="0"/>
        <v>6.2304000000000014E-3</v>
      </c>
      <c r="G39" s="4">
        <f t="shared" si="1"/>
        <v>5.6100000000000013E-3</v>
      </c>
    </row>
    <row r="40" spans="2:7" x14ac:dyDescent="0.25">
      <c r="B40" s="2">
        <v>59</v>
      </c>
      <c r="C40" s="4">
        <v>6.2710000000000005E-3</v>
      </c>
      <c r="D40" s="4">
        <v>5.3830000000000006E-3</v>
      </c>
      <c r="E40" s="5"/>
      <c r="F40" s="4">
        <f t="shared" si="0"/>
        <v>6.8981000000000008E-3</v>
      </c>
      <c r="G40" s="4">
        <f t="shared" si="1"/>
        <v>5.9213000000000009E-3</v>
      </c>
    </row>
    <row r="41" spans="2:7" x14ac:dyDescent="0.25">
      <c r="B41" s="2">
        <v>60</v>
      </c>
      <c r="C41" s="4">
        <v>6.9330000000000008E-3</v>
      </c>
      <c r="D41" s="4">
        <v>5.6680000000000003E-3</v>
      </c>
      <c r="E41" s="5"/>
      <c r="F41" s="4">
        <f t="shared" si="0"/>
        <v>7.6263000000000017E-3</v>
      </c>
      <c r="G41" s="4">
        <f t="shared" si="1"/>
        <v>6.2348000000000004E-3</v>
      </c>
    </row>
    <row r="42" spans="2:7" x14ac:dyDescent="0.25">
      <c r="B42" s="2">
        <v>61</v>
      </c>
      <c r="C42" s="4">
        <v>7.6500000000000005E-3</v>
      </c>
      <c r="D42" s="4">
        <v>5.9510000000000006E-3</v>
      </c>
      <c r="E42" s="5"/>
      <c r="F42" s="4">
        <f t="shared" si="0"/>
        <v>8.4150000000000006E-3</v>
      </c>
      <c r="G42" s="4">
        <f t="shared" si="1"/>
        <v>6.5461000000000009E-3</v>
      </c>
    </row>
    <row r="43" spans="2:7" x14ac:dyDescent="0.25">
      <c r="B43" s="2">
        <v>62</v>
      </c>
      <c r="C43" s="4">
        <v>8.4189999999999994E-3</v>
      </c>
      <c r="D43" s="4">
        <v>6.2299999999999994E-3</v>
      </c>
      <c r="E43" s="5"/>
      <c r="F43" s="4">
        <f t="shared" si="0"/>
        <v>9.2609000000000007E-3</v>
      </c>
      <c r="G43" s="4">
        <f t="shared" si="1"/>
        <v>6.8529999999999997E-3</v>
      </c>
    </row>
    <row r="44" spans="2:7" x14ac:dyDescent="0.25">
      <c r="B44" s="2">
        <v>63</v>
      </c>
      <c r="C44" s="4">
        <v>9.2379999999999997E-3</v>
      </c>
      <c r="D44" s="4">
        <v>6.5009999999999998E-3</v>
      </c>
      <c r="E44" s="5"/>
      <c r="F44" s="4">
        <f t="shared" si="0"/>
        <v>1.01618E-2</v>
      </c>
      <c r="G44" s="4">
        <f t="shared" si="1"/>
        <v>7.1511000000000005E-3</v>
      </c>
    </row>
    <row r="45" spans="2:7" x14ac:dyDescent="0.25">
      <c r="B45" s="2">
        <v>64</v>
      </c>
      <c r="C45" s="4">
        <v>1.01E-2</v>
      </c>
      <c r="D45" s="4">
        <v>6.7599999999999995E-3</v>
      </c>
      <c r="E45" s="5"/>
      <c r="F45" s="4">
        <f t="shared" si="0"/>
        <v>1.111E-2</v>
      </c>
      <c r="G45" s="4">
        <f t="shared" si="1"/>
        <v>7.4359999999999999E-3</v>
      </c>
    </row>
    <row r="46" spans="2:7" x14ac:dyDescent="0.25">
      <c r="B46" s="2">
        <v>65</v>
      </c>
      <c r="C46" s="4">
        <v>1.0997999999999999E-2</v>
      </c>
      <c r="D46" s="4">
        <v>7.0069999999999993E-3</v>
      </c>
      <c r="E46" s="5"/>
      <c r="F46" s="4">
        <f t="shared" si="0"/>
        <v>1.2097800000000001E-2</v>
      </c>
      <c r="G46" s="4">
        <f t="shared" si="1"/>
        <v>7.7076999999999996E-3</v>
      </c>
    </row>
    <row r="47" spans="2:7" x14ac:dyDescent="0.25">
      <c r="B47" s="2">
        <v>66</v>
      </c>
      <c r="C47" s="4">
        <v>1.1918999999999999E-2</v>
      </c>
      <c r="D47" s="4">
        <v>7.6419999999999995E-3</v>
      </c>
      <c r="E47" s="5"/>
      <c r="F47" s="4">
        <f t="shared" si="0"/>
        <v>1.31109E-2</v>
      </c>
      <c r="G47" s="4">
        <f t="shared" si="1"/>
        <v>8.4062000000000008E-3</v>
      </c>
    </row>
    <row r="48" spans="2:7" x14ac:dyDescent="0.25">
      <c r="B48" s="2">
        <v>67</v>
      </c>
      <c r="C48" s="4">
        <v>1.2851E-2</v>
      </c>
      <c r="D48" s="4">
        <v>8.3459999999999993E-3</v>
      </c>
      <c r="E48" s="5"/>
      <c r="F48" s="4">
        <f t="shared" si="0"/>
        <v>1.41361E-2</v>
      </c>
      <c r="G48" s="4">
        <f t="shared" si="1"/>
        <v>9.1806000000000006E-3</v>
      </c>
    </row>
    <row r="49" spans="2:7" x14ac:dyDescent="0.25">
      <c r="B49" s="2">
        <v>68</v>
      </c>
      <c r="C49" s="4">
        <v>1.3776999999999999E-2</v>
      </c>
      <c r="D49" s="4">
        <v>9.1179999999999994E-3</v>
      </c>
      <c r="E49" s="5"/>
      <c r="F49" s="4">
        <f t="shared" si="0"/>
        <v>1.51547E-2</v>
      </c>
      <c r="G49" s="4">
        <f t="shared" si="1"/>
        <v>1.00298E-2</v>
      </c>
    </row>
    <row r="50" spans="2:7" x14ac:dyDescent="0.25">
      <c r="B50" s="2">
        <v>69</v>
      </c>
      <c r="C50" s="4">
        <v>1.4678E-2</v>
      </c>
      <c r="D50" s="4">
        <v>9.9600000000000001E-3</v>
      </c>
      <c r="E50" s="5"/>
      <c r="F50" s="4">
        <f t="shared" si="0"/>
        <v>1.6145800000000002E-2</v>
      </c>
      <c r="G50" s="4">
        <f t="shared" si="1"/>
        <v>1.0956E-2</v>
      </c>
    </row>
    <row r="51" spans="2:7" x14ac:dyDescent="0.25">
      <c r="B51" s="2">
        <v>70</v>
      </c>
      <c r="C51" s="4">
        <v>1.5535E-2</v>
      </c>
      <c r="D51" s="4">
        <v>1.0872E-2</v>
      </c>
      <c r="E51" s="5"/>
      <c r="F51" s="4">
        <f t="shared" si="0"/>
        <v>1.7088500000000003E-2</v>
      </c>
      <c r="G51" s="4">
        <f t="shared" si="1"/>
        <v>1.1959200000000001E-2</v>
      </c>
    </row>
    <row r="52" spans="2:7" x14ac:dyDescent="0.25">
      <c r="B52" s="2">
        <v>71</v>
      </c>
      <c r="C52" s="4">
        <v>1.7264000000000002E-2</v>
      </c>
      <c r="D52" s="4">
        <v>1.1859000000000001E-2</v>
      </c>
      <c r="E52" s="5"/>
      <c r="F52" s="4">
        <f t="shared" si="0"/>
        <v>1.8990400000000004E-2</v>
      </c>
      <c r="G52" s="4">
        <f t="shared" si="1"/>
        <v>1.3044900000000003E-2</v>
      </c>
    </row>
    <row r="53" spans="2:7" x14ac:dyDescent="0.25">
      <c r="B53" s="2">
        <v>72</v>
      </c>
      <c r="C53" s="4">
        <v>1.9172000000000002E-2</v>
      </c>
      <c r="D53" s="4">
        <v>1.2936000000000001E-2</v>
      </c>
      <c r="E53" s="5"/>
      <c r="F53" s="4">
        <f t="shared" si="0"/>
        <v>2.1089200000000002E-2</v>
      </c>
      <c r="G53" s="4">
        <f t="shared" si="1"/>
        <v>1.4229600000000002E-2</v>
      </c>
    </row>
    <row r="54" spans="2:7" x14ac:dyDescent="0.25">
      <c r="B54" s="2">
        <v>73</v>
      </c>
      <c r="C54" s="4">
        <v>2.1286000000000003E-2</v>
      </c>
      <c r="D54" s="4">
        <v>1.4127000000000001E-2</v>
      </c>
      <c r="E54" s="5"/>
      <c r="F54" s="4">
        <f t="shared" si="0"/>
        <v>2.3414600000000004E-2</v>
      </c>
      <c r="G54" s="4">
        <f t="shared" si="1"/>
        <v>1.5539700000000002E-2</v>
      </c>
    </row>
    <row r="55" spans="2:7" x14ac:dyDescent="0.25">
      <c r="B55" s="2">
        <v>74</v>
      </c>
      <c r="C55" s="4">
        <v>2.3639E-2</v>
      </c>
      <c r="D55" s="4">
        <v>1.5459000000000001E-2</v>
      </c>
      <c r="E55" s="5"/>
      <c r="F55" s="4">
        <f t="shared" si="0"/>
        <v>2.6002900000000002E-2</v>
      </c>
      <c r="G55" s="4">
        <f t="shared" si="1"/>
        <v>1.7004900000000003E-2</v>
      </c>
    </row>
    <row r="56" spans="2:7" x14ac:dyDescent="0.25">
      <c r="B56" s="2">
        <v>75</v>
      </c>
      <c r="C56" s="4">
        <v>2.6271000000000003E-2</v>
      </c>
      <c r="D56" s="4">
        <v>1.6963000000000002E-2</v>
      </c>
      <c r="E56" s="5"/>
      <c r="F56" s="4">
        <f t="shared" si="0"/>
        <v>2.8898100000000006E-2</v>
      </c>
      <c r="G56" s="4">
        <f t="shared" si="1"/>
        <v>1.8659300000000004E-2</v>
      </c>
    </row>
    <row r="57" spans="2:7" x14ac:dyDescent="0.25">
      <c r="B57" s="2">
        <v>76</v>
      </c>
      <c r="C57" s="4">
        <v>2.9228000000000001E-2</v>
      </c>
      <c r="D57" s="4">
        <v>1.8673000000000002E-2</v>
      </c>
      <c r="E57" s="5"/>
      <c r="F57" s="4">
        <f t="shared" si="0"/>
        <v>3.21508E-2</v>
      </c>
      <c r="G57" s="4">
        <f t="shared" si="1"/>
        <v>2.0540300000000004E-2</v>
      </c>
    </row>
    <row r="58" spans="2:7" x14ac:dyDescent="0.25">
      <c r="B58" s="2">
        <v>77</v>
      </c>
      <c r="C58" s="4">
        <v>3.2569000000000001E-2</v>
      </c>
      <c r="D58" s="4">
        <v>2.0627999999999997E-2</v>
      </c>
      <c r="E58" s="5"/>
      <c r="F58" s="4">
        <f t="shared" si="0"/>
        <v>3.5825900000000001E-2</v>
      </c>
      <c r="G58" s="4">
        <f t="shared" si="1"/>
        <v>2.2690799999999997E-2</v>
      </c>
    </row>
    <row r="59" spans="2:7" x14ac:dyDescent="0.25">
      <c r="B59" s="2">
        <v>78</v>
      </c>
      <c r="C59" s="4">
        <v>3.6361999999999998E-2</v>
      </c>
      <c r="D59" s="4">
        <v>2.2868999999999997E-2</v>
      </c>
      <c r="E59" s="5"/>
      <c r="F59" s="4">
        <f t="shared" si="0"/>
        <v>3.9998200000000005E-2</v>
      </c>
      <c r="G59" s="4">
        <f t="shared" si="1"/>
        <v>2.5155899999999998E-2</v>
      </c>
    </row>
    <row r="60" spans="2:7" x14ac:dyDescent="0.25">
      <c r="B60" s="2">
        <v>79</v>
      </c>
      <c r="C60" s="4">
        <v>4.0686E-2</v>
      </c>
      <c r="D60" s="4">
        <v>2.5441999999999999E-2</v>
      </c>
      <c r="E60" s="5"/>
      <c r="F60" s="4">
        <f t="shared" si="0"/>
        <v>4.4754600000000005E-2</v>
      </c>
      <c r="G60" s="4">
        <f t="shared" si="1"/>
        <v>2.7986200000000003E-2</v>
      </c>
    </row>
    <row r="61" spans="2:7" x14ac:dyDescent="0.25">
      <c r="B61" s="2">
        <v>80</v>
      </c>
      <c r="C61" s="4">
        <v>4.5626E-2</v>
      </c>
      <c r="D61" s="4">
        <v>2.8390999999999996E-2</v>
      </c>
      <c r="E61" s="5"/>
      <c r="F61" s="4">
        <f t="shared" si="0"/>
        <v>5.0188600000000007E-2</v>
      </c>
      <c r="G61" s="4">
        <f t="shared" si="1"/>
        <v>3.1230099999999997E-2</v>
      </c>
    </row>
    <row r="62" spans="2:7" x14ac:dyDescent="0.25">
      <c r="B62" s="2">
        <v>81</v>
      </c>
      <c r="C62" s="4">
        <v>5.1275999999999995E-2</v>
      </c>
      <c r="D62" s="4">
        <v>3.1759999999999997E-2</v>
      </c>
      <c r="E62" s="5"/>
      <c r="F62" s="4">
        <f t="shared" si="0"/>
        <v>5.6403599999999998E-2</v>
      </c>
      <c r="G62" s="4">
        <f t="shared" si="1"/>
        <v>3.4936000000000002E-2</v>
      </c>
    </row>
    <row r="63" spans="2:7" x14ac:dyDescent="0.25">
      <c r="B63" s="2">
        <v>82</v>
      </c>
      <c r="C63" s="4">
        <v>5.7742999999999996E-2</v>
      </c>
      <c r="D63" s="4">
        <v>3.5589999999999997E-2</v>
      </c>
      <c r="E63" s="5"/>
      <c r="F63" s="4">
        <f t="shared" si="0"/>
        <v>6.3517299999999999E-2</v>
      </c>
      <c r="G63" s="4">
        <f t="shared" si="1"/>
        <v>3.9148999999999996E-2</v>
      </c>
    </row>
    <row r="64" spans="2:7" x14ac:dyDescent="0.25">
      <c r="B64" s="2">
        <v>83</v>
      </c>
      <c r="C64" s="4">
        <v>6.5142000000000005E-2</v>
      </c>
      <c r="D64" s="4">
        <v>3.9932000000000002E-2</v>
      </c>
      <c r="E64" s="5"/>
      <c r="F64" s="4">
        <f t="shared" si="0"/>
        <v>7.1656200000000017E-2</v>
      </c>
      <c r="G64" s="4">
        <f t="shared" si="1"/>
        <v>4.3925200000000005E-2</v>
      </c>
    </row>
    <row r="65" spans="2:7" x14ac:dyDescent="0.25">
      <c r="B65" s="2">
        <v>84</v>
      </c>
      <c r="C65" s="4">
        <v>7.3602000000000001E-2</v>
      </c>
      <c r="D65" s="4">
        <v>4.4846000000000004E-2</v>
      </c>
      <c r="E65" s="5"/>
      <c r="F65" s="4">
        <f t="shared" si="0"/>
        <v>8.0962200000000012E-2</v>
      </c>
      <c r="G65" s="4">
        <f t="shared" si="1"/>
        <v>4.9330600000000009E-2</v>
      </c>
    </row>
    <row r="66" spans="2:7" x14ac:dyDescent="0.25">
      <c r="B66" s="2">
        <v>85</v>
      </c>
      <c r="C66" s="4">
        <v>8.3261000000000002E-2</v>
      </c>
      <c r="D66" s="4">
        <v>5.0408000000000001E-2</v>
      </c>
      <c r="E66" s="5"/>
      <c r="F66" s="4">
        <f t="shared" si="0"/>
        <v>9.1587100000000005E-2</v>
      </c>
      <c r="G66" s="4">
        <f t="shared" si="1"/>
        <v>5.5448800000000006E-2</v>
      </c>
    </row>
    <row r="67" spans="2:7" x14ac:dyDescent="0.25">
      <c r="B67" s="2">
        <v>86</v>
      </c>
      <c r="C67" s="4">
        <v>9.4285000000000008E-2</v>
      </c>
      <c r="D67" s="4">
        <v>5.6716000000000003E-2</v>
      </c>
      <c r="E67" s="5"/>
      <c r="F67" s="4">
        <f t="shared" si="0"/>
        <v>0.10371350000000001</v>
      </c>
      <c r="G67" s="4">
        <f t="shared" si="1"/>
        <v>6.2387600000000008E-2</v>
      </c>
    </row>
    <row r="68" spans="2:7" x14ac:dyDescent="0.25">
      <c r="B68" s="2">
        <v>87</v>
      </c>
      <c r="C68" s="4">
        <v>0.10694000000000001</v>
      </c>
      <c r="D68" s="4">
        <v>6.3900999999999999E-2</v>
      </c>
      <c r="E68" s="5"/>
      <c r="F68" s="4">
        <f t="shared" si="0"/>
        <v>0.11763400000000002</v>
      </c>
      <c r="G68" s="4">
        <f t="shared" si="1"/>
        <v>7.0291100000000009E-2</v>
      </c>
    </row>
    <row r="69" spans="2:7" x14ac:dyDescent="0.25">
      <c r="B69" s="2">
        <v>88</v>
      </c>
      <c r="C69" s="4">
        <v>0.12156800000000001</v>
      </c>
      <c r="D69" s="4">
        <v>7.2108000000000005E-2</v>
      </c>
      <c r="E69" s="5"/>
      <c r="F69" s="4">
        <f t="shared" si="0"/>
        <v>0.13372480000000003</v>
      </c>
      <c r="G69" s="4">
        <f t="shared" si="1"/>
        <v>7.9318800000000009E-2</v>
      </c>
    </row>
    <row r="70" spans="2:7" x14ac:dyDescent="0.25">
      <c r="B70" s="2">
        <v>89</v>
      </c>
      <c r="C70" s="4">
        <v>0.13859299999999999</v>
      </c>
      <c r="D70" s="4">
        <v>8.1481999999999999E-2</v>
      </c>
      <c r="E70" s="5"/>
      <c r="F70" s="4">
        <f t="shared" si="0"/>
        <v>0.15245230000000001</v>
      </c>
      <c r="G70" s="4">
        <f t="shared" si="1"/>
        <v>8.9630200000000007E-2</v>
      </c>
    </row>
    <row r="71" spans="2:7" x14ac:dyDescent="0.25">
      <c r="B71" s="2">
        <v>90</v>
      </c>
      <c r="C71" s="4">
        <v>0.158555</v>
      </c>
      <c r="D71" s="4">
        <v>9.2168E-2</v>
      </c>
      <c r="E71" s="5"/>
      <c r="F71" s="4">
        <f t="shared" ref="F71:F101" si="2">MIN(C71*(1+$G$2),1)</f>
        <v>0.17441050000000002</v>
      </c>
      <c r="G71" s="4">
        <f t="shared" ref="G71:G101" si="3">MIN(D71*(1+$G$2),1)</f>
        <v>0.10138480000000001</v>
      </c>
    </row>
    <row r="72" spans="2:7" x14ac:dyDescent="0.25">
      <c r="B72" s="2">
        <v>91</v>
      </c>
      <c r="C72" s="4">
        <v>0.180364</v>
      </c>
      <c r="D72" s="4">
        <v>0.10412100000000001</v>
      </c>
      <c r="E72" s="5"/>
      <c r="F72" s="4">
        <f t="shared" si="2"/>
        <v>0.1984004</v>
      </c>
      <c r="G72" s="4">
        <f t="shared" si="3"/>
        <v>0.11453310000000001</v>
      </c>
    </row>
    <row r="73" spans="2:7" x14ac:dyDescent="0.25">
      <c r="B73" s="2">
        <v>92</v>
      </c>
      <c r="C73" s="4">
        <v>0.20402800000000001</v>
      </c>
      <c r="D73" s="4">
        <v>0.11746200000000001</v>
      </c>
      <c r="E73" s="5"/>
      <c r="F73" s="4">
        <f t="shared" si="2"/>
        <v>0.22443080000000004</v>
      </c>
      <c r="G73" s="4">
        <f t="shared" si="3"/>
        <v>0.12920820000000002</v>
      </c>
    </row>
    <row r="74" spans="2:7" x14ac:dyDescent="0.25">
      <c r="B74" s="2">
        <v>93</v>
      </c>
      <c r="C74" s="4">
        <v>0.22952900000000001</v>
      </c>
      <c r="D74" s="4">
        <v>0.13231899999999999</v>
      </c>
      <c r="E74" s="5"/>
      <c r="F74" s="4">
        <f t="shared" si="2"/>
        <v>0.25248190000000004</v>
      </c>
      <c r="G74" s="4">
        <f t="shared" si="3"/>
        <v>0.14555090000000001</v>
      </c>
    </row>
    <row r="75" spans="2:7" x14ac:dyDescent="0.25">
      <c r="B75" s="2">
        <v>94</v>
      </c>
      <c r="C75" s="4">
        <v>0.25682499999999997</v>
      </c>
      <c r="D75" s="4">
        <v>0.14882499999999999</v>
      </c>
      <c r="E75" s="5"/>
      <c r="F75" s="4">
        <f t="shared" si="2"/>
        <v>0.28250749999999997</v>
      </c>
      <c r="G75" s="4">
        <f t="shared" si="3"/>
        <v>0.16370750000000001</v>
      </c>
    </row>
    <row r="76" spans="2:7" x14ac:dyDescent="0.25">
      <c r="B76" s="2">
        <v>95</v>
      </c>
      <c r="C76" s="4">
        <v>0.28584999999999999</v>
      </c>
      <c r="D76" s="4">
        <v>0.16711499999999999</v>
      </c>
      <c r="E76" s="5"/>
      <c r="F76" s="4">
        <f t="shared" si="2"/>
        <v>0.31443500000000002</v>
      </c>
      <c r="G76" s="4">
        <f t="shared" si="3"/>
        <v>0.1838265</v>
      </c>
    </row>
    <row r="77" spans="2:7" x14ac:dyDescent="0.25">
      <c r="B77" s="2">
        <v>96</v>
      </c>
      <c r="C77" s="4">
        <v>0.31650999999999996</v>
      </c>
      <c r="D77" s="4">
        <v>0.18732399999999999</v>
      </c>
      <c r="E77" s="5"/>
      <c r="F77" s="4">
        <f t="shared" si="2"/>
        <v>0.348161</v>
      </c>
      <c r="G77" s="4">
        <f t="shared" si="3"/>
        <v>0.2060564</v>
      </c>
    </row>
    <row r="78" spans="2:7" x14ac:dyDescent="0.25">
      <c r="B78" s="2">
        <v>97</v>
      </c>
      <c r="C78" s="4">
        <v>0.34868899999999997</v>
      </c>
      <c r="D78" s="4">
        <v>0.20958699999999997</v>
      </c>
      <c r="E78" s="5"/>
      <c r="F78" s="4">
        <f t="shared" si="2"/>
        <v>0.38355790000000001</v>
      </c>
      <c r="G78" s="4">
        <f t="shared" si="3"/>
        <v>0.23054569999999999</v>
      </c>
    </row>
    <row r="79" spans="2:7" x14ac:dyDescent="0.25">
      <c r="B79" s="2">
        <v>98</v>
      </c>
      <c r="C79" s="4">
        <v>0.38225199999999998</v>
      </c>
      <c r="D79" s="4">
        <v>0.23403199999999999</v>
      </c>
      <c r="E79" s="5"/>
      <c r="F79" s="4">
        <f t="shared" si="2"/>
        <v>0.4204772</v>
      </c>
      <c r="G79" s="4">
        <f t="shared" si="3"/>
        <v>0.25743520000000003</v>
      </c>
    </row>
    <row r="80" spans="2:7" x14ac:dyDescent="0.25">
      <c r="B80" s="2">
        <v>99</v>
      </c>
      <c r="C80" s="4">
        <v>0.41704199999999997</v>
      </c>
      <c r="D80" s="4">
        <v>0.26077999999999996</v>
      </c>
      <c r="E80" s="5"/>
      <c r="F80" s="4">
        <f t="shared" si="2"/>
        <v>0.45874619999999999</v>
      </c>
      <c r="G80" s="4">
        <f t="shared" si="3"/>
        <v>0.286858</v>
      </c>
    </row>
    <row r="81" spans="2:7" x14ac:dyDescent="0.25">
      <c r="B81" s="2">
        <v>100</v>
      </c>
      <c r="C81" s="4">
        <v>0.45289199999999996</v>
      </c>
      <c r="D81" s="4">
        <v>0.28993799999999997</v>
      </c>
      <c r="E81" s="5"/>
      <c r="F81" s="4">
        <f t="shared" si="2"/>
        <v>0.49818119999999999</v>
      </c>
      <c r="G81" s="4">
        <f t="shared" si="3"/>
        <v>0.31893179999999999</v>
      </c>
    </row>
    <row r="82" spans="2:7" x14ac:dyDescent="0.25">
      <c r="B82" s="2">
        <v>101</v>
      </c>
      <c r="C82" s="4">
        <v>0.48962</v>
      </c>
      <c r="D82" s="4">
        <v>0.32159499999999996</v>
      </c>
      <c r="E82" s="5"/>
      <c r="F82" s="4">
        <f t="shared" si="2"/>
        <v>0.53858200000000001</v>
      </c>
      <c r="G82" s="4">
        <f t="shared" si="3"/>
        <v>0.35375449999999997</v>
      </c>
    </row>
    <row r="83" spans="2:7" x14ac:dyDescent="0.25">
      <c r="B83" s="2">
        <v>102</v>
      </c>
      <c r="C83" s="4">
        <v>0.52703999999999995</v>
      </c>
      <c r="D83" s="4">
        <v>0.355819</v>
      </c>
      <c r="E83" s="5"/>
      <c r="F83" s="4">
        <f t="shared" si="2"/>
        <v>0.57974400000000004</v>
      </c>
      <c r="G83" s="4">
        <f t="shared" si="3"/>
        <v>0.39140090000000005</v>
      </c>
    </row>
    <row r="84" spans="2:7" x14ac:dyDescent="0.25">
      <c r="B84" s="2">
        <v>103</v>
      </c>
      <c r="C84" s="4">
        <v>0.56496199999999996</v>
      </c>
      <c r="D84" s="4">
        <v>0.39265099999999997</v>
      </c>
      <c r="E84" s="5"/>
      <c r="F84" s="4">
        <f t="shared" si="2"/>
        <v>0.62145819999999996</v>
      </c>
      <c r="G84" s="4">
        <f t="shared" si="3"/>
        <v>0.43191610000000003</v>
      </c>
    </row>
    <row r="85" spans="2:7" x14ac:dyDescent="0.25">
      <c r="B85" s="2">
        <v>104</v>
      </c>
      <c r="C85" s="4">
        <v>0.60319800000000001</v>
      </c>
      <c r="D85" s="4">
        <v>0.43209799999999998</v>
      </c>
      <c r="E85" s="5"/>
      <c r="F85" s="4">
        <f t="shared" si="2"/>
        <v>0.66351780000000005</v>
      </c>
      <c r="G85" s="4">
        <f t="shared" si="3"/>
        <v>0.4753078</v>
      </c>
    </row>
    <row r="86" spans="2:7" x14ac:dyDescent="0.25">
      <c r="B86" s="2">
        <v>105</v>
      </c>
      <c r="C86" s="4">
        <v>0.64156499999999994</v>
      </c>
      <c r="D86" s="4">
        <v>0.47413</v>
      </c>
      <c r="E86" s="5"/>
      <c r="F86" s="4">
        <f t="shared" si="2"/>
        <v>0.7057215</v>
      </c>
      <c r="G86" s="4">
        <f t="shared" si="3"/>
        <v>0.52154300000000009</v>
      </c>
    </row>
    <row r="87" spans="2:7" x14ac:dyDescent="0.25">
      <c r="B87" s="2">
        <v>106</v>
      </c>
      <c r="C87" s="4">
        <v>0.67988599999999999</v>
      </c>
      <c r="D87" s="4">
        <v>0.51867799999999997</v>
      </c>
      <c r="E87" s="5"/>
      <c r="F87" s="4">
        <f t="shared" si="2"/>
        <v>0.74787460000000006</v>
      </c>
      <c r="G87" s="4">
        <f t="shared" si="3"/>
        <v>0.57054579999999999</v>
      </c>
    </row>
    <row r="88" spans="2:7" x14ac:dyDescent="0.25">
      <c r="B88" s="2">
        <v>107</v>
      </c>
      <c r="C88" s="4">
        <v>0.717997</v>
      </c>
      <c r="D88" s="4">
        <v>0.56562899999999994</v>
      </c>
      <c r="E88" s="5"/>
      <c r="F88" s="4">
        <f t="shared" si="2"/>
        <v>0.78979670000000002</v>
      </c>
      <c r="G88" s="4">
        <f t="shared" si="3"/>
        <v>0.62219190000000002</v>
      </c>
    </row>
    <row r="89" spans="2:7" x14ac:dyDescent="0.25">
      <c r="B89" s="2">
        <v>108</v>
      </c>
      <c r="C89" s="4">
        <v>0.75574399999999997</v>
      </c>
      <c r="D89" s="4">
        <v>0.61482399999999993</v>
      </c>
      <c r="E89" s="5"/>
      <c r="F89" s="4">
        <f t="shared" si="2"/>
        <v>0.83131840000000001</v>
      </c>
      <c r="G89" s="4">
        <f t="shared" si="3"/>
        <v>0.67630639999999997</v>
      </c>
    </row>
    <row r="90" spans="2:7" x14ac:dyDescent="0.25">
      <c r="B90" s="2">
        <v>109</v>
      </c>
      <c r="C90" s="4">
        <v>0.79298899999999994</v>
      </c>
      <c r="D90" s="4">
        <v>0.66605899999999996</v>
      </c>
      <c r="E90" s="5"/>
      <c r="F90" s="4">
        <f t="shared" si="2"/>
        <v>0.8722879</v>
      </c>
      <c r="G90" s="4">
        <f t="shared" si="3"/>
        <v>0.73266490000000006</v>
      </c>
    </row>
    <row r="91" spans="2:7" x14ac:dyDescent="0.25">
      <c r="B91" s="2">
        <v>110</v>
      </c>
      <c r="C91" s="4">
        <v>0.82960899999999993</v>
      </c>
      <c r="D91" s="4">
        <v>0.71908799999999995</v>
      </c>
      <c r="E91" s="5"/>
      <c r="F91" s="4">
        <f t="shared" si="2"/>
        <v>0.91256990000000004</v>
      </c>
      <c r="G91" s="4">
        <f t="shared" si="3"/>
        <v>0.79099680000000006</v>
      </c>
    </row>
    <row r="92" spans="2:7" x14ac:dyDescent="0.25">
      <c r="B92" s="2">
        <v>111</v>
      </c>
      <c r="C92" s="4">
        <v>0.86549599999999993</v>
      </c>
      <c r="D92" s="4">
        <v>0.77362299999999995</v>
      </c>
      <c r="E92" s="5"/>
      <c r="F92" s="4">
        <f t="shared" si="2"/>
        <v>0.95204560000000005</v>
      </c>
      <c r="G92" s="4">
        <f t="shared" si="3"/>
        <v>0.85098530000000006</v>
      </c>
    </row>
    <row r="93" spans="2:7" x14ac:dyDescent="0.25">
      <c r="B93" s="2">
        <v>112</v>
      </c>
      <c r="C93" s="4">
        <v>0.90055600000000002</v>
      </c>
      <c r="D93" s="4">
        <v>0.82934600000000003</v>
      </c>
      <c r="E93" s="5"/>
      <c r="F93" s="4">
        <f t="shared" si="2"/>
        <v>0.99061160000000015</v>
      </c>
      <c r="G93" s="4">
        <f t="shared" si="3"/>
        <v>0.91228060000000011</v>
      </c>
    </row>
    <row r="94" spans="2:7" x14ac:dyDescent="0.25">
      <c r="B94" s="2">
        <v>113</v>
      </c>
      <c r="C94" s="4">
        <v>0.93471399999999993</v>
      </c>
      <c r="D94" s="4">
        <v>0.88590800000000003</v>
      </c>
      <c r="E94" s="5"/>
      <c r="F94" s="4">
        <f t="shared" si="2"/>
        <v>1</v>
      </c>
      <c r="G94" s="4">
        <f t="shared" si="3"/>
        <v>0.97449880000000011</v>
      </c>
    </row>
    <row r="95" spans="2:7" x14ac:dyDescent="0.25">
      <c r="B95" s="2">
        <v>114</v>
      </c>
      <c r="C95" s="4">
        <v>0.96790699999999996</v>
      </c>
      <c r="D95" s="4">
        <v>0.942944</v>
      </c>
      <c r="E95" s="5"/>
      <c r="F95" s="4">
        <f t="shared" si="2"/>
        <v>1</v>
      </c>
      <c r="G95" s="4">
        <f t="shared" si="3"/>
        <v>1</v>
      </c>
    </row>
    <row r="96" spans="2:7" x14ac:dyDescent="0.25">
      <c r="B96" s="2">
        <v>115</v>
      </c>
      <c r="C96" s="4">
        <v>1</v>
      </c>
      <c r="D96" s="4">
        <v>1</v>
      </c>
      <c r="E96" s="5"/>
      <c r="F96" s="4">
        <f t="shared" si="2"/>
        <v>1</v>
      </c>
      <c r="G96" s="4">
        <f t="shared" si="3"/>
        <v>1</v>
      </c>
    </row>
    <row r="97" spans="2:7" x14ac:dyDescent="0.25">
      <c r="B97" s="2">
        <v>116</v>
      </c>
      <c r="C97" s="4">
        <v>1</v>
      </c>
      <c r="D97" s="4">
        <v>1</v>
      </c>
      <c r="E97" s="5"/>
      <c r="F97" s="4">
        <f t="shared" si="2"/>
        <v>1</v>
      </c>
      <c r="G97" s="4">
        <f t="shared" si="3"/>
        <v>1</v>
      </c>
    </row>
    <row r="98" spans="2:7" x14ac:dyDescent="0.25">
      <c r="B98" s="2">
        <v>117</v>
      </c>
      <c r="C98" s="4">
        <v>1</v>
      </c>
      <c r="D98" s="4">
        <v>1</v>
      </c>
      <c r="E98" s="5"/>
      <c r="F98" s="4">
        <f t="shared" si="2"/>
        <v>1</v>
      </c>
      <c r="G98" s="4">
        <f t="shared" si="3"/>
        <v>1</v>
      </c>
    </row>
    <row r="99" spans="2:7" x14ac:dyDescent="0.25">
      <c r="B99" s="2">
        <v>118</v>
      </c>
      <c r="C99" s="4">
        <v>1</v>
      </c>
      <c r="D99" s="4">
        <v>1</v>
      </c>
      <c r="E99" s="5"/>
      <c r="F99" s="4">
        <f t="shared" si="2"/>
        <v>1</v>
      </c>
      <c r="G99" s="4">
        <f t="shared" si="3"/>
        <v>1</v>
      </c>
    </row>
    <row r="100" spans="2:7" x14ac:dyDescent="0.25">
      <c r="B100" s="2">
        <v>119</v>
      </c>
      <c r="C100" s="4">
        <v>1</v>
      </c>
      <c r="D100" s="4">
        <v>1</v>
      </c>
      <c r="E100" s="5"/>
      <c r="F100" s="4">
        <f t="shared" si="2"/>
        <v>1</v>
      </c>
      <c r="G100" s="4">
        <f t="shared" si="3"/>
        <v>1</v>
      </c>
    </row>
    <row r="101" spans="2:7" x14ac:dyDescent="0.25">
      <c r="B101" s="2">
        <v>120</v>
      </c>
      <c r="C101" s="4">
        <v>1</v>
      </c>
      <c r="D101" s="4">
        <v>1</v>
      </c>
      <c r="E101" s="5"/>
      <c r="F101" s="4">
        <f t="shared" si="2"/>
        <v>1</v>
      </c>
      <c r="G101" s="4">
        <f t="shared" si="3"/>
        <v>1</v>
      </c>
    </row>
  </sheetData>
  <mergeCells count="3">
    <mergeCell ref="C4:D4"/>
    <mergeCell ref="C2:D2"/>
    <mergeCell ref="F4:G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3"/>
  <sheetViews>
    <sheetView workbookViewId="0"/>
  </sheetViews>
  <sheetFormatPr defaultRowHeight="15" x14ac:dyDescent="0.25"/>
  <cols>
    <col min="2" max="2" width="30.7109375" customWidth="1"/>
  </cols>
  <sheetData>
    <row r="2" spans="1:4" x14ac:dyDescent="0.25">
      <c r="B2" s="1" t="s">
        <v>39</v>
      </c>
    </row>
    <row r="4" spans="1:4" x14ac:dyDescent="0.25">
      <c r="B4" s="1" t="s">
        <v>47</v>
      </c>
    </row>
    <row r="5" spans="1:4" x14ac:dyDescent="0.25">
      <c r="B5" t="s">
        <v>17</v>
      </c>
      <c r="C5" s="6">
        <v>1</v>
      </c>
    </row>
    <row r="6" spans="1:4" x14ac:dyDescent="0.25">
      <c r="B6" t="s">
        <v>23</v>
      </c>
      <c r="C6" s="6">
        <v>0</v>
      </c>
    </row>
    <row r="7" spans="1:4" x14ac:dyDescent="0.25">
      <c r="B7" s="8" t="s">
        <v>48</v>
      </c>
      <c r="C7" s="6">
        <f>Parameters!C11+Assumptions!C6</f>
        <v>0.04</v>
      </c>
    </row>
    <row r="8" spans="1:4" x14ac:dyDescent="0.25">
      <c r="B8" t="s">
        <v>25</v>
      </c>
      <c r="C8" s="6">
        <v>0.05</v>
      </c>
      <c r="D8" t="s">
        <v>30</v>
      </c>
    </row>
    <row r="10" spans="1:4" x14ac:dyDescent="0.25">
      <c r="B10" s="1" t="s">
        <v>46</v>
      </c>
    </row>
    <row r="12" spans="1:4" x14ac:dyDescent="0.25">
      <c r="A12">
        <v>1</v>
      </c>
      <c r="B12" t="s">
        <v>49</v>
      </c>
    </row>
    <row r="13" spans="1:4" x14ac:dyDescent="0.25">
      <c r="A13">
        <v>2</v>
      </c>
      <c r="B13" t="s">
        <v>74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5" max="6" width="9.5703125" bestFit="1" customWidth="1"/>
    <col min="7" max="7" width="22.85546875" bestFit="1" customWidth="1"/>
    <col min="8" max="8" width="18" bestFit="1" customWidth="1"/>
    <col min="9" max="10" width="25.140625" bestFit="1" customWidth="1"/>
    <col min="11" max="12" width="24.5703125" customWidth="1"/>
    <col min="13" max="14" width="15.7109375" bestFit="1" customWidth="1"/>
    <col min="15" max="15" width="23" bestFit="1" customWidth="1"/>
    <col min="16" max="16" width="14.28515625" bestFit="1" customWidth="1"/>
  </cols>
  <sheetData>
    <row r="1" spans="1:16" x14ac:dyDescent="0.25">
      <c r="A1" s="1" t="s">
        <v>9</v>
      </c>
      <c r="B1" s="10">
        <f>Parameters!C20</f>
        <v>30</v>
      </c>
    </row>
    <row r="2" spans="1:16" x14ac:dyDescent="0.25">
      <c r="A2" s="1" t="s">
        <v>37</v>
      </c>
      <c r="B2" s="10" t="str">
        <f>Parameters!C21</f>
        <v>M</v>
      </c>
    </row>
    <row r="3" spans="1:16" x14ac:dyDescent="0.25">
      <c r="A3" s="1" t="s">
        <v>40</v>
      </c>
      <c r="B3">
        <f>Parameters!C22</f>
        <v>1000</v>
      </c>
      <c r="G3" s="1" t="s">
        <v>11</v>
      </c>
      <c r="H3" s="6">
        <f>Parameters!C5</f>
        <v>0.06</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s="12">
        <f t="shared" ref="E7:E26" si="0">E6*(1-F7)</f>
        <v>0.99892860000000006</v>
      </c>
      <c r="F7" s="12">
        <f>IF($B$2="M",VLOOKUP($B$1+A6,'Mortality rates'!$B$6:$G$101,5,0),VLOOKUP($B$1+A6,'Mortality rates'!$B$6:$G$101,5,0))</f>
        <v>1.0713999999999999E-3</v>
      </c>
      <c r="G7" s="11">
        <f t="shared" ref="G7:G26" si="1">C7*F7*E6</f>
        <v>107.13999999999999</v>
      </c>
      <c r="H7" s="11">
        <f t="shared" ref="H7:H24" si="2">(G7+H8)/(1+$H$3)</f>
        <v>1605.7225432084977</v>
      </c>
      <c r="I7" s="11">
        <f t="shared" ref="I7:I26" si="3">E7*D7</f>
        <v>0</v>
      </c>
      <c r="J7" s="11">
        <f t="shared" ref="J7:J25" si="4">J8/(1+$H$3)</f>
        <v>30233.047805689155</v>
      </c>
      <c r="K7" s="11">
        <f t="shared" ref="K7:K26" si="5">B7*E6</f>
        <v>3500</v>
      </c>
      <c r="L7" s="11">
        <f t="shared" ref="L7:L24" si="6">K7+L8/(1+$H$3)</f>
        <v>42146.3603342649</v>
      </c>
      <c r="M7" s="11">
        <f>Parameters!C17</f>
        <v>550</v>
      </c>
      <c r="N7" s="5">
        <f>M7*E6</f>
        <v>550</v>
      </c>
      <c r="O7" s="11">
        <f>N7+(O8/(1+$H$3))</f>
        <v>8753.3310665474692</v>
      </c>
      <c r="P7" s="11">
        <f t="shared" ref="P7:P26" si="7">MAX((H7+J7+O7-L7),0)*$B$3</f>
        <v>0</v>
      </c>
    </row>
    <row r="8" spans="1:16" x14ac:dyDescent="0.25">
      <c r="A8">
        <v>2</v>
      </c>
      <c r="B8" s="13">
        <f>Parameters!$C$7</f>
        <v>3500</v>
      </c>
      <c r="C8" s="13">
        <f>Parameters!$C$8</f>
        <v>100000</v>
      </c>
      <c r="D8" s="13">
        <f>IF(A8=20,Parameters!$C$9,0)</f>
        <v>0</v>
      </c>
      <c r="E8" s="12">
        <f t="shared" si="0"/>
        <v>0.99783856911168012</v>
      </c>
      <c r="F8" s="12">
        <f>IF($B$2="M",VLOOKUP($B$1+A7,'Mortality rates'!$B$6:$G$101,5,0),VLOOKUP($B$1+A7,'Mortality rates'!$B$6:$G$101,5,0))</f>
        <v>1.0911999999999999E-3</v>
      </c>
      <c r="G8" s="11">
        <f t="shared" si="1"/>
        <v>109.003088832</v>
      </c>
      <c r="H8" s="11">
        <f t="shared" si="2"/>
        <v>1594.9258958010075</v>
      </c>
      <c r="I8" s="11">
        <f t="shared" si="3"/>
        <v>0</v>
      </c>
      <c r="J8" s="11">
        <f t="shared" si="4"/>
        <v>32047.030674030506</v>
      </c>
      <c r="K8" s="11">
        <f t="shared" si="5"/>
        <v>3496.2501000000002</v>
      </c>
      <c r="L8" s="11">
        <f t="shared" si="6"/>
        <v>40965.141954320796</v>
      </c>
      <c r="M8" s="11">
        <f>M7*(1+Parameters!$C$13)</f>
        <v>569.25</v>
      </c>
      <c r="N8" s="5">
        <f t="shared" ref="N8:N26" si="8">M8*E7</f>
        <v>568.64010555000004</v>
      </c>
      <c r="O8" s="11">
        <f t="shared" ref="O8:O26" si="9">N8+(O9/(1+$H$3))</f>
        <v>8695.5309305403171</v>
      </c>
      <c r="P8" s="11">
        <f t="shared" si="7"/>
        <v>1372345.5460510377</v>
      </c>
    </row>
    <row r="9" spans="1:16" x14ac:dyDescent="0.25">
      <c r="A9">
        <v>3</v>
      </c>
      <c r="B9" s="13">
        <f>Parameters!$C$7</f>
        <v>3500</v>
      </c>
      <c r="C9" s="13">
        <f>Parameters!$C$8</f>
        <v>100000</v>
      </c>
      <c r="D9" s="13">
        <f>IF(A9=20,Parameters!$C$9,0)</f>
        <v>0</v>
      </c>
      <c r="E9" s="12">
        <f t="shared" si="0"/>
        <v>0.99671899423713683</v>
      </c>
      <c r="F9" s="12">
        <f>IF($B$2="M",VLOOKUP($B$1+A8,'Mortality rates'!$B$6:$G$101,5,0),VLOOKUP($B$1+A8,'Mortality rates'!$B$6:$G$101,5,0))</f>
        <v>1.122E-3</v>
      </c>
      <c r="G9" s="11">
        <f t="shared" si="1"/>
        <v>111.9574874543305</v>
      </c>
      <c r="H9" s="11">
        <f t="shared" si="2"/>
        <v>1581.6183607170681</v>
      </c>
      <c r="I9" s="11">
        <f t="shared" si="3"/>
        <v>0</v>
      </c>
      <c r="J9" s="11">
        <f t="shared" si="4"/>
        <v>33969.852514472339</v>
      </c>
      <c r="K9" s="11">
        <f t="shared" si="5"/>
        <v>3492.4349918908806</v>
      </c>
      <c r="L9" s="11">
        <f t="shared" si="6"/>
        <v>39717.025365580048</v>
      </c>
      <c r="M9" s="11">
        <f>M8*(1+Parameters!$C$13)</f>
        <v>589.17374999999993</v>
      </c>
      <c r="N9" s="5">
        <f t="shared" si="8"/>
        <v>587.9002916581627</v>
      </c>
      <c r="O9" s="11">
        <f t="shared" si="9"/>
        <v>8614.5042744897364</v>
      </c>
      <c r="P9" s="11">
        <f t="shared" si="7"/>
        <v>4448949.7840990955</v>
      </c>
    </row>
    <row r="10" spans="1:16" x14ac:dyDescent="0.25">
      <c r="A10">
        <v>4</v>
      </c>
      <c r="B10" s="13">
        <f>Parameters!$C$7</f>
        <v>3500</v>
      </c>
      <c r="C10" s="13">
        <f>Parameters!$C$8</f>
        <v>100000</v>
      </c>
      <c r="D10" s="13">
        <f>IF(A10=20,Parameters!$C$9,0)</f>
        <v>0</v>
      </c>
      <c r="E10" s="12">
        <f t="shared" si="0"/>
        <v>0.99556888018968659</v>
      </c>
      <c r="F10" s="12">
        <f>IF($B$2="M",VLOOKUP($B$1+A9,'Mortality rates'!$B$6:$G$101,5,0),VLOOKUP($B$1+A9,'Mortality rates'!$B$6:$G$101,5,0))</f>
        <v>1.1539E-3</v>
      </c>
      <c r="G10" s="11">
        <f t="shared" si="1"/>
        <v>115.01140474502321</v>
      </c>
      <c r="H10" s="11">
        <f t="shared" si="2"/>
        <v>1564.5579749057617</v>
      </c>
      <c r="I10" s="11">
        <f t="shared" si="3"/>
        <v>0</v>
      </c>
      <c r="J10" s="11">
        <f t="shared" si="4"/>
        <v>36008.04366534068</v>
      </c>
      <c r="K10" s="11">
        <f t="shared" si="5"/>
        <v>3488.5164798299788</v>
      </c>
      <c r="L10" s="11">
        <f t="shared" si="6"/>
        <v>38398.065796110524</v>
      </c>
      <c r="M10" s="11">
        <f>M9*(1+Parameters!$C$13)</f>
        <v>609.7948312499999</v>
      </c>
      <c r="N10" s="5">
        <f t="shared" si="8"/>
        <v>607.79409089450451</v>
      </c>
      <c r="O10" s="11">
        <f t="shared" si="9"/>
        <v>8508.2002218014695</v>
      </c>
      <c r="P10" s="11">
        <f t="shared" si="7"/>
        <v>7682736.0659373878</v>
      </c>
    </row>
    <row r="11" spans="1:16" x14ac:dyDescent="0.25">
      <c r="A11">
        <v>5</v>
      </c>
      <c r="B11" s="13">
        <f>Parameters!$C$7</f>
        <v>3500</v>
      </c>
      <c r="C11" s="13">
        <f>Parameters!$C$8</f>
        <v>100000</v>
      </c>
      <c r="D11" s="13">
        <f>IF(A11=20,Parameters!$C$9,0)</f>
        <v>0</v>
      </c>
      <c r="E11" s="12">
        <f t="shared" si="0"/>
        <v>0.99438723948578944</v>
      </c>
      <c r="F11" s="12">
        <f>IF($B$2="M",VLOOKUP($B$1+A10,'Mortality rates'!$B$6:$G$101,5,0),VLOOKUP($B$1+A10,'Mortality rates'!$B$6:$G$101,5,0))</f>
        <v>1.1869000000000001E-3</v>
      </c>
      <c r="G11" s="11">
        <f t="shared" si="1"/>
        <v>118.16407038971391</v>
      </c>
      <c r="H11" s="11">
        <f t="shared" si="2"/>
        <v>1543.4200486550844</v>
      </c>
      <c r="I11" s="11">
        <f t="shared" si="3"/>
        <v>0</v>
      </c>
      <c r="J11" s="11">
        <f t="shared" si="4"/>
        <v>38168.526285261119</v>
      </c>
      <c r="K11" s="11">
        <f t="shared" si="5"/>
        <v>3484.4910806639032</v>
      </c>
      <c r="L11" s="11">
        <f t="shared" si="6"/>
        <v>37004.122275257381</v>
      </c>
      <c r="M11" s="11">
        <f>M10*(1+Parameters!$C$13)</f>
        <v>631.1376503437499</v>
      </c>
      <c r="N11" s="5">
        <f t="shared" si="8"/>
        <v>628.34100379827703</v>
      </c>
      <c r="O11" s="11">
        <f t="shared" si="9"/>
        <v>8374.4304987613832</v>
      </c>
      <c r="P11" s="11">
        <f t="shared" si="7"/>
        <v>11082254.557420209</v>
      </c>
    </row>
    <row r="12" spans="1:16" x14ac:dyDescent="0.25">
      <c r="A12">
        <v>6</v>
      </c>
      <c r="B12" s="13">
        <f>Parameters!$C$7</f>
        <v>3500</v>
      </c>
      <c r="C12" s="13">
        <f>Parameters!$C$8</f>
        <v>100000</v>
      </c>
      <c r="D12" s="13">
        <f>IF(A12=20,Parameters!$C$9,0)</f>
        <v>0</v>
      </c>
      <c r="E12" s="12">
        <f t="shared" si="0"/>
        <v>0.99317309266637721</v>
      </c>
      <c r="F12" s="12">
        <f>IF($B$2="M",VLOOKUP($B$1+A11,'Mortality rates'!$B$6:$G$101,5,0),VLOOKUP($B$1+A11,'Mortality rates'!$B$6:$G$101,5,0))</f>
        <v>1.2209999999999999E-3</v>
      </c>
      <c r="G12" s="11">
        <f t="shared" si="1"/>
        <v>121.41468194121487</v>
      </c>
      <c r="H12" s="11">
        <f t="shared" si="2"/>
        <v>1517.8611811846756</v>
      </c>
      <c r="I12" s="11">
        <f t="shared" si="3"/>
        <v>0</v>
      </c>
      <c r="J12" s="11">
        <f t="shared" si="4"/>
        <v>40458.637862376789</v>
      </c>
      <c r="K12" s="11">
        <f t="shared" si="5"/>
        <v>3480.3553382002628</v>
      </c>
      <c r="L12" s="11">
        <f t="shared" si="6"/>
        <v>35530.809066269088</v>
      </c>
      <c r="M12" s="11">
        <f>M11*(1+Parameters!$C$13)</f>
        <v>653.2274681057811</v>
      </c>
      <c r="N12" s="5">
        <f t="shared" si="8"/>
        <v>649.56105876599929</v>
      </c>
      <c r="O12" s="11">
        <f t="shared" si="9"/>
        <v>8210.8548646608924</v>
      </c>
      <c r="P12" s="11">
        <f t="shared" si="7"/>
        <v>14656544.84195327</v>
      </c>
    </row>
    <row r="13" spans="1:16" x14ac:dyDescent="0.25">
      <c r="A13">
        <v>7</v>
      </c>
      <c r="B13" s="13">
        <f>Parameters!$C$7</f>
        <v>3500</v>
      </c>
      <c r="C13" s="13">
        <f>Parameters!$C$8</f>
        <v>100000</v>
      </c>
      <c r="D13" s="13">
        <f>IF(A13=20,Parameters!$C$9,0)</f>
        <v>0</v>
      </c>
      <c r="E13" s="12">
        <f t="shared" si="0"/>
        <v>0.99192656111777167</v>
      </c>
      <c r="F13" s="12">
        <f>IF($B$2="M",VLOOKUP($B$1+A12,'Mortality rates'!$B$6:$G$101,5,0),VLOOKUP($B$1+A12,'Mortality rates'!$B$6:$G$101,5,0))</f>
        <v>1.2550999999999999E-3</v>
      </c>
      <c r="G13" s="11">
        <f t="shared" si="1"/>
        <v>124.653154860557</v>
      </c>
      <c r="H13" s="11">
        <f t="shared" si="2"/>
        <v>1487.5181701145414</v>
      </c>
      <c r="I13" s="11">
        <f t="shared" si="3"/>
        <v>0</v>
      </c>
      <c r="J13" s="11">
        <f t="shared" si="4"/>
        <v>42886.156134119396</v>
      </c>
      <c r="K13" s="11">
        <f t="shared" si="5"/>
        <v>3476.10582433232</v>
      </c>
      <c r="L13" s="11">
        <f t="shared" si="6"/>
        <v>33973.480951752957</v>
      </c>
      <c r="M13" s="11">
        <f>M12*(1+Parameters!$C$13)</f>
        <v>676.09042948948343</v>
      </c>
      <c r="N13" s="5">
        <f t="shared" si="8"/>
        <v>671.4748227782095</v>
      </c>
      <c r="O13" s="11">
        <f t="shared" si="9"/>
        <v>8014.9714342485877</v>
      </c>
      <c r="P13" s="11">
        <f t="shared" si="7"/>
        <v>18415164.78672957</v>
      </c>
    </row>
    <row r="14" spans="1:16" x14ac:dyDescent="0.25">
      <c r="A14">
        <v>8</v>
      </c>
      <c r="B14" s="13">
        <f>Parameters!$C$7</f>
        <v>3500</v>
      </c>
      <c r="C14" s="13">
        <f>Parameters!$C$8</f>
        <v>100000</v>
      </c>
      <c r="D14" s="13">
        <f>IF(A14=20,Parameters!$C$9,0)</f>
        <v>0</v>
      </c>
      <c r="E14" s="12">
        <f t="shared" si="0"/>
        <v>0.99064558715674411</v>
      </c>
      <c r="F14" s="12">
        <f>IF($B$2="M",VLOOKUP($B$1+A13,'Mortality rates'!$B$6:$G$101,5,0),VLOOKUP($B$1+A13,'Mortality rates'!$B$6:$G$101,5,0))</f>
        <v>1.2914000000000001E-3</v>
      </c>
      <c r="G14" s="11">
        <f t="shared" si="1"/>
        <v>128.09739610274906</v>
      </c>
      <c r="H14" s="11">
        <f t="shared" si="2"/>
        <v>1452.1161054608569</v>
      </c>
      <c r="I14" s="11">
        <f t="shared" si="3"/>
        <v>0</v>
      </c>
      <c r="J14" s="11">
        <f t="shared" si="4"/>
        <v>45459.325502166561</v>
      </c>
      <c r="K14" s="11">
        <f t="shared" si="5"/>
        <v>3471.742963912201</v>
      </c>
      <c r="L14" s="11">
        <f t="shared" si="6"/>
        <v>32327.217635065877</v>
      </c>
      <c r="M14" s="11">
        <f>M13*(1+Parameters!$C$13)</f>
        <v>699.75359452161524</v>
      </c>
      <c r="N14" s="5">
        <f t="shared" si="8"/>
        <v>694.10417664362535</v>
      </c>
      <c r="O14" s="11">
        <f t="shared" si="9"/>
        <v>7784.1064081586019</v>
      </c>
      <c r="P14" s="11">
        <f t="shared" si="7"/>
        <v>22368330.380720146</v>
      </c>
    </row>
    <row r="15" spans="1:16" x14ac:dyDescent="0.25">
      <c r="A15">
        <v>9</v>
      </c>
      <c r="B15" s="13">
        <f>Parameters!$C$7</f>
        <v>3500</v>
      </c>
      <c r="C15" s="13">
        <f>Parameters!$C$8</f>
        <v>100000</v>
      </c>
      <c r="D15" s="13">
        <f>IF(A15=20,Parameters!$C$9,0)</f>
        <v>0</v>
      </c>
      <c r="E15" s="12">
        <f t="shared" si="0"/>
        <v>0.98933030701067604</v>
      </c>
      <c r="F15" s="12">
        <f>IF($B$2="M",VLOOKUP($B$1+A14,'Mortality rates'!$B$6:$G$101,5,0),VLOOKUP($B$1+A14,'Mortality rates'!$B$6:$G$101,5,0))</f>
        <v>1.3277E-3</v>
      </c>
      <c r="G15" s="11">
        <f t="shared" si="1"/>
        <v>131.52801460680092</v>
      </c>
      <c r="H15" s="11">
        <f t="shared" si="2"/>
        <v>1411.1456756857592</v>
      </c>
      <c r="I15" s="11">
        <f t="shared" si="3"/>
        <v>0</v>
      </c>
      <c r="J15" s="11">
        <f t="shared" si="4"/>
        <v>48186.885032296559</v>
      </c>
      <c r="K15" s="11">
        <f t="shared" si="5"/>
        <v>3467.2595550486044</v>
      </c>
      <c r="L15" s="11">
        <f t="shared" si="6"/>
        <v>30586.803151422897</v>
      </c>
      <c r="M15" s="11">
        <f>M14*(1+Parameters!$C$13)</f>
        <v>724.24497032987176</v>
      </c>
      <c r="N15" s="5">
        <f t="shared" si="8"/>
        <v>717.47008387775452</v>
      </c>
      <c r="O15" s="11">
        <f t="shared" si="9"/>
        <v>7515.4023654058756</v>
      </c>
      <c r="P15" s="11">
        <f t="shared" si="7"/>
        <v>26526629.921965297</v>
      </c>
    </row>
    <row r="16" spans="1:16" x14ac:dyDescent="0.25">
      <c r="A16">
        <v>10</v>
      </c>
      <c r="B16" s="13">
        <f>Parameters!$C$7</f>
        <v>3500</v>
      </c>
      <c r="C16" s="13">
        <f>Parameters!$C$8</f>
        <v>100000</v>
      </c>
      <c r="D16" s="13">
        <f>IF(A16=20,Parameters!$C$9,0)</f>
        <v>0</v>
      </c>
      <c r="E16" s="12">
        <f t="shared" si="0"/>
        <v>0.98796562478518546</v>
      </c>
      <c r="F16" s="12">
        <f>IF($B$2="M",VLOOKUP($B$1+A15,'Mortality rates'!$B$6:$G$101,5,0),VLOOKUP($B$1+A15,'Mortality rates'!$B$6:$G$101,5,0))</f>
        <v>1.3794E-3</v>
      </c>
      <c r="G16" s="11">
        <f t="shared" si="1"/>
        <v>136.46822254905265</v>
      </c>
      <c r="H16" s="11">
        <f t="shared" si="2"/>
        <v>1364.2864016201038</v>
      </c>
      <c r="I16" s="11">
        <f t="shared" si="3"/>
        <v>0</v>
      </c>
      <c r="J16" s="11">
        <f t="shared" si="4"/>
        <v>51078.098134234358</v>
      </c>
      <c r="K16" s="11">
        <f t="shared" si="5"/>
        <v>3462.6560745373663</v>
      </c>
      <c r="L16" s="11">
        <f t="shared" si="6"/>
        <v>28746.716212156753</v>
      </c>
      <c r="M16" s="11">
        <f>M15*(1+Parameters!$C$13)</f>
        <v>749.59354429141717</v>
      </c>
      <c r="N16" s="5">
        <f t="shared" si="8"/>
        <v>741.59561130704856</v>
      </c>
      <c r="O16" s="11">
        <f t="shared" si="9"/>
        <v>7205.8082184198083</v>
      </c>
      <c r="P16" s="11">
        <f t="shared" si="7"/>
        <v>30901476.542117517</v>
      </c>
    </row>
    <row r="17" spans="1:16" x14ac:dyDescent="0.25">
      <c r="A17">
        <v>11</v>
      </c>
      <c r="B17" s="13">
        <f>Parameters!$C$7</f>
        <v>3500</v>
      </c>
      <c r="C17" s="13">
        <f>Parameters!$C$8</f>
        <v>100000</v>
      </c>
      <c r="D17" s="13">
        <f>IF(A17=20,Parameters!$C$9,0)</f>
        <v>0</v>
      </c>
      <c r="E17" s="12">
        <f t="shared" si="0"/>
        <v>0.98655935451486632</v>
      </c>
      <c r="F17" s="12">
        <f>IF($B$2="M",VLOOKUP($B$1+A16,'Mortality rates'!$B$6:$G$101,5,0),VLOOKUP($B$1+A16,'Mortality rates'!$B$6:$G$101,5,0))</f>
        <v>1.4234000000000002E-3</v>
      </c>
      <c r="G17" s="11">
        <f t="shared" si="1"/>
        <v>140.62702703192332</v>
      </c>
      <c r="H17" s="11">
        <f t="shared" si="2"/>
        <v>1309.6753631682575</v>
      </c>
      <c r="I17" s="11">
        <f t="shared" si="3"/>
        <v>0</v>
      </c>
      <c r="J17" s="11">
        <f t="shared" si="4"/>
        <v>54142.784022288426</v>
      </c>
      <c r="K17" s="11">
        <f t="shared" si="5"/>
        <v>3457.8796867481492</v>
      </c>
      <c r="L17" s="11">
        <f t="shared" si="6"/>
        <v>26801.103745876553</v>
      </c>
      <c r="M17" s="11">
        <f>M16*(1+Parameters!$C$13)</f>
        <v>775.82931834161673</v>
      </c>
      <c r="N17" s="5">
        <f t="shared" si="8"/>
        <v>766.49269722203996</v>
      </c>
      <c r="O17" s="11">
        <f t="shared" si="9"/>
        <v>6852.0653635395256</v>
      </c>
      <c r="P17" s="11">
        <f t="shared" si="7"/>
        <v>35503421.003119655</v>
      </c>
    </row>
    <row r="18" spans="1:16" x14ac:dyDescent="0.25">
      <c r="A18">
        <v>12</v>
      </c>
      <c r="B18" s="13">
        <f>Parameters!$C$7</f>
        <v>3500</v>
      </c>
      <c r="C18" s="13">
        <f>Parameters!$C$8</f>
        <v>100000</v>
      </c>
      <c r="D18" s="13">
        <f>IF(A18=20,Parameters!$C$9,0)</f>
        <v>0</v>
      </c>
      <c r="E18" s="12">
        <f t="shared" si="0"/>
        <v>0.98509973994986155</v>
      </c>
      <c r="F18" s="12">
        <f>IF($B$2="M",VLOOKUP($B$1+A17,'Mortality rates'!$B$6:$G$101,5,0),VLOOKUP($B$1+A17,'Mortality rates'!$B$6:$G$101,5,0))</f>
        <v>1.4795000000000001E-3</v>
      </c>
      <c r="G18" s="11">
        <f t="shared" si="1"/>
        <v>145.9614565004745</v>
      </c>
      <c r="H18" s="11">
        <f t="shared" si="2"/>
        <v>1247.6288579264296</v>
      </c>
      <c r="I18" s="11">
        <f t="shared" si="3"/>
        <v>0</v>
      </c>
      <c r="J18" s="11">
        <f t="shared" si="4"/>
        <v>57391.351063625734</v>
      </c>
      <c r="K18" s="11">
        <f t="shared" si="5"/>
        <v>3452.9577408020323</v>
      </c>
      <c r="L18" s="11">
        <f t="shared" si="6"/>
        <v>24743.817502676109</v>
      </c>
      <c r="M18" s="11">
        <f>M17*(1+Parameters!$C$13)</f>
        <v>802.98334448357321</v>
      </c>
      <c r="N18" s="5">
        <f t="shared" si="8"/>
        <v>792.1907300199025</v>
      </c>
      <c r="O18" s="11">
        <f t="shared" si="9"/>
        <v>6450.7070262965353</v>
      </c>
      <c r="P18" s="11">
        <f t="shared" si="7"/>
        <v>40345869.445172593</v>
      </c>
    </row>
    <row r="19" spans="1:16" x14ac:dyDescent="0.25">
      <c r="A19">
        <v>13</v>
      </c>
      <c r="B19" s="13">
        <f>Parameters!$C$7</f>
        <v>3500</v>
      </c>
      <c r="C19" s="13">
        <f>Parameters!$C$8</f>
        <v>100000</v>
      </c>
      <c r="D19" s="13">
        <f>IF(A19=20,Parameters!$C$9,0)</f>
        <v>0</v>
      </c>
      <c r="E19" s="12">
        <f t="shared" si="0"/>
        <v>0.98357293386291322</v>
      </c>
      <c r="F19" s="12">
        <f>IF($B$2="M",VLOOKUP($B$1+A18,'Mortality rates'!$B$6:$G$101,5,0),VLOOKUP($B$1+A18,'Mortality rates'!$B$6:$G$101,5,0))</f>
        <v>1.5498999999999999E-3</v>
      </c>
      <c r="G19" s="11">
        <f t="shared" si="1"/>
        <v>152.68060869482903</v>
      </c>
      <c r="H19" s="11">
        <f t="shared" si="2"/>
        <v>1176.5251329015409</v>
      </c>
      <c r="I19" s="11">
        <f t="shared" si="3"/>
        <v>0</v>
      </c>
      <c r="J19" s="11">
        <f t="shared" si="4"/>
        <v>60834.832127443282</v>
      </c>
      <c r="K19" s="11">
        <f t="shared" si="5"/>
        <v>3447.8490898245154</v>
      </c>
      <c r="L19" s="11">
        <f t="shared" si="6"/>
        <v>22568.311347586525</v>
      </c>
      <c r="M19" s="11">
        <f>M18*(1+Parameters!$C$13)</f>
        <v>831.08776154049815</v>
      </c>
      <c r="N19" s="5">
        <f t="shared" si="8"/>
        <v>818.70433776905725</v>
      </c>
      <c r="O19" s="11">
        <f t="shared" si="9"/>
        <v>5998.0272740532309</v>
      </c>
      <c r="P19" s="11">
        <f t="shared" si="7"/>
        <v>45441073.186811537</v>
      </c>
    </row>
    <row r="20" spans="1:16" x14ac:dyDescent="0.25">
      <c r="A20">
        <v>14</v>
      </c>
      <c r="B20" s="13">
        <f>Parameters!$C$7</f>
        <v>3500</v>
      </c>
      <c r="C20" s="13">
        <f>Parameters!$C$8</f>
        <v>100000</v>
      </c>
      <c r="D20" s="13">
        <f>IF(A20=20,Parameters!$C$9,0)</f>
        <v>0</v>
      </c>
      <c r="E20" s="12">
        <f t="shared" si="0"/>
        <v>0.98196410361499364</v>
      </c>
      <c r="F20" s="12">
        <f>IF($B$2="M",VLOOKUP($B$1+A19,'Mortality rates'!$B$6:$G$101,5,0),VLOOKUP($B$1+A19,'Mortality rates'!$B$6:$G$101,5,0))</f>
        <v>1.6357000000000001E-3</v>
      </c>
      <c r="G20" s="11">
        <f t="shared" si="1"/>
        <v>160.88302479195673</v>
      </c>
      <c r="H20" s="11">
        <f t="shared" si="2"/>
        <v>1094.4360321808044</v>
      </c>
      <c r="I20" s="11">
        <f t="shared" si="3"/>
        <v>0</v>
      </c>
      <c r="J20" s="11">
        <f t="shared" si="4"/>
        <v>64484.922055089883</v>
      </c>
      <c r="K20" s="11">
        <f t="shared" si="5"/>
        <v>3442.5052685201963</v>
      </c>
      <c r="L20" s="11">
        <f t="shared" si="6"/>
        <v>20267.689993227734</v>
      </c>
      <c r="M20" s="11">
        <f>M19*(1+Parameters!$C$13)</f>
        <v>860.17583319441553</v>
      </c>
      <c r="N20" s="5">
        <f t="shared" si="8"/>
        <v>846.04566789300713</v>
      </c>
      <c r="O20" s="11">
        <f t="shared" si="9"/>
        <v>5490.0823124612243</v>
      </c>
      <c r="P20" s="11">
        <f t="shared" si="7"/>
        <v>50801750.406504169</v>
      </c>
    </row>
    <row r="21" spans="1:16" x14ac:dyDescent="0.25">
      <c r="A21">
        <v>15</v>
      </c>
      <c r="B21" s="13">
        <f>Parameters!$C$7</f>
        <v>3500</v>
      </c>
      <c r="C21" s="13">
        <f>Parameters!$C$8</f>
        <v>100000</v>
      </c>
      <c r="D21" s="13">
        <f>IF(A21=20,Parameters!$C$9,0)</f>
        <v>0</v>
      </c>
      <c r="E21" s="12">
        <f t="shared" si="0"/>
        <v>0.98025853016342468</v>
      </c>
      <c r="F21" s="12">
        <f>IF($B$2="M",VLOOKUP($B$1+A20,'Mortality rates'!$B$6:$G$101,5,0),VLOOKUP($B$1+A20,'Mortality rates'!$B$6:$G$101,5,0))</f>
        <v>1.7369E-3</v>
      </c>
      <c r="G21" s="11">
        <f t="shared" si="1"/>
        <v>170.55734515688823</v>
      </c>
      <c r="H21" s="11">
        <f t="shared" si="2"/>
        <v>999.21916931969599</v>
      </c>
      <c r="I21" s="11">
        <f t="shared" si="3"/>
        <v>0</v>
      </c>
      <c r="J21" s="11">
        <f t="shared" si="4"/>
        <v>68354.017378395278</v>
      </c>
      <c r="K21" s="11">
        <f t="shared" si="5"/>
        <v>3436.8743626524779</v>
      </c>
      <c r="L21" s="11">
        <f t="shared" si="6"/>
        <v>17834.69580818999</v>
      </c>
      <c r="M21" s="11">
        <f>M20*(1+Parameters!$C$13)</f>
        <v>890.28198735622004</v>
      </c>
      <c r="N21" s="5">
        <f t="shared" si="8"/>
        <v>874.22495367882573</v>
      </c>
      <c r="O21" s="11">
        <f t="shared" si="9"/>
        <v>4922.6788432423109</v>
      </c>
      <c r="P21" s="11">
        <f t="shared" si="7"/>
        <v>56441219.582767285</v>
      </c>
    </row>
    <row r="22" spans="1:16" x14ac:dyDescent="0.25">
      <c r="A22">
        <v>16</v>
      </c>
      <c r="B22" s="13">
        <f>Parameters!$C$7</f>
        <v>3500</v>
      </c>
      <c r="C22" s="13">
        <f>Parameters!$C$8</f>
        <v>100000</v>
      </c>
      <c r="D22" s="13">
        <f>IF(A22=20,Parameters!$C$9,0)</f>
        <v>0</v>
      </c>
      <c r="E22" s="12">
        <f t="shared" si="0"/>
        <v>0.9784383861246172</v>
      </c>
      <c r="F22" s="12">
        <f>IF($B$2="M",VLOOKUP($B$1+A21,'Mortality rates'!$B$6:$G$101,5,0),VLOOKUP($B$1+A21,'Mortality rates'!$B$6:$G$101,5,0))</f>
        <v>1.8568000000000002E-3</v>
      </c>
      <c r="G22" s="11">
        <f t="shared" si="1"/>
        <v>182.01440388074474</v>
      </c>
      <c r="H22" s="11">
        <f t="shared" si="2"/>
        <v>888.61497432198962</v>
      </c>
      <c r="I22" s="11">
        <f t="shared" si="3"/>
        <v>0</v>
      </c>
      <c r="J22" s="11">
        <f t="shared" si="4"/>
        <v>72455.258421099003</v>
      </c>
      <c r="K22" s="11">
        <f t="shared" si="5"/>
        <v>3430.9048555719864</v>
      </c>
      <c r="L22" s="11">
        <f t="shared" si="6"/>
        <v>15261.690732269763</v>
      </c>
      <c r="M22" s="11">
        <f>M21*(1+Parameters!$C$13)</f>
        <v>921.44185691368773</v>
      </c>
      <c r="N22" s="5">
        <f t="shared" si="8"/>
        <v>903.25124028926825</v>
      </c>
      <c r="O22" s="11">
        <f t="shared" si="9"/>
        <v>4291.3611229372946</v>
      </c>
      <c r="P22" s="11">
        <f t="shared" si="7"/>
        <v>62373543.786088511</v>
      </c>
    </row>
    <row r="23" spans="1:16" x14ac:dyDescent="0.25">
      <c r="A23">
        <v>17</v>
      </c>
      <c r="B23" s="13">
        <f>Parameters!$C$7</f>
        <v>3500</v>
      </c>
      <c r="C23" s="13">
        <f>Parameters!$C$8</f>
        <v>100000</v>
      </c>
      <c r="D23" s="13">
        <f>IF(A23=20,Parameters!$C$9,0)</f>
        <v>0</v>
      </c>
      <c r="E23" s="12">
        <f t="shared" si="0"/>
        <v>0.97648601016894421</v>
      </c>
      <c r="F23" s="12">
        <f>IF($B$2="M",VLOOKUP($B$1+A22,'Mortality rates'!$B$6:$G$101,5,0),VLOOKUP($B$1+A22,'Mortality rates'!$B$6:$G$101,5,0))</f>
        <v>1.9954E-3</v>
      </c>
      <c r="G23" s="11">
        <f t="shared" si="1"/>
        <v>195.2375955673061</v>
      </c>
      <c r="H23" s="11">
        <f t="shared" si="2"/>
        <v>759.91746890056436</v>
      </c>
      <c r="I23" s="11">
        <f t="shared" si="3"/>
        <v>0</v>
      </c>
      <c r="J23" s="11">
        <f t="shared" si="4"/>
        <v>76802.573926364945</v>
      </c>
      <c r="K23" s="11">
        <f t="shared" si="5"/>
        <v>3424.5343514361603</v>
      </c>
      <c r="L23" s="11">
        <f t="shared" si="6"/>
        <v>12540.633029299643</v>
      </c>
      <c r="M23" s="11">
        <f>M22*(1+Parameters!$C$13)</f>
        <v>953.69232190566674</v>
      </c>
      <c r="N23" s="5">
        <f t="shared" si="8"/>
        <v>933.12917630481945</v>
      </c>
      <c r="O23" s="11">
        <f t="shared" si="9"/>
        <v>3591.3964756069086</v>
      </c>
      <c r="P23" s="11">
        <f t="shared" si="7"/>
        <v>68613254.841572762</v>
      </c>
    </row>
    <row r="24" spans="1:16" x14ac:dyDescent="0.25">
      <c r="A24">
        <v>18</v>
      </c>
      <c r="B24" s="13">
        <f>Parameters!$C$7</f>
        <v>3500</v>
      </c>
      <c r="C24" s="13">
        <f>Parameters!$C$8</f>
        <v>100000</v>
      </c>
      <c r="D24" s="13">
        <f>IF(A24=20,Parameters!$C$9,0)</f>
        <v>0</v>
      </c>
      <c r="E24" s="12">
        <f t="shared" si="0"/>
        <v>0.97437963219640877</v>
      </c>
      <c r="F24" s="12">
        <f>IF($B$2="M",VLOOKUP($B$1+A23,'Mortality rates'!$B$6:$G$101,5,0),VLOOKUP($B$1+A23,'Mortality rates'!$B$6:$G$101,5,0))</f>
        <v>2.1571000000000003E-3</v>
      </c>
      <c r="G24" s="11">
        <f t="shared" si="1"/>
        <v>210.637797253543</v>
      </c>
      <c r="H24" s="11">
        <f t="shared" si="2"/>
        <v>610.27492146729207</v>
      </c>
      <c r="I24" s="11">
        <f t="shared" si="3"/>
        <v>0</v>
      </c>
      <c r="J24" s="11">
        <f t="shared" si="4"/>
        <v>81410.728361946851</v>
      </c>
      <c r="K24" s="11">
        <f t="shared" si="5"/>
        <v>3417.7010355913048</v>
      </c>
      <c r="L24" s="11">
        <f t="shared" si="6"/>
        <v>9663.0645985352912</v>
      </c>
      <c r="M24" s="11">
        <f>M23*(1+Parameters!$C$13)</f>
        <v>987.07155317236504</v>
      </c>
      <c r="N24" s="5">
        <f t="shared" si="8"/>
        <v>963.86156270854565</v>
      </c>
      <c r="O24" s="11">
        <f t="shared" si="9"/>
        <v>2817.7633372602149</v>
      </c>
      <c r="P24" s="11">
        <f t="shared" si="7"/>
        <v>75175702.022139072</v>
      </c>
    </row>
    <row r="25" spans="1:16" x14ac:dyDescent="0.25">
      <c r="A25">
        <v>19</v>
      </c>
      <c r="B25" s="13">
        <f>Parameters!$C$7</f>
        <v>3500</v>
      </c>
      <c r="C25" s="13">
        <f>Parameters!$C$8</f>
        <v>100000</v>
      </c>
      <c r="D25" s="13">
        <f>IF(A25=20,Parameters!$C$9,0)</f>
        <v>0</v>
      </c>
      <c r="E25" s="12">
        <f t="shared" si="0"/>
        <v>0.97209773253576803</v>
      </c>
      <c r="F25" s="12">
        <f>IF($B$2="M",VLOOKUP($B$1+A24,'Mortality rates'!$B$6:$G$101,5,0),VLOOKUP($B$1+A24,'Mortality rates'!$B$6:$G$101,5,0))</f>
        <v>2.3419000000000001E-3</v>
      </c>
      <c r="G25" s="11">
        <f t="shared" si="1"/>
        <v>228.18996606407697</v>
      </c>
      <c r="H25" s="11">
        <f>(G25+H26)/(1+$H$3)</f>
        <v>436.2536195017866</v>
      </c>
      <c r="I25" s="11">
        <f t="shared" si="3"/>
        <v>0</v>
      </c>
      <c r="J25" s="11">
        <f t="shared" si="4"/>
        <v>86295.372063663672</v>
      </c>
      <c r="K25" s="11">
        <f t="shared" si="5"/>
        <v>3410.3287126874307</v>
      </c>
      <c r="L25" s="11">
        <f>K25+L26/(1+$H$3)</f>
        <v>6620.0853767206263</v>
      </c>
      <c r="M25" s="11">
        <f>M24*(1+Parameters!$C$13)</f>
        <v>1021.6190575333977</v>
      </c>
      <c r="N25" s="5">
        <f t="shared" si="8"/>
        <v>995.44480152423387</v>
      </c>
      <c r="O25" s="11">
        <f t="shared" si="9"/>
        <v>1965.1358810247698</v>
      </c>
      <c r="P25" s="11">
        <f t="shared" si="7"/>
        <v>82076676.187469617</v>
      </c>
    </row>
    <row r="26" spans="1:16" x14ac:dyDescent="0.25">
      <c r="A26">
        <v>20</v>
      </c>
      <c r="B26" s="13">
        <f>Parameters!$C$7</f>
        <v>3500</v>
      </c>
      <c r="C26" s="13">
        <f>Parameters!$C$8</f>
        <v>100000</v>
      </c>
      <c r="D26" s="13">
        <f>IF(A26=20,Parameters!$C$9,0)</f>
        <v>100000</v>
      </c>
      <c r="E26" s="12">
        <f t="shared" si="0"/>
        <v>0.96961480050732518</v>
      </c>
      <c r="F26" s="12">
        <f>IF($B$2="M",VLOOKUP($B$1+A25,'Mortality rates'!$B$6:$G$101,5,0),VLOOKUP($B$1+A25,'Mortality rates'!$B$6:$G$101,5,0))</f>
        <v>2.5542E-3</v>
      </c>
      <c r="G26" s="11">
        <f t="shared" si="1"/>
        <v>248.29320284428587</v>
      </c>
      <c r="H26" s="11">
        <f>(G26+H27)/(1+$H$3)</f>
        <v>234.23887060781684</v>
      </c>
      <c r="I26" s="11">
        <f t="shared" si="3"/>
        <v>96961.480050732513</v>
      </c>
      <c r="J26" s="11">
        <f t="shared" ref="J26" si="10">I26/(1+$H$3)</f>
        <v>91473.094387483492</v>
      </c>
      <c r="K26" s="11">
        <f t="shared" si="5"/>
        <v>3402.3420638751882</v>
      </c>
      <c r="L26" s="11">
        <f>K26+L27/(1+$H$3)</f>
        <v>3402.3420638751882</v>
      </c>
      <c r="M26" s="11">
        <f>M25*(1+Parameters!$C$13)</f>
        <v>1057.3757245470665</v>
      </c>
      <c r="N26" s="5">
        <f t="shared" si="8"/>
        <v>1027.8725442705681</v>
      </c>
      <c r="O26" s="11">
        <f t="shared" si="9"/>
        <v>1027.8725442705681</v>
      </c>
      <c r="P26" s="11">
        <f t="shared" si="7"/>
        <v>89332863.738486692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8" width="14.28515625" bestFit="1" customWidth="1"/>
  </cols>
  <sheetData>
    <row r="1" spans="1:18" x14ac:dyDescent="0.25">
      <c r="A1" s="1" t="s">
        <v>9</v>
      </c>
      <c r="B1" s="10">
        <v>30</v>
      </c>
    </row>
    <row r="2" spans="1:18" x14ac:dyDescent="0.25">
      <c r="A2" s="1" t="s">
        <v>37</v>
      </c>
      <c r="B2" s="10" t="s">
        <v>38</v>
      </c>
    </row>
    <row r="3" spans="1:18" x14ac:dyDescent="0.25">
      <c r="A3" s="1" t="s">
        <v>40</v>
      </c>
      <c r="B3">
        <v>1000</v>
      </c>
      <c r="G3" s="1" t="s">
        <v>11</v>
      </c>
      <c r="H3" s="6">
        <f>Assumptions!C7</f>
        <v>0.04</v>
      </c>
    </row>
    <row r="5" spans="1:18" ht="45" x14ac:dyDescent="0.25">
      <c r="A5" s="7" t="s">
        <v>2</v>
      </c>
      <c r="B5" s="7" t="s">
        <v>3</v>
      </c>
      <c r="C5" s="7" t="s">
        <v>4</v>
      </c>
      <c r="D5" s="7" t="s">
        <v>12</v>
      </c>
      <c r="E5" s="7" t="s">
        <v>7</v>
      </c>
      <c r="F5" s="7" t="s">
        <v>5</v>
      </c>
      <c r="G5" s="7" t="s">
        <v>76</v>
      </c>
      <c r="H5" s="7" t="s">
        <v>10</v>
      </c>
      <c r="I5" s="7" t="s">
        <v>77</v>
      </c>
      <c r="J5" s="7" t="s">
        <v>15</v>
      </c>
      <c r="K5" s="7" t="s">
        <v>78</v>
      </c>
      <c r="L5" s="7" t="s">
        <v>14</v>
      </c>
      <c r="M5" s="7" t="s">
        <v>79</v>
      </c>
      <c r="N5" s="7" t="s">
        <v>80</v>
      </c>
      <c r="O5" s="7" t="s">
        <v>13</v>
      </c>
      <c r="P5" s="7" t="s">
        <v>0</v>
      </c>
      <c r="Q5" s="7" t="s">
        <v>1</v>
      </c>
      <c r="R5" s="1" t="s">
        <v>32</v>
      </c>
    </row>
    <row r="6" spans="1:18" x14ac:dyDescent="0.25">
      <c r="A6">
        <v>0</v>
      </c>
      <c r="E6">
        <v>1</v>
      </c>
    </row>
    <row r="7" spans="1:18" x14ac:dyDescent="0.25">
      <c r="A7">
        <v>1</v>
      </c>
      <c r="B7" s="13">
        <f>Parameters!$C$7</f>
        <v>3500</v>
      </c>
      <c r="C7" s="13">
        <f>Parameters!$C$8</f>
        <v>100000</v>
      </c>
      <c r="D7" s="13">
        <f>IF(A7=20,Parameters!$C$9,0)</f>
        <v>0</v>
      </c>
      <c r="E7">
        <f t="shared" ref="E7:E26" si="0">E6*(1-F7)</f>
        <v>0.99902599999999997</v>
      </c>
      <c r="F7">
        <f>IF($B$2="M",VLOOKUP($B$1+A6,'Mortality rates'!$B$6:$G$101,2,0),VLOOKUP($B$1+A6,'Mortality rates'!$B$6:$G$101,3,0))</f>
        <v>9.7399999999999993E-4</v>
      </c>
      <c r="G7" s="11">
        <f t="shared" ref="G7:G26" si="1">C7*F7*E6</f>
        <v>97.399999999999991</v>
      </c>
      <c r="H7" s="11">
        <f t="shared" ref="H7:H24" si="2">(G7+H8)/(1+$H$3)</f>
        <v>1777.0088050274537</v>
      </c>
      <c r="I7" s="11">
        <f t="shared" ref="I7:I26" si="3">E7*D7</f>
        <v>0</v>
      </c>
      <c r="J7" s="11">
        <f t="shared" ref="J7:J25" si="4">J8/(1+$H$3)</f>
        <v>44376.354391418281</v>
      </c>
      <c r="K7" s="11">
        <f t="shared" ref="K7:K26" si="5">B7*E6</f>
        <v>3500</v>
      </c>
      <c r="L7" s="11">
        <f t="shared" ref="L7:L24" si="6">K7+L8/(1+$H$3)</f>
        <v>49000.439491234312</v>
      </c>
      <c r="M7" s="11">
        <f>Parameters!C16*Assumptions!$C$5</f>
        <v>500</v>
      </c>
      <c r="N7" s="5">
        <f>M7*E6</f>
        <v>500</v>
      </c>
      <c r="O7" s="11">
        <f>N7+(O8/(1+$H$3))</f>
        <v>9039.2645003962552</v>
      </c>
      <c r="P7" s="11">
        <f t="shared" ref="P7:P26" si="7">(H7+J7+O7-L7)*$B$3</f>
        <v>6192188.2056076797</v>
      </c>
      <c r="Q7" s="11">
        <f>ABS(Assumptions!$C$8*'Calculation_New Regime'!P7)</f>
        <v>309609.41028038401</v>
      </c>
      <c r="R7" s="11">
        <f>P7+Q7</f>
        <v>6501797.6158880638</v>
      </c>
    </row>
    <row r="8" spans="1:18" x14ac:dyDescent="0.25">
      <c r="A8">
        <v>2</v>
      </c>
      <c r="B8" s="13">
        <f>Parameters!$C$7</f>
        <v>3500</v>
      </c>
      <c r="C8" s="13">
        <f>Parameters!$C$8</f>
        <v>100000</v>
      </c>
      <c r="D8" s="13">
        <f>IF(A8=20,Parameters!$C$9,0)</f>
        <v>0</v>
      </c>
      <c r="E8">
        <f t="shared" si="0"/>
        <v>0.99803496620800003</v>
      </c>
      <c r="F8">
        <f>IF($B$2="M",VLOOKUP($B$1+A7,'Mortality rates'!$B$6:$G$101,2,0),VLOOKUP($B$1+A7,'Mortality rates'!$B$6:$G$101,3,0))</f>
        <v>9.9199999999999983E-4</v>
      </c>
      <c r="G8" s="11">
        <f t="shared" si="1"/>
        <v>99.103379199999992</v>
      </c>
      <c r="H8" s="11">
        <f t="shared" si="2"/>
        <v>1750.6891572285517</v>
      </c>
      <c r="I8" s="11">
        <f t="shared" si="3"/>
        <v>0</v>
      </c>
      <c r="J8" s="11">
        <f t="shared" si="4"/>
        <v>46151.408567075014</v>
      </c>
      <c r="K8" s="11">
        <f t="shared" si="5"/>
        <v>3496.5909999999999</v>
      </c>
      <c r="L8" s="11">
        <f t="shared" si="6"/>
        <v>47320.457070883684</v>
      </c>
      <c r="M8" s="11">
        <f>M7*(1+Parameters!$C$12)*Assumptions!$C$5</f>
        <v>515</v>
      </c>
      <c r="N8" s="5">
        <f t="shared" ref="N8:N26" si="8">M8*E7</f>
        <v>514.49838999999997</v>
      </c>
      <c r="O8" s="11">
        <f t="shared" ref="O8:O26" si="9">N8+(O9/(1+$H$3))</f>
        <v>8880.8350804121055</v>
      </c>
      <c r="P8" s="11">
        <f t="shared" si="7"/>
        <v>9462475.7338319905</v>
      </c>
      <c r="Q8" s="11">
        <f>ABS(Assumptions!$C$8*'Calculation_New Regime'!P8)</f>
        <v>473123.78669159953</v>
      </c>
      <c r="R8" s="11">
        <f t="shared" ref="R8:R26" si="10">P8+Q8</f>
        <v>9935599.5205235891</v>
      </c>
    </row>
    <row r="9" spans="1:18" x14ac:dyDescent="0.25">
      <c r="A9">
        <v>3</v>
      </c>
      <c r="B9" s="13">
        <f>Parameters!$C$7</f>
        <v>3500</v>
      </c>
      <c r="C9" s="13">
        <f>Parameters!$C$8</f>
        <v>100000</v>
      </c>
      <c r="D9" s="13">
        <f>IF(A9=20,Parameters!$C$9,0)</f>
        <v>0</v>
      </c>
      <c r="E9">
        <f t="shared" si="0"/>
        <v>0.99701697054246785</v>
      </c>
      <c r="F9">
        <f>IF($B$2="M",VLOOKUP($B$1+A8,'Mortality rates'!$B$6:$G$101,2,0),VLOOKUP($B$1+A8,'Mortality rates'!$B$6:$G$101,3,0))</f>
        <v>1.0199999999999999E-3</v>
      </c>
      <c r="G9" s="11">
        <f t="shared" si="1"/>
        <v>101.79956655321598</v>
      </c>
      <c r="H9" s="11">
        <f t="shared" si="2"/>
        <v>1721.6133443176939</v>
      </c>
      <c r="I9" s="11">
        <f t="shared" si="3"/>
        <v>0</v>
      </c>
      <c r="J9" s="11">
        <f t="shared" si="4"/>
        <v>47997.464909758019</v>
      </c>
      <c r="K9" s="11">
        <f t="shared" si="5"/>
        <v>3493.1223817280002</v>
      </c>
      <c r="L9" s="11">
        <f t="shared" si="6"/>
        <v>45576.820713719033</v>
      </c>
      <c r="M9" s="11">
        <f>M8*(1+Parameters!$C$12)*Assumptions!$C$5</f>
        <v>530.45000000000005</v>
      </c>
      <c r="N9" s="5">
        <f t="shared" si="8"/>
        <v>529.40764782503368</v>
      </c>
      <c r="O9" s="11">
        <f t="shared" si="9"/>
        <v>8700.9901580285896</v>
      </c>
      <c r="P9" s="11">
        <f t="shared" si="7"/>
        <v>12843247.698385268</v>
      </c>
      <c r="Q9" s="11">
        <f>ABS(Assumptions!$C$8*'Calculation_New Regime'!P9)</f>
        <v>642162.38491926342</v>
      </c>
      <c r="R9" s="11">
        <f t="shared" si="10"/>
        <v>13485410.083304532</v>
      </c>
    </row>
    <row r="10" spans="1:18" x14ac:dyDescent="0.25">
      <c r="A10">
        <v>4</v>
      </c>
      <c r="B10" s="13">
        <f>Parameters!$C$7</f>
        <v>3500</v>
      </c>
      <c r="C10" s="13">
        <f>Parameters!$C$8</f>
        <v>100000</v>
      </c>
      <c r="D10" s="13">
        <f>IF(A10=20,Parameters!$C$9,0)</f>
        <v>0</v>
      </c>
      <c r="E10">
        <f t="shared" si="0"/>
        <v>0.99597109974036879</v>
      </c>
      <c r="F10">
        <f>IF($B$2="M",VLOOKUP($B$1+A9,'Mortality rates'!$B$6:$G$101,2,0),VLOOKUP($B$1+A9,'Mortality rates'!$B$6:$G$101,3,0))</f>
        <v>1.049E-3</v>
      </c>
      <c r="G10" s="11">
        <f t="shared" si="1"/>
        <v>104.58708020990488</v>
      </c>
      <c r="H10" s="11">
        <f t="shared" si="2"/>
        <v>1688.6783115371857</v>
      </c>
      <c r="I10" s="11">
        <f t="shared" si="3"/>
        <v>0</v>
      </c>
      <c r="J10" s="11">
        <f t="shared" si="4"/>
        <v>49917.363506148344</v>
      </c>
      <c r="K10" s="11">
        <f t="shared" si="5"/>
        <v>3489.5593968986373</v>
      </c>
      <c r="L10" s="11">
        <f t="shared" si="6"/>
        <v>43767.046265270677</v>
      </c>
      <c r="M10" s="11">
        <f>M9*(1+Parameters!$C$12)*Assumptions!$C$5</f>
        <v>546.36350000000004</v>
      </c>
      <c r="N10" s="5">
        <f t="shared" si="8"/>
        <v>544.73368158497965</v>
      </c>
      <c r="O10" s="11">
        <f t="shared" si="9"/>
        <v>8498.4458106116981</v>
      </c>
      <c r="P10" s="11">
        <f t="shared" si="7"/>
        <v>16337441.363026548</v>
      </c>
      <c r="Q10" s="11">
        <f>ABS(Assumptions!$C$8*'Calculation_New Regime'!P10)</f>
        <v>816872.06815132743</v>
      </c>
      <c r="R10" s="11">
        <f t="shared" si="10"/>
        <v>17154313.431177877</v>
      </c>
    </row>
    <row r="11" spans="1:18" x14ac:dyDescent="0.25">
      <c r="A11">
        <v>5</v>
      </c>
      <c r="B11" s="13">
        <f>Parameters!$C$7</f>
        <v>3500</v>
      </c>
      <c r="C11" s="13">
        <f>Parameters!$C$8</f>
        <v>100000</v>
      </c>
      <c r="D11" s="13">
        <f>IF(A11=20,Parameters!$C$9,0)</f>
        <v>0</v>
      </c>
      <c r="E11">
        <f t="shared" si="0"/>
        <v>0.9948964469237489</v>
      </c>
      <c r="F11">
        <f>IF($B$2="M",VLOOKUP($B$1+A10,'Mortality rates'!$B$6:$G$101,2,0),VLOOKUP($B$1+A10,'Mortality rates'!$B$6:$G$101,3,0))</f>
        <v>1.0789999999999999E-3</v>
      </c>
      <c r="G11" s="11">
        <f t="shared" si="1"/>
        <v>107.46528166198578</v>
      </c>
      <c r="H11" s="11">
        <f t="shared" si="2"/>
        <v>1651.6383637887684</v>
      </c>
      <c r="I11" s="11">
        <f t="shared" si="3"/>
        <v>0</v>
      </c>
      <c r="J11" s="11">
        <f t="shared" si="4"/>
        <v>51914.058046394282</v>
      </c>
      <c r="K11" s="11">
        <f t="shared" si="5"/>
        <v>3485.8988490912907</v>
      </c>
      <c r="L11" s="11">
        <f t="shared" si="6"/>
        <v>41888.586343106923</v>
      </c>
      <c r="M11" s="11">
        <f>M10*(1+Parameters!$C$12)*Assumptions!$C$5</f>
        <v>562.75440500000002</v>
      </c>
      <c r="N11" s="5">
        <f t="shared" si="8"/>
        <v>560.48712363158688</v>
      </c>
      <c r="O11" s="11">
        <f t="shared" si="9"/>
        <v>8271.8606141877881</v>
      </c>
      <c r="P11" s="11">
        <f t="shared" si="7"/>
        <v>19948970.68126392</v>
      </c>
      <c r="Q11" s="11">
        <f>ABS(Assumptions!$C$8*'Calculation_New Regime'!P11)</f>
        <v>997448.53406319604</v>
      </c>
      <c r="R11" s="11">
        <f t="shared" si="10"/>
        <v>20946419.215327118</v>
      </c>
    </row>
    <row r="12" spans="1:18" x14ac:dyDescent="0.25">
      <c r="A12">
        <v>6</v>
      </c>
      <c r="B12" s="13">
        <f>Parameters!$C$7</f>
        <v>3500</v>
      </c>
      <c r="C12" s="13">
        <f>Parameters!$C$8</f>
        <v>100000</v>
      </c>
      <c r="D12" s="13">
        <f>IF(A12=20,Parameters!$C$9,0)</f>
        <v>0</v>
      </c>
      <c r="E12">
        <f t="shared" si="0"/>
        <v>0.99379211186766359</v>
      </c>
      <c r="F12">
        <f>IF($B$2="M",VLOOKUP($B$1+A11,'Mortality rates'!$B$6:$G$101,2,0),VLOOKUP($B$1+A11,'Mortality rates'!$B$6:$G$101,3,0))</f>
        <v>1.1099999999999999E-3</v>
      </c>
      <c r="G12" s="11">
        <f t="shared" si="1"/>
        <v>110.43350560853611</v>
      </c>
      <c r="H12" s="11">
        <f t="shared" si="2"/>
        <v>1610.2386166783335</v>
      </c>
      <c r="I12" s="11">
        <f t="shared" si="3"/>
        <v>0</v>
      </c>
      <c r="J12" s="11">
        <f t="shared" si="4"/>
        <v>53990.620368250056</v>
      </c>
      <c r="K12" s="11">
        <f t="shared" si="5"/>
        <v>3482.1375642331213</v>
      </c>
      <c r="L12" s="11">
        <f t="shared" si="6"/>
        <v>39938.794993776261</v>
      </c>
      <c r="M12" s="11">
        <f>M11*(1+Parameters!$C$12)*Assumptions!$C$5</f>
        <v>579.63703715000008</v>
      </c>
      <c r="N12" s="5">
        <f t="shared" si="8"/>
        <v>576.6788287659441</v>
      </c>
      <c r="O12" s="11">
        <f t="shared" si="9"/>
        <v>8019.8284301784497</v>
      </c>
      <c r="P12" s="11">
        <f t="shared" si="7"/>
        <v>23681892.421330579</v>
      </c>
      <c r="Q12" s="11">
        <f>ABS(Assumptions!$C$8*'Calculation_New Regime'!P12)</f>
        <v>1184094.6210665291</v>
      </c>
      <c r="R12" s="11">
        <f t="shared" si="10"/>
        <v>24865987.042397108</v>
      </c>
    </row>
    <row r="13" spans="1:18" x14ac:dyDescent="0.25">
      <c r="A13">
        <v>7</v>
      </c>
      <c r="B13" s="13">
        <f>Parameters!$C$7</f>
        <v>3500</v>
      </c>
      <c r="C13" s="13">
        <f>Parameters!$C$8</f>
        <v>100000</v>
      </c>
      <c r="D13" s="13">
        <f>IF(A13=20,Parameters!$C$9,0)</f>
        <v>0</v>
      </c>
      <c r="E13">
        <f t="shared" si="0"/>
        <v>0.99265819506802266</v>
      </c>
      <c r="F13">
        <f>IF($B$2="M",VLOOKUP($B$1+A12,'Mortality rates'!$B$6:$G$101,2,0),VLOOKUP($B$1+A12,'Mortality rates'!$B$6:$G$101,3,0))</f>
        <v>1.1409999999999999E-3</v>
      </c>
      <c r="G13" s="11">
        <f t="shared" si="1"/>
        <v>113.39167996410039</v>
      </c>
      <c r="H13" s="11">
        <f t="shared" si="2"/>
        <v>1564.2146557369308</v>
      </c>
      <c r="I13" s="11">
        <f t="shared" si="3"/>
        <v>0</v>
      </c>
      <c r="J13" s="11">
        <f t="shared" si="4"/>
        <v>56150.245182980063</v>
      </c>
      <c r="K13" s="11">
        <f t="shared" si="5"/>
        <v>3478.2723915368224</v>
      </c>
      <c r="L13" s="11">
        <f t="shared" si="6"/>
        <v>37914.923726724868</v>
      </c>
      <c r="M13" s="11">
        <f>M12*(1+Parameters!$C$12)*Assumptions!$C$5</f>
        <v>597.02614826450008</v>
      </c>
      <c r="N13" s="5">
        <f t="shared" si="8"/>
        <v>593.31987672399441</v>
      </c>
      <c r="O13" s="11">
        <f t="shared" si="9"/>
        <v>7740.8755854690062</v>
      </c>
      <c r="P13" s="11">
        <f t="shared" si="7"/>
        <v>27540411.697461139</v>
      </c>
      <c r="Q13" s="11">
        <f>ABS(Assumptions!$C$8*'Calculation_New Regime'!P13)</f>
        <v>1377020.584873057</v>
      </c>
      <c r="R13" s="11">
        <f t="shared" si="10"/>
        <v>28917432.282334197</v>
      </c>
    </row>
    <row r="14" spans="1:18" x14ac:dyDescent="0.25">
      <c r="A14">
        <v>8</v>
      </c>
      <c r="B14" s="13">
        <f>Parameters!$C$7</f>
        <v>3500</v>
      </c>
      <c r="C14" s="13">
        <f>Parameters!$C$8</f>
        <v>100000</v>
      </c>
      <c r="D14" s="13">
        <f>IF(A14=20,Parameters!$C$9,0)</f>
        <v>0</v>
      </c>
      <c r="E14">
        <f t="shared" si="0"/>
        <v>0.99149281434701275</v>
      </c>
      <c r="F14">
        <f>IF($B$2="M",VLOOKUP($B$1+A13,'Mortality rates'!$B$6:$G$101,2,0),VLOOKUP($B$1+A13,'Mortality rates'!$B$6:$G$101,3,0))</f>
        <v>1.1739999999999999E-3</v>
      </c>
      <c r="G14" s="11">
        <f t="shared" si="1"/>
        <v>116.53807210098586</v>
      </c>
      <c r="H14" s="11">
        <f t="shared" si="2"/>
        <v>1513.3915620023076</v>
      </c>
      <c r="I14" s="11">
        <f t="shared" si="3"/>
        <v>0</v>
      </c>
      <c r="J14" s="11">
        <f t="shared" si="4"/>
        <v>58396.254990299269</v>
      </c>
      <c r="K14" s="11">
        <f t="shared" si="5"/>
        <v>3474.3036827380793</v>
      </c>
      <c r="L14" s="11">
        <f t="shared" si="6"/>
        <v>35814.117388595572</v>
      </c>
      <c r="M14" s="11">
        <f>M13*(1+Parameters!$C$12)*Assumptions!$C$5</f>
        <v>614.93693271243512</v>
      </c>
      <c r="N14" s="5">
        <f t="shared" si="8"/>
        <v>610.42218570699197</v>
      </c>
      <c r="O14" s="11">
        <f t="shared" si="9"/>
        <v>7433.4579370948122</v>
      </c>
      <c r="P14" s="11">
        <f t="shared" si="7"/>
        <v>31528987.100800812</v>
      </c>
      <c r="Q14" s="11">
        <f>ABS(Assumptions!$C$8*'Calculation_New Regime'!P14)</f>
        <v>1576449.3550400408</v>
      </c>
      <c r="R14" s="11">
        <f t="shared" si="10"/>
        <v>33105436.455840852</v>
      </c>
    </row>
    <row r="15" spans="1:18" x14ac:dyDescent="0.25">
      <c r="A15">
        <v>9</v>
      </c>
      <c r="B15" s="13">
        <f>Parameters!$C$7</f>
        <v>3500</v>
      </c>
      <c r="C15" s="13">
        <f>Parameters!$C$8</f>
        <v>100000</v>
      </c>
      <c r="D15" s="13">
        <f>IF(A15=20,Parameters!$C$9,0)</f>
        <v>0</v>
      </c>
      <c r="E15">
        <f t="shared" si="0"/>
        <v>0.99029608252009593</v>
      </c>
      <c r="F15">
        <f>IF($B$2="M",VLOOKUP($B$1+A14,'Mortality rates'!$B$6:$G$101,2,0),VLOOKUP($B$1+A14,'Mortality rates'!$B$6:$G$101,3,0))</f>
        <v>1.207E-3</v>
      </c>
      <c r="G15" s="11">
        <f t="shared" si="1"/>
        <v>119.67318269168443</v>
      </c>
      <c r="H15" s="11">
        <f t="shared" si="2"/>
        <v>1457.3891523814141</v>
      </c>
      <c r="I15" s="11">
        <f t="shared" si="3"/>
        <v>0</v>
      </c>
      <c r="J15" s="11">
        <f t="shared" si="4"/>
        <v>60732.105189911243</v>
      </c>
      <c r="K15" s="11">
        <f t="shared" si="5"/>
        <v>3470.2248502145449</v>
      </c>
      <c r="L15" s="11">
        <f t="shared" si="6"/>
        <v>33633.406254091795</v>
      </c>
      <c r="M15" s="11">
        <f>M14*(1+Parameters!$C$12)*Assumptions!$C$5</f>
        <v>633.38504069380815</v>
      </c>
      <c r="N15" s="5">
        <f t="shared" si="8"/>
        <v>627.996716562801</v>
      </c>
      <c r="O15" s="11">
        <f t="shared" si="9"/>
        <v>7095.957181443333</v>
      </c>
      <c r="P15" s="11">
        <f t="shared" si="7"/>
        <v>35652045.269644193</v>
      </c>
      <c r="Q15" s="11">
        <f>ABS(Assumptions!$C$8*'Calculation_New Regime'!P15)</f>
        <v>1782602.2634822098</v>
      </c>
      <c r="R15" s="11">
        <f t="shared" si="10"/>
        <v>37434647.533126406</v>
      </c>
    </row>
    <row r="16" spans="1:18" x14ac:dyDescent="0.25">
      <c r="A16">
        <v>10</v>
      </c>
      <c r="B16" s="13">
        <f>Parameters!$C$7</f>
        <v>3500</v>
      </c>
      <c r="C16" s="13">
        <f>Parameters!$C$8</f>
        <v>100000</v>
      </c>
      <c r="D16" s="13">
        <f>IF(A16=20,Parameters!$C$9,0)</f>
        <v>0</v>
      </c>
      <c r="E16">
        <f t="shared" si="0"/>
        <v>0.9890542512326157</v>
      </c>
      <c r="F16">
        <f>IF($B$2="M",VLOOKUP($B$1+A15,'Mortality rates'!$B$6:$G$101,2,0),VLOOKUP($B$1+A15,'Mortality rates'!$B$6:$G$101,3,0))</f>
        <v>1.2539999999999999E-3</v>
      </c>
      <c r="G16" s="11">
        <f t="shared" si="1"/>
        <v>124.18312874802002</v>
      </c>
      <c r="H16" s="11">
        <f t="shared" si="2"/>
        <v>1396.0115357849863</v>
      </c>
      <c r="I16" s="11">
        <f t="shared" si="3"/>
        <v>0</v>
      </c>
      <c r="J16" s="11">
        <f t="shared" si="4"/>
        <v>63161.389397507694</v>
      </c>
      <c r="K16" s="11">
        <f t="shared" si="5"/>
        <v>3466.0362888203358</v>
      </c>
      <c r="L16" s="11">
        <f t="shared" si="6"/>
        <v>31369.708660032342</v>
      </c>
      <c r="M16" s="11">
        <f>M15*(1+Parameters!$C$12)*Assumptions!$C$5</f>
        <v>652.38659191462239</v>
      </c>
      <c r="N16" s="5">
        <f t="shared" si="8"/>
        <v>646.05588626168708</v>
      </c>
      <c r="O16" s="11">
        <f t="shared" si="9"/>
        <v>6726.6788834757535</v>
      </c>
      <c r="P16" s="11">
        <f t="shared" si="7"/>
        <v>39914371.156736106</v>
      </c>
      <c r="Q16" s="11">
        <f>ABS(Assumptions!$C$8*'Calculation_New Regime'!P16)</f>
        <v>1995718.5578368055</v>
      </c>
      <c r="R16" s="11">
        <f t="shared" si="10"/>
        <v>41910089.714572914</v>
      </c>
    </row>
    <row r="17" spans="1:18" x14ac:dyDescent="0.25">
      <c r="A17">
        <v>11</v>
      </c>
      <c r="B17" s="13">
        <f>Parameters!$C$7</f>
        <v>3500</v>
      </c>
      <c r="C17" s="13">
        <f>Parameters!$C$8</f>
        <v>100000</v>
      </c>
      <c r="D17" s="13">
        <f>IF(A17=20,Parameters!$C$9,0)</f>
        <v>0</v>
      </c>
      <c r="E17">
        <f t="shared" si="0"/>
        <v>0.98777441503152064</v>
      </c>
      <c r="F17">
        <f>IF($B$2="M",VLOOKUP($B$1+A16,'Mortality rates'!$B$6:$G$101,2,0),VLOOKUP($B$1+A16,'Mortality rates'!$B$6:$G$101,3,0))</f>
        <v>1.294E-3</v>
      </c>
      <c r="G17" s="11">
        <f t="shared" si="1"/>
        <v>127.98362010950048</v>
      </c>
      <c r="H17" s="11">
        <f t="shared" si="2"/>
        <v>1327.6688684683659</v>
      </c>
      <c r="I17" s="11">
        <f t="shared" si="3"/>
        <v>0</v>
      </c>
      <c r="J17" s="11">
        <f t="shared" si="4"/>
        <v>65687.844973408006</v>
      </c>
      <c r="K17" s="11">
        <f t="shared" si="5"/>
        <v>3461.689879314155</v>
      </c>
      <c r="L17" s="11">
        <f t="shared" si="6"/>
        <v>29019.819266060487</v>
      </c>
      <c r="M17" s="11">
        <f>M16*(1+Parameters!$C$12)*Assumptions!$C$5</f>
        <v>671.95818967206105</v>
      </c>
      <c r="N17" s="5">
        <f t="shared" si="8"/>
        <v>664.60310414572427</v>
      </c>
      <c r="O17" s="11">
        <f t="shared" si="9"/>
        <v>6323.8479171026293</v>
      </c>
      <c r="P17" s="11">
        <f t="shared" si="7"/>
        <v>44319542.492918514</v>
      </c>
      <c r="Q17" s="11">
        <f>ABS(Assumptions!$C$8*'Calculation_New Regime'!P17)</f>
        <v>2215977.1246459256</v>
      </c>
      <c r="R17" s="11">
        <f t="shared" si="10"/>
        <v>46535519.61756444</v>
      </c>
    </row>
    <row r="18" spans="1:18" x14ac:dyDescent="0.25">
      <c r="A18">
        <v>12</v>
      </c>
      <c r="B18" s="13">
        <f>Parameters!$C$7</f>
        <v>3500</v>
      </c>
      <c r="C18" s="13">
        <f>Parameters!$C$8</f>
        <v>100000</v>
      </c>
      <c r="D18" s="13">
        <f>IF(A18=20,Parameters!$C$9,0)</f>
        <v>0</v>
      </c>
      <c r="E18">
        <f t="shared" si="0"/>
        <v>0.98644585844330324</v>
      </c>
      <c r="F18">
        <f>IF($B$2="M",VLOOKUP($B$1+A17,'Mortality rates'!$B$6:$G$101,2,0),VLOOKUP($B$1+A17,'Mortality rates'!$B$6:$G$101,3,0))</f>
        <v>1.3450000000000001E-3</v>
      </c>
      <c r="G18" s="11">
        <f t="shared" si="1"/>
        <v>132.85565882173952</v>
      </c>
      <c r="H18" s="11">
        <f t="shared" si="2"/>
        <v>1252.7920030976002</v>
      </c>
      <c r="I18" s="11">
        <f t="shared" si="3"/>
        <v>0</v>
      </c>
      <c r="J18" s="11">
        <f t="shared" si="4"/>
        <v>68315.358772344334</v>
      </c>
      <c r="K18" s="11">
        <f t="shared" si="5"/>
        <v>3457.2104526103221</v>
      </c>
      <c r="L18" s="11">
        <f t="shared" si="6"/>
        <v>26580.454562216186</v>
      </c>
      <c r="M18" s="11">
        <f>M17*(1+Parameters!$C$12)*Assumptions!$C$5</f>
        <v>692.11693536222288</v>
      </c>
      <c r="N18" s="5">
        <f t="shared" si="8"/>
        <v>683.6554009608285</v>
      </c>
      <c r="O18" s="11">
        <f t="shared" si="9"/>
        <v>5885.6146054751807</v>
      </c>
      <c r="P18" s="11">
        <f t="shared" si="7"/>
        <v>48873310.818700932</v>
      </c>
      <c r="Q18" s="11">
        <f>ABS(Assumptions!$C$8*'Calculation_New Regime'!P18)</f>
        <v>2443665.5409350465</v>
      </c>
      <c r="R18" s="11">
        <f t="shared" si="10"/>
        <v>51316976.359635979</v>
      </c>
    </row>
    <row r="19" spans="1:18" x14ac:dyDescent="0.25">
      <c r="A19">
        <v>13</v>
      </c>
      <c r="B19" s="13">
        <f>Parameters!$C$7</f>
        <v>3500</v>
      </c>
      <c r="C19" s="13">
        <f>Parameters!$C$8</f>
        <v>100000</v>
      </c>
      <c r="D19" s="13">
        <f>IF(A19=20,Parameters!$C$9,0)</f>
        <v>0</v>
      </c>
      <c r="E19">
        <f t="shared" si="0"/>
        <v>0.98505595622875664</v>
      </c>
      <c r="F19">
        <f>IF($B$2="M",VLOOKUP($B$1+A18,'Mortality rates'!$B$6:$G$101,2,0),VLOOKUP($B$1+A18,'Mortality rates'!$B$6:$G$101,3,0))</f>
        <v>1.4089999999999999E-3</v>
      </c>
      <c r="G19" s="11">
        <f t="shared" si="1"/>
        <v>138.99022145466139</v>
      </c>
      <c r="H19" s="11">
        <f t="shared" si="2"/>
        <v>1170.0480243997647</v>
      </c>
      <c r="I19" s="11">
        <f t="shared" si="3"/>
        <v>0</v>
      </c>
      <c r="J19" s="11">
        <f t="shared" si="4"/>
        <v>71047.973123238116</v>
      </c>
      <c r="K19" s="11">
        <f t="shared" si="5"/>
        <v>3452.5605045515613</v>
      </c>
      <c r="L19" s="11">
        <f t="shared" si="6"/>
        <v>24048.173873990101</v>
      </c>
      <c r="M19" s="11">
        <f>M18*(1+Parameters!$C$12)*Assumptions!$C$5</f>
        <v>712.88044342308956</v>
      </c>
      <c r="N19" s="5">
        <f t="shared" si="8"/>
        <v>703.21796097993229</v>
      </c>
      <c r="O19" s="11">
        <f t="shared" si="9"/>
        <v>5410.0375726949269</v>
      </c>
      <c r="P19" s="11">
        <f t="shared" si="7"/>
        <v>53579884.846342698</v>
      </c>
      <c r="Q19" s="11">
        <f>ABS(Assumptions!$C$8*'Calculation_New Regime'!P19)</f>
        <v>2678994.242317135</v>
      </c>
      <c r="R19" s="11">
        <f t="shared" si="10"/>
        <v>56258879.08865983</v>
      </c>
    </row>
    <row r="20" spans="1:18" x14ac:dyDescent="0.25">
      <c r="A20">
        <v>14</v>
      </c>
      <c r="B20" s="13">
        <f>Parameters!$C$7</f>
        <v>3500</v>
      </c>
      <c r="C20" s="13">
        <f>Parameters!$C$8</f>
        <v>100000</v>
      </c>
      <c r="D20" s="13">
        <f>IF(A20=20,Parameters!$C$9,0)</f>
        <v>0</v>
      </c>
      <c r="E20">
        <f t="shared" si="0"/>
        <v>0.98359117802184448</v>
      </c>
      <c r="F20">
        <f>IF($B$2="M",VLOOKUP($B$1+A19,'Mortality rates'!$B$6:$G$101,2,0),VLOOKUP($B$1+A19,'Mortality rates'!$B$6:$G$101,3,0))</f>
        <v>1.487E-3</v>
      </c>
      <c r="G20" s="11">
        <f t="shared" si="1"/>
        <v>146.47782069121612</v>
      </c>
      <c r="H20" s="11">
        <f t="shared" si="2"/>
        <v>1077.859723921094</v>
      </c>
      <c r="I20" s="11">
        <f t="shared" si="3"/>
        <v>0</v>
      </c>
      <c r="J20" s="11">
        <f t="shared" si="4"/>
        <v>73889.892048167647</v>
      </c>
      <c r="K20" s="11">
        <f t="shared" si="5"/>
        <v>3447.6958468006483</v>
      </c>
      <c r="L20" s="11">
        <f t="shared" si="6"/>
        <v>21419.43790421608</v>
      </c>
      <c r="M20" s="11">
        <f>M19*(1+Parameters!$C$12)*Assumptions!$C$5</f>
        <v>734.2668567257823</v>
      </c>
      <c r="N20" s="5">
        <f t="shared" si="8"/>
        <v>723.29394067909891</v>
      </c>
      <c r="O20" s="11">
        <f t="shared" si="9"/>
        <v>4895.0923961835942</v>
      </c>
      <c r="P20" s="11">
        <f t="shared" si="7"/>
        <v>58443406.264056258</v>
      </c>
      <c r="Q20" s="11">
        <f>ABS(Assumptions!$C$8*'Calculation_New Regime'!P20)</f>
        <v>2922170.3132028133</v>
      </c>
      <c r="R20" s="11">
        <f t="shared" si="10"/>
        <v>61365576.577259071</v>
      </c>
    </row>
    <row r="21" spans="1:18" x14ac:dyDescent="0.25">
      <c r="A21">
        <v>15</v>
      </c>
      <c r="B21" s="13">
        <f>Parameters!$C$7</f>
        <v>3500</v>
      </c>
      <c r="C21" s="13">
        <f>Parameters!$C$8</f>
        <v>100000</v>
      </c>
      <c r="D21" s="13">
        <f>IF(A21=20,Parameters!$C$9,0)</f>
        <v>0</v>
      </c>
      <c r="E21">
        <f t="shared" si="0"/>
        <v>0.98203808755174804</v>
      </c>
      <c r="F21">
        <f>IF($B$2="M",VLOOKUP($B$1+A20,'Mortality rates'!$B$6:$G$101,2,0),VLOOKUP($B$1+A20,'Mortality rates'!$B$6:$G$101,3,0))</f>
        <v>1.5789999999999999E-3</v>
      </c>
      <c r="G21" s="11">
        <f t="shared" si="1"/>
        <v>155.30904700964922</v>
      </c>
      <c r="H21" s="11">
        <f t="shared" si="2"/>
        <v>974.49629218672169</v>
      </c>
      <c r="I21" s="11">
        <f t="shared" si="3"/>
        <v>0</v>
      </c>
      <c r="J21" s="11">
        <f t="shared" si="4"/>
        <v>76845.487730094348</v>
      </c>
      <c r="K21" s="11">
        <f t="shared" si="5"/>
        <v>3442.5691230764555</v>
      </c>
      <c r="L21" s="11">
        <f t="shared" si="6"/>
        <v>18690.611739712051</v>
      </c>
      <c r="M21" s="11">
        <f>M20*(1+Parameters!$C$12)*Assumptions!$C$5</f>
        <v>756.29486242755581</v>
      </c>
      <c r="N21" s="5">
        <f t="shared" si="8"/>
        <v>743.88495466698839</v>
      </c>
      <c r="O21" s="11">
        <f t="shared" si="9"/>
        <v>4338.6703937246748</v>
      </c>
      <c r="P21" s="11">
        <f t="shared" si="7"/>
        <v>63468042.676293701</v>
      </c>
      <c r="Q21" s="11">
        <f>ABS(Assumptions!$C$8*'Calculation_New Regime'!P21)</f>
        <v>3173402.133814685</v>
      </c>
      <c r="R21" s="11">
        <f t="shared" si="10"/>
        <v>66641444.810108386</v>
      </c>
    </row>
    <row r="22" spans="1:18" x14ac:dyDescent="0.25">
      <c r="A22">
        <v>16</v>
      </c>
      <c r="B22" s="13">
        <f>Parameters!$C$7</f>
        <v>3500</v>
      </c>
      <c r="C22" s="13">
        <f>Parameters!$C$8</f>
        <v>100000</v>
      </c>
      <c r="D22" s="13">
        <f>IF(A22=20,Parameters!$C$9,0)</f>
        <v>0</v>
      </c>
      <c r="E22">
        <f t="shared" si="0"/>
        <v>0.98038040725996067</v>
      </c>
      <c r="F22">
        <f>IF($B$2="M",VLOOKUP($B$1+A21,'Mortality rates'!$B$6:$G$101,2,0),VLOOKUP($B$1+A21,'Mortality rates'!$B$6:$G$101,3,0))</f>
        <v>1.688E-3</v>
      </c>
      <c r="G22" s="11">
        <f t="shared" si="1"/>
        <v>165.76802917873508</v>
      </c>
      <c r="H22" s="11">
        <f t="shared" si="2"/>
        <v>858.16709686454135</v>
      </c>
      <c r="I22" s="11">
        <f t="shared" si="3"/>
        <v>0</v>
      </c>
      <c r="J22" s="11">
        <f t="shared" si="4"/>
        <v>79919.307239298127</v>
      </c>
      <c r="K22" s="11">
        <f t="shared" si="5"/>
        <v>3437.1333064311179</v>
      </c>
      <c r="L22" s="11">
        <f t="shared" si="6"/>
        <v>15857.964321301019</v>
      </c>
      <c r="M22" s="11">
        <f>M21*(1+Parameters!$C$12)*Assumptions!$C$5</f>
        <v>778.98370830038255</v>
      </c>
      <c r="N22" s="5">
        <f t="shared" si="8"/>
        <v>764.99167113327644</v>
      </c>
      <c r="O22" s="11">
        <f t="shared" si="9"/>
        <v>3738.576856619994</v>
      </c>
      <c r="P22" s="11">
        <f t="shared" si="7"/>
        <v>68658086.871481657</v>
      </c>
      <c r="Q22" s="11">
        <f>ABS(Assumptions!$C$8*'Calculation_New Regime'!P22)</f>
        <v>3432904.3435740829</v>
      </c>
      <c r="R22" s="11">
        <f t="shared" si="10"/>
        <v>72090991.215055734</v>
      </c>
    </row>
    <row r="23" spans="1:18" x14ac:dyDescent="0.25">
      <c r="A23">
        <v>17</v>
      </c>
      <c r="B23" s="13">
        <f>Parameters!$C$7</f>
        <v>3500</v>
      </c>
      <c r="C23" s="13">
        <f>Parameters!$C$8</f>
        <v>100000</v>
      </c>
      <c r="D23" s="13">
        <f>IF(A23=20,Parameters!$C$9,0)</f>
        <v>0</v>
      </c>
      <c r="E23">
        <f t="shared" si="0"/>
        <v>0.97860199720119112</v>
      </c>
      <c r="F23">
        <f>IF($B$2="M",VLOOKUP($B$1+A22,'Mortality rates'!$B$6:$G$101,2,0),VLOOKUP($B$1+A22,'Mortality rates'!$B$6:$G$101,3,0))</f>
        <v>1.8140000000000001E-3</v>
      </c>
      <c r="G23" s="11">
        <f t="shared" si="1"/>
        <v>177.84100587695687</v>
      </c>
      <c r="H23" s="11">
        <f t="shared" si="2"/>
        <v>726.72575156038795</v>
      </c>
      <c r="I23" s="11">
        <f t="shared" si="3"/>
        <v>0</v>
      </c>
      <c r="J23" s="11">
        <f t="shared" si="4"/>
        <v>83116.079528870061</v>
      </c>
      <c r="K23" s="11">
        <f t="shared" si="5"/>
        <v>3431.3314254098623</v>
      </c>
      <c r="L23" s="11">
        <f t="shared" si="6"/>
        <v>12917.664255464697</v>
      </c>
      <c r="M23" s="11">
        <f>M22*(1+Parameters!$C$12)*Assumptions!$C$5</f>
        <v>802.353219549394</v>
      </c>
      <c r="N23" s="5">
        <f t="shared" si="8"/>
        <v>786.61137614817551</v>
      </c>
      <c r="O23" s="11">
        <f t="shared" si="9"/>
        <v>3092.5285929061861</v>
      </c>
      <c r="P23" s="11">
        <f t="shared" si="7"/>
        <v>74017669.617871925</v>
      </c>
      <c r="Q23" s="11">
        <f>ABS(Assumptions!$C$8*'Calculation_New Regime'!P23)</f>
        <v>3700883.4808935965</v>
      </c>
      <c r="R23" s="11">
        <f t="shared" si="10"/>
        <v>77718553.098765522</v>
      </c>
    </row>
    <row r="24" spans="1:18" x14ac:dyDescent="0.25">
      <c r="A24">
        <v>18</v>
      </c>
      <c r="B24" s="13">
        <f>Parameters!$C$7</f>
        <v>3500</v>
      </c>
      <c r="C24" s="13">
        <f>Parameters!$C$8</f>
        <v>100000</v>
      </c>
      <c r="D24" s="13">
        <f>IF(A24=20,Parameters!$C$9,0)</f>
        <v>0</v>
      </c>
      <c r="E24">
        <f t="shared" si="0"/>
        <v>0.97668295868467958</v>
      </c>
      <c r="F24">
        <f>IF($B$2="M",VLOOKUP($B$1+A23,'Mortality rates'!$B$6:$G$101,2,0),VLOOKUP($B$1+A23,'Mortality rates'!$B$6:$G$101,3,0))</f>
        <v>1.9610000000000001E-3</v>
      </c>
      <c r="G24" s="11">
        <f t="shared" si="1"/>
        <v>191.90385165115356</v>
      </c>
      <c r="H24" s="11">
        <f t="shared" si="2"/>
        <v>577.95377574584666</v>
      </c>
      <c r="I24" s="11">
        <f t="shared" si="3"/>
        <v>0</v>
      </c>
      <c r="J24" s="11">
        <f t="shared" si="4"/>
        <v>86440.722710024871</v>
      </c>
      <c r="K24" s="11">
        <f t="shared" si="5"/>
        <v>3425.1069902041691</v>
      </c>
      <c r="L24" s="11">
        <f t="shared" si="6"/>
        <v>9865.786143257028</v>
      </c>
      <c r="M24" s="11">
        <f>M23*(1+Parameters!$C$12)*Assumptions!$C$5</f>
        <v>826.42381613587588</v>
      </c>
      <c r="N24" s="5">
        <f t="shared" si="8"/>
        <v>808.73999700519812</v>
      </c>
      <c r="O24" s="11">
        <f t="shared" si="9"/>
        <v>2398.1539054283307</v>
      </c>
      <c r="P24" s="11">
        <f t="shared" si="7"/>
        <v>79551044.247942016</v>
      </c>
      <c r="Q24" s="11">
        <f>ABS(Assumptions!$C$8*'Calculation_New Regime'!P24)</f>
        <v>3977552.2123971009</v>
      </c>
      <c r="R24" s="11">
        <f t="shared" si="10"/>
        <v>83528596.460339114</v>
      </c>
    </row>
    <row r="25" spans="1:18" x14ac:dyDescent="0.25">
      <c r="A25">
        <v>19</v>
      </c>
      <c r="B25" s="13">
        <f>Parameters!$C$7</f>
        <v>3500</v>
      </c>
      <c r="C25" s="13">
        <f>Parameters!$C$8</f>
        <v>100000</v>
      </c>
      <c r="D25" s="13">
        <f>IF(A25=20,Parameters!$C$9,0)</f>
        <v>0</v>
      </c>
      <c r="E25">
        <f t="shared" si="0"/>
        <v>0.97460360066563989</v>
      </c>
      <c r="F25">
        <f>IF($B$2="M",VLOOKUP($B$1+A24,'Mortality rates'!$B$6:$G$101,2,0),VLOOKUP($B$1+A24,'Mortality rates'!$B$6:$G$101,3,0))</f>
        <v>2.1289999999999998E-3</v>
      </c>
      <c r="G25" s="11">
        <f t="shared" si="1"/>
        <v>207.93580190396827</v>
      </c>
      <c r="H25" s="11">
        <f>(G25+H26)/(1+$H$3)</f>
        <v>409.16807512452709</v>
      </c>
      <c r="I25" s="11">
        <f t="shared" si="3"/>
        <v>0</v>
      </c>
      <c r="J25" s="11">
        <f t="shared" si="4"/>
        <v>89898.351618425862</v>
      </c>
      <c r="K25" s="11">
        <f t="shared" si="5"/>
        <v>3418.3903553963787</v>
      </c>
      <c r="L25" s="11">
        <f>K25+L26/(1+$H$3)</f>
        <v>6698.3063191749743</v>
      </c>
      <c r="M25" s="11">
        <f>M24*(1+Parameters!$C$12)*Assumptions!$C$5</f>
        <v>851.21653061995221</v>
      </c>
      <c r="N25" s="5">
        <f t="shared" si="8"/>
        <v>831.36867960720303</v>
      </c>
      <c r="O25" s="11">
        <f t="shared" si="9"/>
        <v>1652.9904647600579</v>
      </c>
      <c r="P25" s="11">
        <f t="shared" si="7"/>
        <v>85262203.839135483</v>
      </c>
      <c r="Q25" s="11">
        <f>ABS(Assumptions!$C$8*'Calculation_New Regime'!P25)</f>
        <v>4263110.1919567743</v>
      </c>
      <c r="R25" s="11">
        <f t="shared" si="10"/>
        <v>89525314.031092256</v>
      </c>
    </row>
    <row r="26" spans="1:18" x14ac:dyDescent="0.25">
      <c r="A26">
        <v>20</v>
      </c>
      <c r="B26" s="13">
        <f>Parameters!$C$7</f>
        <v>3500</v>
      </c>
      <c r="C26" s="13">
        <f>Parameters!$C$8</f>
        <v>100000</v>
      </c>
      <c r="D26" s="13">
        <f>IF(A26=20,Parameters!$C$9,0)</f>
        <v>100000</v>
      </c>
      <c r="E26">
        <f t="shared" si="0"/>
        <v>0.97234057110489425</v>
      </c>
      <c r="F26">
        <f>IF($B$2="M",VLOOKUP($B$1+A25,'Mortality rates'!$B$6:$G$101,2,0),VLOOKUP($B$1+A25,'Mortality rates'!$B$6:$G$101,3,0))</f>
        <v>2.3219999999999998E-3</v>
      </c>
      <c r="G26" s="11">
        <f t="shared" si="1"/>
        <v>226.30295607456156</v>
      </c>
      <c r="H26" s="11">
        <f>(G26+H27)/(1+$H$3)</f>
        <v>217.59899622553996</v>
      </c>
      <c r="I26" s="11">
        <f t="shared" si="3"/>
        <v>97234.057110489419</v>
      </c>
      <c r="J26" s="11">
        <f t="shared" ref="J26" si="11">I26/(1+$H$3)</f>
        <v>93494.285683162903</v>
      </c>
      <c r="K26" s="11">
        <f t="shared" si="5"/>
        <v>3411.1126023297397</v>
      </c>
      <c r="L26" s="11">
        <f>K26+L27/(1+$H$3)</f>
        <v>3411.1126023297397</v>
      </c>
      <c r="M26" s="11">
        <f>M25*(1+Parameters!$C$12)*Assumptions!$C$5</f>
        <v>876.75302653855078</v>
      </c>
      <c r="N26" s="5">
        <f t="shared" si="8"/>
        <v>854.48665655896889</v>
      </c>
      <c r="O26" s="11">
        <f t="shared" si="9"/>
        <v>854.48665655896889</v>
      </c>
      <c r="P26" s="11">
        <f t="shared" si="7"/>
        <v>91155258.733617663</v>
      </c>
      <c r="Q26" s="11">
        <f>ABS(Assumptions!$C$8*'Calculation_New Regime'!P26)</f>
        <v>4557762.9366808832</v>
      </c>
      <c r="R26" s="11">
        <f t="shared" si="10"/>
        <v>95713021.670298547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8" width="14.28515625" bestFit="1" customWidth="1"/>
  </cols>
  <sheetData>
    <row r="1" spans="1:18" x14ac:dyDescent="0.25">
      <c r="A1" s="1" t="s">
        <v>9</v>
      </c>
      <c r="B1" s="10">
        <v>30</v>
      </c>
      <c r="M1" s="19"/>
    </row>
    <row r="2" spans="1:18" x14ac:dyDescent="0.25">
      <c r="A2" s="1" t="s">
        <v>37</v>
      </c>
      <c r="B2" s="10" t="s">
        <v>38</v>
      </c>
    </row>
    <row r="3" spans="1:18" x14ac:dyDescent="0.25">
      <c r="A3" s="1" t="s">
        <v>40</v>
      </c>
      <c r="B3">
        <v>1000</v>
      </c>
      <c r="G3" s="1" t="s">
        <v>11</v>
      </c>
      <c r="H3" s="6">
        <f>Assumptions!C7</f>
        <v>0.04</v>
      </c>
      <c r="L3" s="1" t="s">
        <v>53</v>
      </c>
      <c r="M3" s="6">
        <v>0.7</v>
      </c>
    </row>
    <row r="5" spans="1:18" ht="45" x14ac:dyDescent="0.25">
      <c r="A5" s="7" t="s">
        <v>2</v>
      </c>
      <c r="B5" s="7" t="s">
        <v>3</v>
      </c>
      <c r="C5" s="7" t="s">
        <v>4</v>
      </c>
      <c r="D5" s="7" t="s">
        <v>12</v>
      </c>
      <c r="E5" s="7" t="s">
        <v>7</v>
      </c>
      <c r="F5" s="7" t="s">
        <v>5</v>
      </c>
      <c r="G5" s="7" t="s">
        <v>76</v>
      </c>
      <c r="H5" s="7" t="s">
        <v>10</v>
      </c>
      <c r="I5" s="7" t="s">
        <v>77</v>
      </c>
      <c r="J5" s="7" t="s">
        <v>15</v>
      </c>
      <c r="K5" s="7" t="s">
        <v>78</v>
      </c>
      <c r="L5" s="7" t="s">
        <v>14</v>
      </c>
      <c r="M5" s="7" t="s">
        <v>79</v>
      </c>
      <c r="N5" s="7" t="s">
        <v>80</v>
      </c>
      <c r="O5" s="7" t="s">
        <v>13</v>
      </c>
      <c r="P5" s="7" t="s">
        <v>0</v>
      </c>
      <c r="Q5" s="7" t="s">
        <v>1</v>
      </c>
      <c r="R5" s="1" t="s">
        <v>32</v>
      </c>
    </row>
    <row r="6" spans="1:18" x14ac:dyDescent="0.25">
      <c r="A6">
        <v>0</v>
      </c>
      <c r="E6">
        <v>1</v>
      </c>
    </row>
    <row r="7" spans="1:18" x14ac:dyDescent="0.25">
      <c r="A7">
        <v>1</v>
      </c>
      <c r="B7" s="13">
        <f>Parameters!$C$7</f>
        <v>3500</v>
      </c>
      <c r="C7" s="13">
        <f>Parameters!$C$8</f>
        <v>100000</v>
      </c>
      <c r="D7" s="13">
        <f>IF(A7=20,Parameters!$C$9,0)</f>
        <v>0</v>
      </c>
      <c r="E7">
        <f t="shared" ref="E7:E26" si="0">E6*(1-F7)</f>
        <v>0.99902599999999997</v>
      </c>
      <c r="F7">
        <f>IF($B$2="M",VLOOKUP($B$1+A6,'Mortality rates'!$B$6:$G$101,2,0),VLOOKUP($B$1+A6,'Mortality rates'!$B$6:$G$101,3,0))</f>
        <v>9.7399999999999993E-4</v>
      </c>
      <c r="G7" s="11">
        <f t="shared" ref="G7:G26" si="1">C7*F7*E6</f>
        <v>97.399999999999991</v>
      </c>
      <c r="H7" s="11">
        <f t="shared" ref="H7:H24" si="2">(G7+H8)/(1+$H$3)</f>
        <v>1777.0088050274537</v>
      </c>
      <c r="I7" s="11">
        <f t="shared" ref="I7:I26" si="3">E7*D7</f>
        <v>0</v>
      </c>
      <c r="J7" s="11">
        <f t="shared" ref="J7:J25" si="4">J8/(1+$H$3)</f>
        <v>44376.354391418281</v>
      </c>
      <c r="K7" s="11">
        <f t="shared" ref="K7:K26" si="5">B7*E6</f>
        <v>3500</v>
      </c>
      <c r="L7" s="11">
        <f t="shared" ref="L7:L24" si="6">K7+L8/(1+$H$3)</f>
        <v>49000.439491234312</v>
      </c>
      <c r="M7" s="11">
        <f>Parameters!C16*$M$3</f>
        <v>350</v>
      </c>
      <c r="N7" s="5">
        <f>M7*E6</f>
        <v>350</v>
      </c>
      <c r="O7" s="11">
        <f>N7+(O8/(1+$H$3))</f>
        <v>6327.4851502773754</v>
      </c>
      <c r="P7" s="11">
        <f t="shared" ref="P7:P26" si="7">(H7+J7+O7-L7)*$B$3</f>
        <v>3480408.8554888004</v>
      </c>
      <c r="Q7" s="11">
        <f>ABS(Assumptions!$C$8*'Calculation_Scenario 1'!P7)</f>
        <v>174020.44277444005</v>
      </c>
      <c r="R7" s="11">
        <f>P7+Q7</f>
        <v>3654429.2982632406</v>
      </c>
    </row>
    <row r="8" spans="1:18" x14ac:dyDescent="0.25">
      <c r="A8">
        <v>2</v>
      </c>
      <c r="B8" s="13">
        <f>Parameters!$C$7</f>
        <v>3500</v>
      </c>
      <c r="C8" s="13">
        <f>Parameters!$C$8</f>
        <v>100000</v>
      </c>
      <c r="D8" s="13">
        <f>IF(A8=20,Parameters!$C$9,0)</f>
        <v>0</v>
      </c>
      <c r="E8">
        <f t="shared" si="0"/>
        <v>0.99803496620800003</v>
      </c>
      <c r="F8">
        <f>IF($B$2="M",VLOOKUP($B$1+A7,'Mortality rates'!$B$6:$G$101,2,0),VLOOKUP($B$1+A7,'Mortality rates'!$B$6:$G$101,3,0))</f>
        <v>9.9199999999999983E-4</v>
      </c>
      <c r="G8" s="11">
        <f t="shared" si="1"/>
        <v>99.103379199999992</v>
      </c>
      <c r="H8" s="11">
        <f t="shared" si="2"/>
        <v>1750.6891572285517</v>
      </c>
      <c r="I8" s="11">
        <f t="shared" si="3"/>
        <v>0</v>
      </c>
      <c r="J8" s="11">
        <f t="shared" si="4"/>
        <v>46151.408567075014</v>
      </c>
      <c r="K8" s="11">
        <f t="shared" si="5"/>
        <v>3496.5909999999999</v>
      </c>
      <c r="L8" s="11">
        <f t="shared" si="6"/>
        <v>47320.457070883684</v>
      </c>
      <c r="M8" s="11">
        <f>M7*(1+Parameters!$C$12)</f>
        <v>360.5</v>
      </c>
      <c r="N8" s="5">
        <f t="shared" ref="N8:N26" si="8">M8*E7</f>
        <v>360.14887299999998</v>
      </c>
      <c r="O8" s="11">
        <f t="shared" ref="O8:O26" si="9">N8+(O9/(1+$H$3))</f>
        <v>6216.5845562884706</v>
      </c>
      <c r="P8" s="11">
        <f t="shared" si="7"/>
        <v>6798225.2097083544</v>
      </c>
      <c r="Q8" s="11">
        <f>ABS(Assumptions!$C$8*'Calculation_Scenario 1'!P8)</f>
        <v>339911.26048541773</v>
      </c>
      <c r="R8" s="11">
        <f t="shared" ref="R8:R26" si="10">P8+Q8</f>
        <v>7138136.4701937726</v>
      </c>
    </row>
    <row r="9" spans="1:18" x14ac:dyDescent="0.25">
      <c r="A9">
        <v>3</v>
      </c>
      <c r="B9" s="13">
        <f>Parameters!$C$7</f>
        <v>3500</v>
      </c>
      <c r="C9" s="13">
        <f>Parameters!$C$8</f>
        <v>100000</v>
      </c>
      <c r="D9" s="13">
        <f>IF(A9=20,Parameters!$C$9,0)</f>
        <v>0</v>
      </c>
      <c r="E9">
        <f t="shared" si="0"/>
        <v>0.99701697054246785</v>
      </c>
      <c r="F9">
        <f>IF($B$2="M",VLOOKUP($B$1+A8,'Mortality rates'!$B$6:$G$101,2,0),VLOOKUP($B$1+A8,'Mortality rates'!$B$6:$G$101,3,0))</f>
        <v>1.0199999999999999E-3</v>
      </c>
      <c r="G9" s="11">
        <f t="shared" si="1"/>
        <v>101.79956655321598</v>
      </c>
      <c r="H9" s="11">
        <f t="shared" si="2"/>
        <v>1721.6133443176939</v>
      </c>
      <c r="I9" s="11">
        <f t="shared" si="3"/>
        <v>0</v>
      </c>
      <c r="J9" s="11">
        <f t="shared" si="4"/>
        <v>47997.464909758019</v>
      </c>
      <c r="K9" s="11">
        <f t="shared" si="5"/>
        <v>3493.1223817280002</v>
      </c>
      <c r="L9" s="11">
        <f t="shared" si="6"/>
        <v>45576.820713719033</v>
      </c>
      <c r="M9" s="11">
        <f>M8*(1+Parameters!$C$12)</f>
        <v>371.315</v>
      </c>
      <c r="N9" s="5">
        <f t="shared" si="8"/>
        <v>370.58535347752354</v>
      </c>
      <c r="O9" s="11">
        <f t="shared" si="9"/>
        <v>6090.69311062001</v>
      </c>
      <c r="P9" s="11">
        <f t="shared" si="7"/>
        <v>10232950.650976695</v>
      </c>
      <c r="Q9" s="11">
        <f>ABS(Assumptions!$C$8*'Calculation_Scenario 1'!P9)</f>
        <v>511647.5325488348</v>
      </c>
      <c r="R9" s="11">
        <f t="shared" si="10"/>
        <v>10744598.183525531</v>
      </c>
    </row>
    <row r="10" spans="1:18" x14ac:dyDescent="0.25">
      <c r="A10">
        <v>4</v>
      </c>
      <c r="B10" s="13">
        <f>Parameters!$C$7</f>
        <v>3500</v>
      </c>
      <c r="C10" s="13">
        <f>Parameters!$C$8</f>
        <v>100000</v>
      </c>
      <c r="D10" s="13">
        <f>IF(A10=20,Parameters!$C$9,0)</f>
        <v>0</v>
      </c>
      <c r="E10">
        <f t="shared" si="0"/>
        <v>0.99597109974036879</v>
      </c>
      <c r="F10">
        <f>IF($B$2="M",VLOOKUP($B$1+A9,'Mortality rates'!$B$6:$G$101,2,0),VLOOKUP($B$1+A9,'Mortality rates'!$B$6:$G$101,3,0))</f>
        <v>1.049E-3</v>
      </c>
      <c r="G10" s="11">
        <f t="shared" si="1"/>
        <v>104.58708020990488</v>
      </c>
      <c r="H10" s="11">
        <f t="shared" si="2"/>
        <v>1688.6783115371857</v>
      </c>
      <c r="I10" s="11">
        <f t="shared" si="3"/>
        <v>0</v>
      </c>
      <c r="J10" s="11">
        <f t="shared" si="4"/>
        <v>49917.363506148344</v>
      </c>
      <c r="K10" s="11">
        <f t="shared" si="5"/>
        <v>3489.5593968986373</v>
      </c>
      <c r="L10" s="11">
        <f t="shared" si="6"/>
        <v>43767.046265270677</v>
      </c>
      <c r="M10" s="11">
        <f>M9*(1+Parameters!$C$12)</f>
        <v>382.45445000000001</v>
      </c>
      <c r="N10" s="5">
        <f t="shared" si="8"/>
        <v>381.31357710948578</v>
      </c>
      <c r="O10" s="11">
        <f t="shared" si="9"/>
        <v>5948.9120674281867</v>
      </c>
      <c r="P10" s="11">
        <f t="shared" si="7"/>
        <v>13787907.619843042</v>
      </c>
      <c r="Q10" s="11">
        <f>ABS(Assumptions!$C$8*'Calculation_Scenario 1'!P10)</f>
        <v>689395.38099215215</v>
      </c>
      <c r="R10" s="11">
        <f t="shared" si="10"/>
        <v>14477303.000835193</v>
      </c>
    </row>
    <row r="11" spans="1:18" x14ac:dyDescent="0.25">
      <c r="A11">
        <v>5</v>
      </c>
      <c r="B11" s="13">
        <f>Parameters!$C$7</f>
        <v>3500</v>
      </c>
      <c r="C11" s="13">
        <f>Parameters!$C$8</f>
        <v>100000</v>
      </c>
      <c r="D11" s="13">
        <f>IF(A11=20,Parameters!$C$9,0)</f>
        <v>0</v>
      </c>
      <c r="E11">
        <f t="shared" si="0"/>
        <v>0.9948964469237489</v>
      </c>
      <c r="F11">
        <f>IF($B$2="M",VLOOKUP($B$1+A10,'Mortality rates'!$B$6:$G$101,2,0),VLOOKUP($B$1+A10,'Mortality rates'!$B$6:$G$101,3,0))</f>
        <v>1.0789999999999999E-3</v>
      </c>
      <c r="G11" s="11">
        <f t="shared" si="1"/>
        <v>107.46528166198578</v>
      </c>
      <c r="H11" s="11">
        <f t="shared" si="2"/>
        <v>1651.6383637887684</v>
      </c>
      <c r="I11" s="11">
        <f t="shared" si="3"/>
        <v>0</v>
      </c>
      <c r="J11" s="11">
        <f t="shared" si="4"/>
        <v>51914.058046394282</v>
      </c>
      <c r="K11" s="11">
        <f t="shared" si="5"/>
        <v>3485.8988490912907</v>
      </c>
      <c r="L11" s="11">
        <f t="shared" si="6"/>
        <v>41888.586343106923</v>
      </c>
      <c r="M11" s="11">
        <f>M10*(1+Parameters!$C$12)</f>
        <v>393.92808350000001</v>
      </c>
      <c r="N11" s="5">
        <f t="shared" si="8"/>
        <v>392.34098654211084</v>
      </c>
      <c r="O11" s="11">
        <f t="shared" si="9"/>
        <v>5790.3024299314493</v>
      </c>
      <c r="P11" s="11">
        <f t="shared" si="7"/>
        <v>17467412.497007579</v>
      </c>
      <c r="Q11" s="11">
        <f>ABS(Assumptions!$C$8*'Calculation_Scenario 1'!P11)</f>
        <v>873370.62485037895</v>
      </c>
      <c r="R11" s="11">
        <f t="shared" si="10"/>
        <v>18340783.121857956</v>
      </c>
    </row>
    <row r="12" spans="1:18" x14ac:dyDescent="0.25">
      <c r="A12">
        <v>6</v>
      </c>
      <c r="B12" s="13">
        <f>Parameters!$C$7</f>
        <v>3500</v>
      </c>
      <c r="C12" s="13">
        <f>Parameters!$C$8</f>
        <v>100000</v>
      </c>
      <c r="D12" s="13">
        <f>IF(A12=20,Parameters!$C$9,0)</f>
        <v>0</v>
      </c>
      <c r="E12">
        <f t="shared" si="0"/>
        <v>0.99379211186766359</v>
      </c>
      <c r="F12">
        <f>IF($B$2="M",VLOOKUP($B$1+A11,'Mortality rates'!$B$6:$G$101,2,0),VLOOKUP($B$1+A11,'Mortality rates'!$B$6:$G$101,3,0))</f>
        <v>1.1099999999999999E-3</v>
      </c>
      <c r="G12" s="11">
        <f t="shared" si="1"/>
        <v>110.43350560853611</v>
      </c>
      <c r="H12" s="11">
        <f t="shared" si="2"/>
        <v>1610.2386166783335</v>
      </c>
      <c r="I12" s="11">
        <f t="shared" si="3"/>
        <v>0</v>
      </c>
      <c r="J12" s="11">
        <f t="shared" si="4"/>
        <v>53990.620368250056</v>
      </c>
      <c r="K12" s="11">
        <f t="shared" si="5"/>
        <v>3482.1375642331213</v>
      </c>
      <c r="L12" s="11">
        <f t="shared" si="6"/>
        <v>39938.794993776261</v>
      </c>
      <c r="M12" s="11">
        <f>M11*(1+Parameters!$C$12)</f>
        <v>405.745926005</v>
      </c>
      <c r="N12" s="5">
        <f t="shared" si="8"/>
        <v>403.6751801361608</v>
      </c>
      <c r="O12" s="11">
        <f t="shared" si="9"/>
        <v>5613.8799011249121</v>
      </c>
      <c r="P12" s="11">
        <f t="shared" si="7"/>
        <v>21275943.892277043</v>
      </c>
      <c r="Q12" s="11">
        <f>ABS(Assumptions!$C$8*'Calculation_Scenario 1'!P12)</f>
        <v>1063797.1946138523</v>
      </c>
      <c r="R12" s="11">
        <f t="shared" si="10"/>
        <v>22339741.086890895</v>
      </c>
    </row>
    <row r="13" spans="1:18" x14ac:dyDescent="0.25">
      <c r="A13">
        <v>7</v>
      </c>
      <c r="B13" s="13">
        <f>Parameters!$C$7</f>
        <v>3500</v>
      </c>
      <c r="C13" s="13">
        <f>Parameters!$C$8</f>
        <v>100000</v>
      </c>
      <c r="D13" s="13">
        <f>IF(A13=20,Parameters!$C$9,0)</f>
        <v>0</v>
      </c>
      <c r="E13">
        <f t="shared" si="0"/>
        <v>0.99265819506802266</v>
      </c>
      <c r="F13">
        <f>IF($B$2="M",VLOOKUP($B$1+A12,'Mortality rates'!$B$6:$G$101,2,0),VLOOKUP($B$1+A12,'Mortality rates'!$B$6:$G$101,3,0))</f>
        <v>1.1409999999999999E-3</v>
      </c>
      <c r="G13" s="11">
        <f t="shared" si="1"/>
        <v>113.39167996410039</v>
      </c>
      <c r="H13" s="11">
        <f t="shared" si="2"/>
        <v>1564.2146557369308</v>
      </c>
      <c r="I13" s="11">
        <f t="shared" si="3"/>
        <v>0</v>
      </c>
      <c r="J13" s="11">
        <f t="shared" si="4"/>
        <v>56150.245182980063</v>
      </c>
      <c r="K13" s="11">
        <f t="shared" si="5"/>
        <v>3478.2723915368224</v>
      </c>
      <c r="L13" s="11">
        <f t="shared" si="6"/>
        <v>37914.923726724868</v>
      </c>
      <c r="M13" s="11">
        <f>M12*(1+Parameters!$C$12)</f>
        <v>417.91830378514999</v>
      </c>
      <c r="N13" s="5">
        <f t="shared" si="8"/>
        <v>415.32391370679596</v>
      </c>
      <c r="O13" s="11">
        <f t="shared" si="9"/>
        <v>5418.6129098283018</v>
      </c>
      <c r="P13" s="11">
        <f t="shared" si="7"/>
        <v>25218149.021820426</v>
      </c>
      <c r="Q13" s="11">
        <f>ABS(Assumptions!$C$8*'Calculation_Scenario 1'!P13)</f>
        <v>1260907.4510910213</v>
      </c>
      <c r="R13" s="11">
        <f t="shared" si="10"/>
        <v>26479056.472911447</v>
      </c>
    </row>
    <row r="14" spans="1:18" x14ac:dyDescent="0.25">
      <c r="A14">
        <v>8</v>
      </c>
      <c r="B14" s="13">
        <f>Parameters!$C$7</f>
        <v>3500</v>
      </c>
      <c r="C14" s="13">
        <f>Parameters!$C$8</f>
        <v>100000</v>
      </c>
      <c r="D14" s="13">
        <f>IF(A14=20,Parameters!$C$9,0)</f>
        <v>0</v>
      </c>
      <c r="E14">
        <f t="shared" si="0"/>
        <v>0.99149281434701275</v>
      </c>
      <c r="F14">
        <f>IF($B$2="M",VLOOKUP($B$1+A13,'Mortality rates'!$B$6:$G$101,2,0),VLOOKUP($B$1+A13,'Mortality rates'!$B$6:$G$101,3,0))</f>
        <v>1.1739999999999999E-3</v>
      </c>
      <c r="G14" s="11">
        <f t="shared" si="1"/>
        <v>116.53807210098586</v>
      </c>
      <c r="H14" s="11">
        <f t="shared" si="2"/>
        <v>1513.3915620023076</v>
      </c>
      <c r="I14" s="11">
        <f t="shared" si="3"/>
        <v>0</v>
      </c>
      <c r="J14" s="11">
        <f t="shared" si="4"/>
        <v>58396.254990299269</v>
      </c>
      <c r="K14" s="11">
        <f t="shared" si="5"/>
        <v>3474.3036827380793</v>
      </c>
      <c r="L14" s="11">
        <f t="shared" si="6"/>
        <v>35814.117388595572</v>
      </c>
      <c r="M14" s="11">
        <f>M13*(1+Parameters!$C$12)</f>
        <v>430.45585289870451</v>
      </c>
      <c r="N14" s="5">
        <f t="shared" si="8"/>
        <v>427.29552999489431</v>
      </c>
      <c r="O14" s="11">
        <f t="shared" si="9"/>
        <v>5203.420555966366</v>
      </c>
      <c r="P14" s="11">
        <f t="shared" si="7"/>
        <v>29298949.719672374</v>
      </c>
      <c r="Q14" s="11">
        <f>ABS(Assumptions!$C$8*'Calculation_Scenario 1'!P14)</f>
        <v>1464947.4859836188</v>
      </c>
      <c r="R14" s="11">
        <f t="shared" si="10"/>
        <v>30763897.205655992</v>
      </c>
    </row>
    <row r="15" spans="1:18" x14ac:dyDescent="0.25">
      <c r="A15">
        <v>9</v>
      </c>
      <c r="B15" s="13">
        <f>Parameters!$C$7</f>
        <v>3500</v>
      </c>
      <c r="C15" s="13">
        <f>Parameters!$C$8</f>
        <v>100000</v>
      </c>
      <c r="D15" s="13">
        <f>IF(A15=20,Parameters!$C$9,0)</f>
        <v>0</v>
      </c>
      <c r="E15">
        <f t="shared" si="0"/>
        <v>0.99029608252009593</v>
      </c>
      <c r="F15">
        <f>IF($B$2="M",VLOOKUP($B$1+A14,'Mortality rates'!$B$6:$G$101,2,0),VLOOKUP($B$1+A14,'Mortality rates'!$B$6:$G$101,3,0))</f>
        <v>1.207E-3</v>
      </c>
      <c r="G15" s="11">
        <f t="shared" si="1"/>
        <v>119.67318269168443</v>
      </c>
      <c r="H15" s="11">
        <f t="shared" si="2"/>
        <v>1457.3891523814141</v>
      </c>
      <c r="I15" s="11">
        <f t="shared" si="3"/>
        <v>0</v>
      </c>
      <c r="J15" s="11">
        <f t="shared" si="4"/>
        <v>60732.105189911243</v>
      </c>
      <c r="K15" s="11">
        <f t="shared" si="5"/>
        <v>3470.2248502145449</v>
      </c>
      <c r="L15" s="11">
        <f t="shared" si="6"/>
        <v>33633.406254091795</v>
      </c>
      <c r="M15" s="11">
        <f>M14*(1+Parameters!$C$12)</f>
        <v>443.36952848566563</v>
      </c>
      <c r="N15" s="5">
        <f t="shared" si="8"/>
        <v>439.59770159396066</v>
      </c>
      <c r="O15" s="11">
        <f t="shared" si="9"/>
        <v>4967.1700270103311</v>
      </c>
      <c r="P15" s="11">
        <f t="shared" si="7"/>
        <v>33523258.115211196</v>
      </c>
      <c r="Q15" s="11">
        <f>ABS(Assumptions!$C$8*'Calculation_Scenario 1'!P15)</f>
        <v>1676162.90576056</v>
      </c>
      <c r="R15" s="11">
        <f t="shared" si="10"/>
        <v>35199421.020971753</v>
      </c>
    </row>
    <row r="16" spans="1:18" x14ac:dyDescent="0.25">
      <c r="A16">
        <v>10</v>
      </c>
      <c r="B16" s="13">
        <f>Parameters!$C$7</f>
        <v>3500</v>
      </c>
      <c r="C16" s="13">
        <f>Parameters!$C$8</f>
        <v>100000</v>
      </c>
      <c r="D16" s="13">
        <f>IF(A16=20,Parameters!$C$9,0)</f>
        <v>0</v>
      </c>
      <c r="E16">
        <f t="shared" si="0"/>
        <v>0.9890542512326157</v>
      </c>
      <c r="F16">
        <f>IF($B$2="M",VLOOKUP($B$1+A15,'Mortality rates'!$B$6:$G$101,2,0),VLOOKUP($B$1+A15,'Mortality rates'!$B$6:$G$101,3,0))</f>
        <v>1.2539999999999999E-3</v>
      </c>
      <c r="G16" s="11">
        <f t="shared" si="1"/>
        <v>124.18312874802002</v>
      </c>
      <c r="H16" s="11">
        <f t="shared" si="2"/>
        <v>1396.0115357849863</v>
      </c>
      <c r="I16" s="11">
        <f t="shared" si="3"/>
        <v>0</v>
      </c>
      <c r="J16" s="11">
        <f t="shared" si="4"/>
        <v>63161.389397507694</v>
      </c>
      <c r="K16" s="11">
        <f t="shared" si="5"/>
        <v>3466.0362888203358</v>
      </c>
      <c r="L16" s="11">
        <f t="shared" si="6"/>
        <v>31369.708660032342</v>
      </c>
      <c r="M16" s="11">
        <f>M15*(1+Parameters!$C$12)</f>
        <v>456.6706143402356</v>
      </c>
      <c r="N16" s="5">
        <f t="shared" si="8"/>
        <v>452.23912038318088</v>
      </c>
      <c r="O16" s="11">
        <f t="shared" si="9"/>
        <v>4708.6752184330253</v>
      </c>
      <c r="P16" s="11">
        <f t="shared" si="7"/>
        <v>37896367.49169337</v>
      </c>
      <c r="Q16" s="11">
        <f>ABS(Assumptions!$C$8*'Calculation_Scenario 1'!P16)</f>
        <v>1894818.3745846685</v>
      </c>
      <c r="R16" s="11">
        <f t="shared" si="10"/>
        <v>39791185.866278037</v>
      </c>
    </row>
    <row r="17" spans="1:18" x14ac:dyDescent="0.25">
      <c r="A17">
        <v>11</v>
      </c>
      <c r="B17" s="13">
        <f>Parameters!$C$7</f>
        <v>3500</v>
      </c>
      <c r="C17" s="13">
        <f>Parameters!$C$8</f>
        <v>100000</v>
      </c>
      <c r="D17" s="13">
        <f>IF(A17=20,Parameters!$C$9,0)</f>
        <v>0</v>
      </c>
      <c r="E17">
        <f t="shared" si="0"/>
        <v>0.98777441503152064</v>
      </c>
      <c r="F17">
        <f>IF($B$2="M",VLOOKUP($B$1+A16,'Mortality rates'!$B$6:$G$101,2,0),VLOOKUP($B$1+A16,'Mortality rates'!$B$6:$G$101,3,0))</f>
        <v>1.294E-3</v>
      </c>
      <c r="G17" s="11">
        <f t="shared" si="1"/>
        <v>127.98362010950048</v>
      </c>
      <c r="H17" s="11">
        <f t="shared" si="2"/>
        <v>1327.6688684683659</v>
      </c>
      <c r="I17" s="11">
        <f t="shared" si="3"/>
        <v>0</v>
      </c>
      <c r="J17" s="11">
        <f t="shared" si="4"/>
        <v>65687.844973408006</v>
      </c>
      <c r="K17" s="11">
        <f t="shared" si="5"/>
        <v>3461.689879314155</v>
      </c>
      <c r="L17" s="11">
        <f t="shared" si="6"/>
        <v>29019.819266060487</v>
      </c>
      <c r="M17" s="11">
        <f>M16*(1+Parameters!$C$12)</f>
        <v>470.37073277044266</v>
      </c>
      <c r="N17" s="5">
        <f t="shared" si="8"/>
        <v>465.22217290200695</v>
      </c>
      <c r="O17" s="11">
        <f t="shared" si="9"/>
        <v>4426.6935419718384</v>
      </c>
      <c r="P17" s="11">
        <f t="shared" si="7"/>
        <v>42422388.117787719</v>
      </c>
      <c r="Q17" s="11">
        <f>ABS(Assumptions!$C$8*'Calculation_Scenario 1'!P17)</f>
        <v>2121119.4058893858</v>
      </c>
      <c r="R17" s="11">
        <f t="shared" si="10"/>
        <v>44543507.523677103</v>
      </c>
    </row>
    <row r="18" spans="1:18" x14ac:dyDescent="0.25">
      <c r="A18">
        <v>12</v>
      </c>
      <c r="B18" s="13">
        <f>Parameters!$C$7</f>
        <v>3500</v>
      </c>
      <c r="C18" s="13">
        <f>Parameters!$C$8</f>
        <v>100000</v>
      </c>
      <c r="D18" s="13">
        <f>IF(A18=20,Parameters!$C$9,0)</f>
        <v>0</v>
      </c>
      <c r="E18">
        <f t="shared" si="0"/>
        <v>0.98644585844330324</v>
      </c>
      <c r="F18">
        <f>IF($B$2="M",VLOOKUP($B$1+A17,'Mortality rates'!$B$6:$G$101,2,0),VLOOKUP($B$1+A17,'Mortality rates'!$B$6:$G$101,3,0))</f>
        <v>1.3450000000000001E-3</v>
      </c>
      <c r="G18" s="11">
        <f t="shared" si="1"/>
        <v>132.85565882173952</v>
      </c>
      <c r="H18" s="11">
        <f t="shared" si="2"/>
        <v>1252.7920030976002</v>
      </c>
      <c r="I18" s="11">
        <f t="shared" si="3"/>
        <v>0</v>
      </c>
      <c r="J18" s="11">
        <f t="shared" si="4"/>
        <v>68315.358772344334</v>
      </c>
      <c r="K18" s="11">
        <f t="shared" si="5"/>
        <v>3457.2104526103221</v>
      </c>
      <c r="L18" s="11">
        <f t="shared" si="6"/>
        <v>26580.454562216186</v>
      </c>
      <c r="M18" s="11">
        <f>M17*(1+Parameters!$C$12)</f>
        <v>484.48185475355592</v>
      </c>
      <c r="N18" s="5">
        <f t="shared" si="8"/>
        <v>478.55878067257987</v>
      </c>
      <c r="O18" s="11">
        <f t="shared" si="9"/>
        <v>4119.9302238326254</v>
      </c>
      <c r="P18" s="11">
        <f t="shared" si="7"/>
        <v>47107626.437058367</v>
      </c>
      <c r="Q18" s="11">
        <f>ABS(Assumptions!$C$8*'Calculation_Scenario 1'!P18)</f>
        <v>2355381.3218529182</v>
      </c>
      <c r="R18" s="11">
        <f t="shared" si="10"/>
        <v>49463007.758911282</v>
      </c>
    </row>
    <row r="19" spans="1:18" x14ac:dyDescent="0.25">
      <c r="A19">
        <v>13</v>
      </c>
      <c r="B19" s="13">
        <f>Parameters!$C$7</f>
        <v>3500</v>
      </c>
      <c r="C19" s="13">
        <f>Parameters!$C$8</f>
        <v>100000</v>
      </c>
      <c r="D19" s="13">
        <f>IF(A19=20,Parameters!$C$9,0)</f>
        <v>0</v>
      </c>
      <c r="E19">
        <f t="shared" si="0"/>
        <v>0.98505595622875664</v>
      </c>
      <c r="F19">
        <f>IF($B$2="M",VLOOKUP($B$1+A18,'Mortality rates'!$B$6:$G$101,2,0),VLOOKUP($B$1+A18,'Mortality rates'!$B$6:$G$101,3,0))</f>
        <v>1.4089999999999999E-3</v>
      </c>
      <c r="G19" s="11">
        <f t="shared" si="1"/>
        <v>138.99022145466139</v>
      </c>
      <c r="H19" s="11">
        <f t="shared" si="2"/>
        <v>1170.0480243997647</v>
      </c>
      <c r="I19" s="11">
        <f t="shared" si="3"/>
        <v>0</v>
      </c>
      <c r="J19" s="11">
        <f t="shared" si="4"/>
        <v>71047.973123238116</v>
      </c>
      <c r="K19" s="11">
        <f t="shared" si="5"/>
        <v>3452.5605045515613</v>
      </c>
      <c r="L19" s="11">
        <f t="shared" si="6"/>
        <v>24048.173873990101</v>
      </c>
      <c r="M19" s="11">
        <f>M18*(1+Parameters!$C$12)</f>
        <v>499.01631039616262</v>
      </c>
      <c r="N19" s="5">
        <f t="shared" si="8"/>
        <v>492.25257268595249</v>
      </c>
      <c r="O19" s="11">
        <f t="shared" si="9"/>
        <v>3787.0263008864476</v>
      </c>
      <c r="P19" s="11">
        <f t="shared" si="7"/>
        <v>51956873.574534215</v>
      </c>
      <c r="Q19" s="11">
        <f>ABS(Assumptions!$C$8*'Calculation_Scenario 1'!P19)</f>
        <v>2597843.6787267108</v>
      </c>
      <c r="R19" s="11">
        <f t="shared" si="10"/>
        <v>54554717.253260925</v>
      </c>
    </row>
    <row r="20" spans="1:18" x14ac:dyDescent="0.25">
      <c r="A20">
        <v>14</v>
      </c>
      <c r="B20" s="13">
        <f>Parameters!$C$7</f>
        <v>3500</v>
      </c>
      <c r="C20" s="13">
        <f>Parameters!$C$8</f>
        <v>100000</v>
      </c>
      <c r="D20" s="13">
        <f>IF(A20=20,Parameters!$C$9,0)</f>
        <v>0</v>
      </c>
      <c r="E20">
        <f t="shared" si="0"/>
        <v>0.98359117802184448</v>
      </c>
      <c r="F20">
        <f>IF($B$2="M",VLOOKUP($B$1+A19,'Mortality rates'!$B$6:$G$101,2,0),VLOOKUP($B$1+A19,'Mortality rates'!$B$6:$G$101,3,0))</f>
        <v>1.487E-3</v>
      </c>
      <c r="G20" s="11">
        <f t="shared" si="1"/>
        <v>146.47782069121612</v>
      </c>
      <c r="H20" s="11">
        <f t="shared" si="2"/>
        <v>1077.859723921094</v>
      </c>
      <c r="I20" s="11">
        <f t="shared" si="3"/>
        <v>0</v>
      </c>
      <c r="J20" s="11">
        <f t="shared" si="4"/>
        <v>73889.892048167647</v>
      </c>
      <c r="K20" s="11">
        <f t="shared" si="5"/>
        <v>3447.6958468006483</v>
      </c>
      <c r="L20" s="11">
        <f t="shared" si="6"/>
        <v>21419.43790421608</v>
      </c>
      <c r="M20" s="11">
        <f>M19*(1+Parameters!$C$12)</f>
        <v>513.98679970804756</v>
      </c>
      <c r="N20" s="5">
        <f t="shared" si="8"/>
        <v>506.3057584753692</v>
      </c>
      <c r="O20" s="11">
        <f t="shared" si="9"/>
        <v>3426.5646773285148</v>
      </c>
      <c r="P20" s="11">
        <f t="shared" si="7"/>
        <v>56974878.545201175</v>
      </c>
      <c r="Q20" s="11">
        <f>ABS(Assumptions!$C$8*'Calculation_Scenario 1'!P20)</f>
        <v>2848743.9272600589</v>
      </c>
      <c r="R20" s="11">
        <f t="shared" si="10"/>
        <v>59823622.472461231</v>
      </c>
    </row>
    <row r="21" spans="1:18" x14ac:dyDescent="0.25">
      <c r="A21">
        <v>15</v>
      </c>
      <c r="B21" s="13">
        <f>Parameters!$C$7</f>
        <v>3500</v>
      </c>
      <c r="C21" s="13">
        <f>Parameters!$C$8</f>
        <v>100000</v>
      </c>
      <c r="D21" s="13">
        <f>IF(A21=20,Parameters!$C$9,0)</f>
        <v>0</v>
      </c>
      <c r="E21">
        <f t="shared" si="0"/>
        <v>0.98203808755174804</v>
      </c>
      <c r="F21">
        <f>IF($B$2="M",VLOOKUP($B$1+A20,'Mortality rates'!$B$6:$G$101,2,0),VLOOKUP($B$1+A20,'Mortality rates'!$B$6:$G$101,3,0))</f>
        <v>1.5789999999999999E-3</v>
      </c>
      <c r="G21" s="11">
        <f t="shared" si="1"/>
        <v>155.30904700964922</v>
      </c>
      <c r="H21" s="11">
        <f t="shared" si="2"/>
        <v>974.49629218672169</v>
      </c>
      <c r="I21" s="11">
        <f t="shared" si="3"/>
        <v>0</v>
      </c>
      <c r="J21" s="11">
        <f t="shared" si="4"/>
        <v>76845.487730094348</v>
      </c>
      <c r="K21" s="11">
        <f t="shared" si="5"/>
        <v>3442.5691230764555</v>
      </c>
      <c r="L21" s="11">
        <f t="shared" si="6"/>
        <v>18690.611739712051</v>
      </c>
      <c r="M21" s="11">
        <f>M20*(1+Parameters!$C$12)</f>
        <v>529.40640369928894</v>
      </c>
      <c r="N21" s="5">
        <f t="shared" si="8"/>
        <v>520.71946826689179</v>
      </c>
      <c r="O21" s="11">
        <f t="shared" si="9"/>
        <v>3037.0692756072717</v>
      </c>
      <c r="P21" s="11">
        <f t="shared" si="7"/>
        <v>62166441.558176287</v>
      </c>
      <c r="Q21" s="11">
        <f>ABS(Assumptions!$C$8*'Calculation_Scenario 1'!P21)</f>
        <v>3108322.0779088144</v>
      </c>
      <c r="R21" s="11">
        <f t="shared" si="10"/>
        <v>65274763.6360851</v>
      </c>
    </row>
    <row r="22" spans="1:18" x14ac:dyDescent="0.25">
      <c r="A22">
        <v>16</v>
      </c>
      <c r="B22" s="13">
        <f>Parameters!$C$7</f>
        <v>3500</v>
      </c>
      <c r="C22" s="13">
        <f>Parameters!$C$8</f>
        <v>100000</v>
      </c>
      <c r="D22" s="13">
        <f>IF(A22=20,Parameters!$C$9,0)</f>
        <v>0</v>
      </c>
      <c r="E22">
        <f t="shared" si="0"/>
        <v>0.98038040725996067</v>
      </c>
      <c r="F22">
        <f>IF($B$2="M",VLOOKUP($B$1+A21,'Mortality rates'!$B$6:$G$101,2,0),VLOOKUP($B$1+A21,'Mortality rates'!$B$6:$G$101,3,0))</f>
        <v>1.688E-3</v>
      </c>
      <c r="G22" s="11">
        <f t="shared" si="1"/>
        <v>165.76802917873508</v>
      </c>
      <c r="H22" s="11">
        <f t="shared" si="2"/>
        <v>858.16709686454135</v>
      </c>
      <c r="I22" s="11">
        <f t="shared" si="3"/>
        <v>0</v>
      </c>
      <c r="J22" s="11">
        <f t="shared" si="4"/>
        <v>79919.307239298127</v>
      </c>
      <c r="K22" s="11">
        <f t="shared" si="5"/>
        <v>3437.1333064311179</v>
      </c>
      <c r="L22" s="11">
        <f t="shared" si="6"/>
        <v>15857.964321301019</v>
      </c>
      <c r="M22" s="11">
        <f>M21*(1+Parameters!$C$12)</f>
        <v>545.28859581026768</v>
      </c>
      <c r="N22" s="5">
        <f t="shared" si="8"/>
        <v>535.49416979329339</v>
      </c>
      <c r="O22" s="11">
        <f t="shared" si="9"/>
        <v>2617.0037996339952</v>
      </c>
      <c r="P22" s="11">
        <f t="shared" si="7"/>
        <v>67536513.814495653</v>
      </c>
      <c r="Q22" s="11">
        <f>ABS(Assumptions!$C$8*'Calculation_Scenario 1'!P22)</f>
        <v>3376825.6907247826</v>
      </c>
      <c r="R22" s="11">
        <f t="shared" si="10"/>
        <v>70913339.505220443</v>
      </c>
    </row>
    <row r="23" spans="1:18" x14ac:dyDescent="0.25">
      <c r="A23">
        <v>17</v>
      </c>
      <c r="B23" s="13">
        <f>Parameters!$C$7</f>
        <v>3500</v>
      </c>
      <c r="C23" s="13">
        <f>Parameters!$C$8</f>
        <v>100000</v>
      </c>
      <c r="D23" s="13">
        <f>IF(A23=20,Parameters!$C$9,0)</f>
        <v>0</v>
      </c>
      <c r="E23">
        <f t="shared" si="0"/>
        <v>0.97860199720119112</v>
      </c>
      <c r="F23">
        <f>IF($B$2="M",VLOOKUP($B$1+A22,'Mortality rates'!$B$6:$G$101,2,0),VLOOKUP($B$1+A22,'Mortality rates'!$B$6:$G$101,3,0))</f>
        <v>1.8140000000000001E-3</v>
      </c>
      <c r="G23" s="11">
        <f t="shared" si="1"/>
        <v>177.84100587695687</v>
      </c>
      <c r="H23" s="11">
        <f t="shared" si="2"/>
        <v>726.72575156038795</v>
      </c>
      <c r="I23" s="11">
        <f t="shared" si="3"/>
        <v>0</v>
      </c>
      <c r="J23" s="11">
        <f t="shared" si="4"/>
        <v>83116.079528870061</v>
      </c>
      <c r="K23" s="11">
        <f t="shared" si="5"/>
        <v>3431.3314254098623</v>
      </c>
      <c r="L23" s="11">
        <f t="shared" si="6"/>
        <v>12917.664255464697</v>
      </c>
      <c r="M23" s="11">
        <f>M22*(1+Parameters!$C$12)</f>
        <v>561.64725368457573</v>
      </c>
      <c r="N23" s="5">
        <f t="shared" si="8"/>
        <v>550.62796330372282</v>
      </c>
      <c r="O23" s="11">
        <f t="shared" si="9"/>
        <v>2164.7700150343298</v>
      </c>
      <c r="P23" s="11">
        <f t="shared" si="7"/>
        <v>73089911.040000081</v>
      </c>
      <c r="Q23" s="11">
        <f>ABS(Assumptions!$C$8*'Calculation_Scenario 1'!P23)</f>
        <v>3654495.5520000043</v>
      </c>
      <c r="R23" s="11">
        <f t="shared" si="10"/>
        <v>76744406.592000082</v>
      </c>
    </row>
    <row r="24" spans="1:18" x14ac:dyDescent="0.25">
      <c r="A24">
        <v>18</v>
      </c>
      <c r="B24" s="13">
        <f>Parameters!$C$7</f>
        <v>3500</v>
      </c>
      <c r="C24" s="13">
        <f>Parameters!$C$8</f>
        <v>100000</v>
      </c>
      <c r="D24" s="13">
        <f>IF(A24=20,Parameters!$C$9,0)</f>
        <v>0</v>
      </c>
      <c r="E24">
        <f t="shared" si="0"/>
        <v>0.97668295868467958</v>
      </c>
      <c r="F24">
        <f>IF($B$2="M",VLOOKUP($B$1+A23,'Mortality rates'!$B$6:$G$101,2,0),VLOOKUP($B$1+A23,'Mortality rates'!$B$6:$G$101,3,0))</f>
        <v>1.9610000000000001E-3</v>
      </c>
      <c r="G24" s="11">
        <f t="shared" si="1"/>
        <v>191.90385165115356</v>
      </c>
      <c r="H24" s="11">
        <f t="shared" si="2"/>
        <v>577.95377574584666</v>
      </c>
      <c r="I24" s="11">
        <f t="shared" si="3"/>
        <v>0</v>
      </c>
      <c r="J24" s="11">
        <f t="shared" si="4"/>
        <v>86440.722710024871</v>
      </c>
      <c r="K24" s="11">
        <f t="shared" si="5"/>
        <v>3425.1069902041691</v>
      </c>
      <c r="L24" s="11">
        <f t="shared" si="6"/>
        <v>9865.786143257028</v>
      </c>
      <c r="M24" s="11">
        <f>M23*(1+Parameters!$C$12)</f>
        <v>578.49667129511306</v>
      </c>
      <c r="N24" s="5">
        <f t="shared" si="8"/>
        <v>566.11799790363864</v>
      </c>
      <c r="O24" s="11">
        <f t="shared" si="9"/>
        <v>1678.7077337998312</v>
      </c>
      <c r="P24" s="11">
        <f t="shared" si="7"/>
        <v>78831598.076313525</v>
      </c>
      <c r="Q24" s="11">
        <f>ABS(Assumptions!$C$8*'Calculation_Scenario 1'!P24)</f>
        <v>3941579.9038156765</v>
      </c>
      <c r="R24" s="11">
        <f t="shared" si="10"/>
        <v>82773177.980129197</v>
      </c>
    </row>
    <row r="25" spans="1:18" x14ac:dyDescent="0.25">
      <c r="A25">
        <v>19</v>
      </c>
      <c r="B25" s="13">
        <f>Parameters!$C$7</f>
        <v>3500</v>
      </c>
      <c r="C25" s="13">
        <f>Parameters!$C$8</f>
        <v>100000</v>
      </c>
      <c r="D25" s="13">
        <f>IF(A25=20,Parameters!$C$9,0)</f>
        <v>0</v>
      </c>
      <c r="E25">
        <f t="shared" si="0"/>
        <v>0.97460360066563989</v>
      </c>
      <c r="F25">
        <f>IF($B$2="M",VLOOKUP($B$1+A24,'Mortality rates'!$B$6:$G$101,2,0),VLOOKUP($B$1+A24,'Mortality rates'!$B$6:$G$101,3,0))</f>
        <v>2.1289999999999998E-3</v>
      </c>
      <c r="G25" s="11">
        <f t="shared" si="1"/>
        <v>207.93580190396827</v>
      </c>
      <c r="H25" s="11">
        <f>(G25+H26)/(1+$H$3)</f>
        <v>409.16807512452709</v>
      </c>
      <c r="I25" s="11">
        <f t="shared" si="3"/>
        <v>0</v>
      </c>
      <c r="J25" s="11">
        <f t="shared" si="4"/>
        <v>89898.351618425862</v>
      </c>
      <c r="K25" s="11">
        <f t="shared" si="5"/>
        <v>3418.3903553963787</v>
      </c>
      <c r="L25" s="11">
        <f>K25+L26/(1+$H$3)</f>
        <v>6698.3063191749743</v>
      </c>
      <c r="M25" s="11">
        <f>M24*(1+Parameters!$C$12)</f>
        <v>595.85157143396646</v>
      </c>
      <c r="N25" s="5">
        <f t="shared" si="8"/>
        <v>581.95807572504202</v>
      </c>
      <c r="O25" s="11">
        <f t="shared" si="9"/>
        <v>1157.0933253320404</v>
      </c>
      <c r="P25" s="11">
        <f t="shared" si="7"/>
        <v>84766306.699707463</v>
      </c>
      <c r="Q25" s="11">
        <f>ABS(Assumptions!$C$8*'Calculation_Scenario 1'!P25)</f>
        <v>4238315.3349853735</v>
      </c>
      <c r="R25" s="11">
        <f t="shared" si="10"/>
        <v>89004622.034692839</v>
      </c>
    </row>
    <row r="26" spans="1:18" x14ac:dyDescent="0.25">
      <c r="A26">
        <v>20</v>
      </c>
      <c r="B26" s="13">
        <f>Parameters!$C$7</f>
        <v>3500</v>
      </c>
      <c r="C26" s="13">
        <f>Parameters!$C$8</f>
        <v>100000</v>
      </c>
      <c r="D26" s="13">
        <f>IF(A26=20,Parameters!$C$9,0)</f>
        <v>100000</v>
      </c>
      <c r="E26">
        <f t="shared" si="0"/>
        <v>0.97234057110489425</v>
      </c>
      <c r="F26">
        <f>IF($B$2="M",VLOOKUP($B$1+A25,'Mortality rates'!$B$6:$G$101,2,0),VLOOKUP($B$1+A25,'Mortality rates'!$B$6:$G$101,3,0))</f>
        <v>2.3219999999999998E-3</v>
      </c>
      <c r="G26" s="11">
        <f t="shared" si="1"/>
        <v>226.30295607456156</v>
      </c>
      <c r="H26" s="11">
        <f>(G26+H27)/(1+$H$3)</f>
        <v>217.59899622553996</v>
      </c>
      <c r="I26" s="11">
        <f t="shared" si="3"/>
        <v>97234.057110489419</v>
      </c>
      <c r="J26" s="11">
        <f t="shared" ref="J26" si="11">I26/(1+$H$3)</f>
        <v>93494.285683162903</v>
      </c>
      <c r="K26" s="11">
        <f t="shared" si="5"/>
        <v>3411.1126023297397</v>
      </c>
      <c r="L26" s="11">
        <f>K26+L27/(1+$H$3)</f>
        <v>3411.1126023297397</v>
      </c>
      <c r="M26" s="11">
        <f>M25*(1+Parameters!$C$12)</f>
        <v>613.7271185769855</v>
      </c>
      <c r="N26" s="5">
        <f t="shared" si="8"/>
        <v>598.14065959127822</v>
      </c>
      <c r="O26" s="11">
        <f t="shared" si="9"/>
        <v>598.14065959127822</v>
      </c>
      <c r="P26" s="11">
        <f t="shared" si="7"/>
        <v>90898912.73664999</v>
      </c>
      <c r="Q26" s="11">
        <f>ABS(Assumptions!$C$8*'Calculation_Scenario 1'!P26)</f>
        <v>4544945.6368324999</v>
      </c>
      <c r="R26" s="11">
        <f t="shared" si="10"/>
        <v>95443858.373482496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7.5703125" customWidth="1"/>
    <col min="17" max="18" width="14.28515625" bestFit="1" customWidth="1"/>
  </cols>
  <sheetData>
    <row r="1" spans="1:18" x14ac:dyDescent="0.25">
      <c r="A1" s="1" t="s">
        <v>9</v>
      </c>
      <c r="B1" s="10">
        <v>30</v>
      </c>
      <c r="P1" s="19"/>
    </row>
    <row r="2" spans="1:18" x14ac:dyDescent="0.25">
      <c r="A2" s="1" t="s">
        <v>37</v>
      </c>
      <c r="B2" s="10" t="s">
        <v>38</v>
      </c>
    </row>
    <row r="3" spans="1:18" x14ac:dyDescent="0.25">
      <c r="A3" s="1" t="s">
        <v>40</v>
      </c>
      <c r="B3">
        <v>1000</v>
      </c>
      <c r="G3" s="1" t="s">
        <v>11</v>
      </c>
      <c r="H3" s="9">
        <f>Assumptions!C7+1%</f>
        <v>0.05</v>
      </c>
    </row>
    <row r="5" spans="1:18" ht="45" x14ac:dyDescent="0.25">
      <c r="A5" s="7" t="s">
        <v>2</v>
      </c>
      <c r="B5" s="7" t="s">
        <v>3</v>
      </c>
      <c r="C5" s="7" t="s">
        <v>4</v>
      </c>
      <c r="D5" s="7" t="s">
        <v>12</v>
      </c>
      <c r="E5" s="7" t="s">
        <v>7</v>
      </c>
      <c r="F5" s="7" t="s">
        <v>5</v>
      </c>
      <c r="G5" s="7" t="s">
        <v>76</v>
      </c>
      <c r="H5" s="7" t="s">
        <v>10</v>
      </c>
      <c r="I5" s="7" t="s">
        <v>77</v>
      </c>
      <c r="J5" s="7" t="s">
        <v>15</v>
      </c>
      <c r="K5" s="7" t="s">
        <v>78</v>
      </c>
      <c r="L5" s="7" t="s">
        <v>14</v>
      </c>
      <c r="M5" s="7" t="s">
        <v>79</v>
      </c>
      <c r="N5" s="7" t="s">
        <v>80</v>
      </c>
      <c r="O5" s="7" t="s">
        <v>13</v>
      </c>
      <c r="P5" s="7" t="s">
        <v>0</v>
      </c>
      <c r="Q5" s="7" t="s">
        <v>1</v>
      </c>
      <c r="R5" s="1" t="s">
        <v>32</v>
      </c>
    </row>
    <row r="6" spans="1:18" x14ac:dyDescent="0.25">
      <c r="A6">
        <v>0</v>
      </c>
      <c r="E6">
        <v>1</v>
      </c>
    </row>
    <row r="7" spans="1:18" x14ac:dyDescent="0.25">
      <c r="A7">
        <v>1</v>
      </c>
      <c r="B7" s="13">
        <f>Parameters!$C$7</f>
        <v>3500</v>
      </c>
      <c r="C7" s="13">
        <f>Parameters!$C$8</f>
        <v>100000</v>
      </c>
      <c r="D7" s="13">
        <f>IF(A7=20,Parameters!$C$9,0)</f>
        <v>0</v>
      </c>
      <c r="E7">
        <f t="shared" ref="E7:E26" si="0">E6*(1-F7)</f>
        <v>0.99902599999999997</v>
      </c>
      <c r="F7">
        <f>IF($B$2="M",VLOOKUP($B$1+A6,'Mortality rates'!$B$6:$G$101,2,0),VLOOKUP($B$1+A6,'Mortality rates'!$B$6:$G$101,3,0))</f>
        <v>9.7399999999999993E-4</v>
      </c>
      <c r="G7" s="11">
        <f t="shared" ref="G7:G26" si="1">C7*F7*E6</f>
        <v>97.399999999999991</v>
      </c>
      <c r="H7" s="11">
        <f t="shared" ref="H7:H24" si="2">(G7+H8)/(1+$H$3)</f>
        <v>1608.1415278209668</v>
      </c>
      <c r="I7" s="11">
        <f t="shared" ref="I7:I26" si="3">E7*D7</f>
        <v>0</v>
      </c>
      <c r="J7" s="11">
        <f t="shared" ref="J7:J25" si="4">J8/(1+$H$3)</f>
        <v>36646.493502016128</v>
      </c>
      <c r="K7" s="11">
        <f t="shared" ref="K7:K26" si="5">B7*E6</f>
        <v>3500</v>
      </c>
      <c r="L7" s="11">
        <f t="shared" ref="L7:L24" si="6">K7+L8/(1+$H$3)</f>
        <v>45382.843253069674</v>
      </c>
      <c r="M7" s="11">
        <f>Parameters!C16*Assumptions!$C$5</f>
        <v>500</v>
      </c>
      <c r="N7" s="5">
        <f>M7*E6</f>
        <v>500</v>
      </c>
      <c r="O7" s="11">
        <f>N7+(O8/(1+$H$3))</f>
        <v>8295.1488868123124</v>
      </c>
      <c r="P7" s="11">
        <f t="shared" ref="P7:P26" si="7">(H7+J7+O7-L7)*$B$3</f>
        <v>1166940.663579735</v>
      </c>
      <c r="Q7" s="11">
        <f>ABS(Assumptions!$C$8*'Calculation_Scenario 2'!P7)</f>
        <v>58347.033178986749</v>
      </c>
      <c r="R7" s="11">
        <f>P7+Q7</f>
        <v>1225287.6967587217</v>
      </c>
    </row>
    <row r="8" spans="1:18" x14ac:dyDescent="0.25">
      <c r="A8">
        <v>2</v>
      </c>
      <c r="B8" s="13">
        <f>Parameters!$C$7</f>
        <v>3500</v>
      </c>
      <c r="C8" s="13">
        <f>Parameters!$C$8</f>
        <v>100000</v>
      </c>
      <c r="D8" s="13">
        <f>IF(A8=20,Parameters!$C$9,0)</f>
        <v>0</v>
      </c>
      <c r="E8">
        <f t="shared" si="0"/>
        <v>0.99803496620800003</v>
      </c>
      <c r="F8">
        <f>IF($B$2="M",VLOOKUP($B$1+A7,'Mortality rates'!$B$6:$G$101,2,0),VLOOKUP($B$1+A7,'Mortality rates'!$B$6:$G$101,3,0))</f>
        <v>9.9199999999999983E-4</v>
      </c>
      <c r="G8" s="11">
        <f t="shared" si="1"/>
        <v>99.103379199999992</v>
      </c>
      <c r="H8" s="11">
        <f t="shared" si="2"/>
        <v>1591.148604212015</v>
      </c>
      <c r="I8" s="11">
        <f t="shared" si="3"/>
        <v>0</v>
      </c>
      <c r="J8" s="11">
        <f t="shared" si="4"/>
        <v>38478.818177116933</v>
      </c>
      <c r="K8" s="11">
        <f t="shared" si="5"/>
        <v>3496.5909999999999</v>
      </c>
      <c r="L8" s="11">
        <f t="shared" si="6"/>
        <v>43976.98541572316</v>
      </c>
      <c r="M8" s="11">
        <f>M7*(1+Parameters!$C$12)*Assumptions!$C$5</f>
        <v>515</v>
      </c>
      <c r="N8" s="5">
        <f t="shared" ref="N8:N26" si="8">M8*E7</f>
        <v>514.49838999999997</v>
      </c>
      <c r="O8" s="11">
        <f t="shared" ref="O8:O26" si="9">N8+(O9/(1+$H$3))</f>
        <v>8184.9063311529289</v>
      </c>
      <c r="P8" s="11">
        <f t="shared" si="7"/>
        <v>4277887.6967587201</v>
      </c>
      <c r="Q8" s="11">
        <f>ABS(Assumptions!$C$8*'Calculation_Scenario 2'!P8)</f>
        <v>213894.38483793603</v>
      </c>
      <c r="R8" s="11">
        <f t="shared" ref="R8:R26" si="10">P8+Q8</f>
        <v>4491782.0815966558</v>
      </c>
    </row>
    <row r="9" spans="1:18" x14ac:dyDescent="0.25">
      <c r="A9">
        <v>3</v>
      </c>
      <c r="B9" s="13">
        <f>Parameters!$C$7</f>
        <v>3500</v>
      </c>
      <c r="C9" s="13">
        <f>Parameters!$C$8</f>
        <v>100000</v>
      </c>
      <c r="D9" s="13">
        <f>IF(A9=20,Parameters!$C$9,0)</f>
        <v>0</v>
      </c>
      <c r="E9">
        <f t="shared" si="0"/>
        <v>0.99701697054246785</v>
      </c>
      <c r="F9">
        <f>IF($B$2="M",VLOOKUP($B$1+A8,'Mortality rates'!$B$6:$G$101,2,0),VLOOKUP($B$1+A8,'Mortality rates'!$B$6:$G$101,3,0))</f>
        <v>1.0199999999999999E-3</v>
      </c>
      <c r="G9" s="11">
        <f t="shared" si="1"/>
        <v>101.79956655321598</v>
      </c>
      <c r="H9" s="11">
        <f t="shared" si="2"/>
        <v>1571.6026552226158</v>
      </c>
      <c r="I9" s="11">
        <f t="shared" si="3"/>
        <v>0</v>
      </c>
      <c r="J9" s="11">
        <f t="shared" si="4"/>
        <v>40402.759085972779</v>
      </c>
      <c r="K9" s="11">
        <f t="shared" si="5"/>
        <v>3493.1223817280002</v>
      </c>
      <c r="L9" s="11">
        <f t="shared" si="6"/>
        <v>42504.414136509316</v>
      </c>
      <c r="M9" s="11">
        <f>M8*(1+Parameters!$C$12)*Assumptions!$C$5</f>
        <v>530.45000000000005</v>
      </c>
      <c r="N9" s="5">
        <f t="shared" si="8"/>
        <v>529.40764782503368</v>
      </c>
      <c r="O9" s="11">
        <f t="shared" si="9"/>
        <v>8053.9283382105759</v>
      </c>
      <c r="P9" s="11">
        <f t="shared" si="7"/>
        <v>7523875.9428966586</v>
      </c>
      <c r="Q9" s="11">
        <f>ABS(Assumptions!$C$8*'Calculation_Scenario 2'!P9)</f>
        <v>376193.79714483296</v>
      </c>
      <c r="R9" s="11">
        <f t="shared" si="10"/>
        <v>7900069.7400414916</v>
      </c>
    </row>
    <row r="10" spans="1:18" x14ac:dyDescent="0.25">
      <c r="A10">
        <v>4</v>
      </c>
      <c r="B10" s="13">
        <f>Parameters!$C$7</f>
        <v>3500</v>
      </c>
      <c r="C10" s="13">
        <f>Parameters!$C$8</f>
        <v>100000</v>
      </c>
      <c r="D10" s="13">
        <f>IF(A10=20,Parameters!$C$9,0)</f>
        <v>0</v>
      </c>
      <c r="E10">
        <f t="shared" si="0"/>
        <v>0.99597109974036879</v>
      </c>
      <c r="F10">
        <f>IF($B$2="M",VLOOKUP($B$1+A9,'Mortality rates'!$B$6:$G$101,2,0),VLOOKUP($B$1+A9,'Mortality rates'!$B$6:$G$101,3,0))</f>
        <v>1.049E-3</v>
      </c>
      <c r="G10" s="11">
        <f t="shared" si="1"/>
        <v>104.58708020990488</v>
      </c>
      <c r="H10" s="11">
        <f t="shared" si="2"/>
        <v>1548.3832214305307</v>
      </c>
      <c r="I10" s="11">
        <f t="shared" si="3"/>
        <v>0</v>
      </c>
      <c r="J10" s="11">
        <f t="shared" si="4"/>
        <v>42422.897040271419</v>
      </c>
      <c r="K10" s="11">
        <f t="shared" si="5"/>
        <v>3489.5593968986373</v>
      </c>
      <c r="L10" s="11">
        <f t="shared" si="6"/>
        <v>40961.85634252039</v>
      </c>
      <c r="M10" s="11">
        <f>M9*(1+Parameters!$C$12)*Assumptions!$C$5</f>
        <v>546.36350000000004</v>
      </c>
      <c r="N10" s="5">
        <f t="shared" si="8"/>
        <v>544.73368158497965</v>
      </c>
      <c r="O10" s="11">
        <f t="shared" si="9"/>
        <v>7900.7467249048195</v>
      </c>
      <c r="P10" s="11">
        <f t="shared" si="7"/>
        <v>10910170.644086378</v>
      </c>
      <c r="Q10" s="11">
        <f>ABS(Assumptions!$C$8*'Calculation_Scenario 2'!P10)</f>
        <v>545508.53220431891</v>
      </c>
      <c r="R10" s="11">
        <f t="shared" si="10"/>
        <v>11455679.176290696</v>
      </c>
    </row>
    <row r="11" spans="1:18" x14ac:dyDescent="0.25">
      <c r="A11">
        <v>5</v>
      </c>
      <c r="B11" s="13">
        <f>Parameters!$C$7</f>
        <v>3500</v>
      </c>
      <c r="C11" s="13">
        <f>Parameters!$C$8</f>
        <v>100000</v>
      </c>
      <c r="D11" s="13">
        <f>IF(A11=20,Parameters!$C$9,0)</f>
        <v>0</v>
      </c>
      <c r="E11">
        <f t="shared" si="0"/>
        <v>0.9948964469237489</v>
      </c>
      <c r="F11">
        <f>IF($B$2="M",VLOOKUP($B$1+A10,'Mortality rates'!$B$6:$G$101,2,0),VLOOKUP($B$1+A10,'Mortality rates'!$B$6:$G$101,3,0))</f>
        <v>1.0789999999999999E-3</v>
      </c>
      <c r="G11" s="11">
        <f t="shared" si="1"/>
        <v>107.46528166198578</v>
      </c>
      <c r="H11" s="11">
        <f t="shared" si="2"/>
        <v>1521.2153022921525</v>
      </c>
      <c r="I11" s="11">
        <f t="shared" si="3"/>
        <v>0</v>
      </c>
      <c r="J11" s="11">
        <f t="shared" si="4"/>
        <v>44544.041892284993</v>
      </c>
      <c r="K11" s="11">
        <f t="shared" si="5"/>
        <v>3485.8988490912907</v>
      </c>
      <c r="L11" s="11">
        <f t="shared" si="6"/>
        <v>39345.911792902843</v>
      </c>
      <c r="M11" s="11">
        <f>M10*(1+Parameters!$C$12)*Assumptions!$C$5</f>
        <v>562.75440500000002</v>
      </c>
      <c r="N11" s="5">
        <f t="shared" si="8"/>
        <v>560.48712363158688</v>
      </c>
      <c r="O11" s="11">
        <f t="shared" si="9"/>
        <v>7723.8136954858328</v>
      </c>
      <c r="P11" s="11">
        <f t="shared" si="7"/>
        <v>14443159.09716014</v>
      </c>
      <c r="Q11" s="11">
        <f>ABS(Assumptions!$C$8*'Calculation_Scenario 2'!P11)</f>
        <v>722157.95485800703</v>
      </c>
      <c r="R11" s="11">
        <f t="shared" si="10"/>
        <v>15165317.052018147</v>
      </c>
    </row>
    <row r="12" spans="1:18" x14ac:dyDescent="0.25">
      <c r="A12">
        <v>6</v>
      </c>
      <c r="B12" s="13">
        <f>Parameters!$C$7</f>
        <v>3500</v>
      </c>
      <c r="C12" s="13">
        <f>Parameters!$C$8</f>
        <v>100000</v>
      </c>
      <c r="D12" s="13">
        <f>IF(A12=20,Parameters!$C$9,0)</f>
        <v>0</v>
      </c>
      <c r="E12">
        <f t="shared" si="0"/>
        <v>0.99379211186766359</v>
      </c>
      <c r="F12">
        <f>IF($B$2="M",VLOOKUP($B$1+A11,'Mortality rates'!$B$6:$G$101,2,0),VLOOKUP($B$1+A11,'Mortality rates'!$B$6:$G$101,3,0))</f>
        <v>1.1099999999999999E-3</v>
      </c>
      <c r="G12" s="11">
        <f t="shared" si="1"/>
        <v>110.43350560853611</v>
      </c>
      <c r="H12" s="11">
        <f t="shared" si="2"/>
        <v>1489.8107857447744</v>
      </c>
      <c r="I12" s="11">
        <f t="shared" si="3"/>
        <v>0</v>
      </c>
      <c r="J12" s="11">
        <f t="shared" si="4"/>
        <v>46771.243986899244</v>
      </c>
      <c r="K12" s="11">
        <f t="shared" si="5"/>
        <v>3482.1375642331213</v>
      </c>
      <c r="L12" s="11">
        <f t="shared" si="6"/>
        <v>37653.013591002134</v>
      </c>
      <c r="M12" s="11">
        <f>M11*(1+Parameters!$C$12)*Assumptions!$C$5</f>
        <v>579.63703715000008</v>
      </c>
      <c r="N12" s="5">
        <f t="shared" si="8"/>
        <v>576.6788287659441</v>
      </c>
      <c r="O12" s="11">
        <f t="shared" si="9"/>
        <v>7521.4929004469586</v>
      </c>
      <c r="P12" s="11">
        <f t="shared" si="7"/>
        <v>18129534.082088847</v>
      </c>
      <c r="Q12" s="11">
        <f>ABS(Assumptions!$C$8*'Calculation_Scenario 2'!P12)</f>
        <v>906476.70410444238</v>
      </c>
      <c r="R12" s="11">
        <f t="shared" si="10"/>
        <v>19036010.786193289</v>
      </c>
    </row>
    <row r="13" spans="1:18" x14ac:dyDescent="0.25">
      <c r="A13">
        <v>7</v>
      </c>
      <c r="B13" s="13">
        <f>Parameters!$C$7</f>
        <v>3500</v>
      </c>
      <c r="C13" s="13">
        <f>Parameters!$C$8</f>
        <v>100000</v>
      </c>
      <c r="D13" s="13">
        <f>IF(A13=20,Parameters!$C$9,0)</f>
        <v>0</v>
      </c>
      <c r="E13">
        <f t="shared" si="0"/>
        <v>0.99265819506802266</v>
      </c>
      <c r="F13">
        <f>IF($B$2="M",VLOOKUP($B$1+A12,'Mortality rates'!$B$6:$G$101,2,0),VLOOKUP($B$1+A12,'Mortality rates'!$B$6:$G$101,3,0))</f>
        <v>1.1409999999999999E-3</v>
      </c>
      <c r="G13" s="11">
        <f t="shared" si="1"/>
        <v>113.39167996410039</v>
      </c>
      <c r="H13" s="11">
        <f t="shared" si="2"/>
        <v>1453.8678194234772</v>
      </c>
      <c r="I13" s="11">
        <f t="shared" si="3"/>
        <v>0</v>
      </c>
      <c r="J13" s="11">
        <f t="shared" si="4"/>
        <v>49109.806186244212</v>
      </c>
      <c r="K13" s="11">
        <f t="shared" si="5"/>
        <v>3478.2723915368224</v>
      </c>
      <c r="L13" s="11">
        <f t="shared" si="6"/>
        <v>35879.419828107471</v>
      </c>
      <c r="M13" s="11">
        <f>M12*(1+Parameters!$C$12)*Assumptions!$C$5</f>
        <v>597.02614826450008</v>
      </c>
      <c r="N13" s="5">
        <f t="shared" si="8"/>
        <v>593.31987672399441</v>
      </c>
      <c r="O13" s="11">
        <f t="shared" si="9"/>
        <v>7292.0547752650664</v>
      </c>
      <c r="P13" s="11">
        <f t="shared" si="7"/>
        <v>21976308.952825282</v>
      </c>
      <c r="Q13" s="11">
        <f>ABS(Assumptions!$C$8*'Calculation_Scenario 2'!P13)</f>
        <v>1098815.4476412642</v>
      </c>
      <c r="R13" s="11">
        <f t="shared" si="10"/>
        <v>23075124.400466546</v>
      </c>
    </row>
    <row r="14" spans="1:18" x14ac:dyDescent="0.25">
      <c r="A14">
        <v>8</v>
      </c>
      <c r="B14" s="13">
        <f>Parameters!$C$7</f>
        <v>3500</v>
      </c>
      <c r="C14" s="13">
        <f>Parameters!$C$8</f>
        <v>100000</v>
      </c>
      <c r="D14" s="13">
        <f>IF(A14=20,Parameters!$C$9,0)</f>
        <v>0</v>
      </c>
      <c r="E14">
        <f t="shared" si="0"/>
        <v>0.99149281434701275</v>
      </c>
      <c r="F14">
        <f>IF($B$2="M",VLOOKUP($B$1+A13,'Mortality rates'!$B$6:$G$101,2,0),VLOOKUP($B$1+A13,'Mortality rates'!$B$6:$G$101,3,0))</f>
        <v>1.1739999999999999E-3</v>
      </c>
      <c r="G14" s="11">
        <f t="shared" si="1"/>
        <v>116.53807210098586</v>
      </c>
      <c r="H14" s="11">
        <f t="shared" si="2"/>
        <v>1413.1695304305508</v>
      </c>
      <c r="I14" s="11">
        <f t="shared" si="3"/>
        <v>0</v>
      </c>
      <c r="J14" s="11">
        <f t="shared" si="4"/>
        <v>51565.296495556424</v>
      </c>
      <c r="K14" s="11">
        <f t="shared" si="5"/>
        <v>3474.3036827380793</v>
      </c>
      <c r="L14" s="11">
        <f t="shared" si="6"/>
        <v>34021.204808399183</v>
      </c>
      <c r="M14" s="11">
        <f>M13*(1+Parameters!$C$12)*Assumptions!$C$5</f>
        <v>614.93693271243512</v>
      </c>
      <c r="N14" s="5">
        <f t="shared" si="8"/>
        <v>610.42218570699197</v>
      </c>
      <c r="O14" s="11">
        <f t="shared" si="9"/>
        <v>7033.6716434681257</v>
      </c>
      <c r="P14" s="11">
        <f t="shared" si="7"/>
        <v>25990932.861055918</v>
      </c>
      <c r="Q14" s="11">
        <f>ABS(Assumptions!$C$8*'Calculation_Scenario 2'!P14)</f>
        <v>1299546.6430527959</v>
      </c>
      <c r="R14" s="11">
        <f t="shared" si="10"/>
        <v>27290479.504108712</v>
      </c>
    </row>
    <row r="15" spans="1:18" x14ac:dyDescent="0.25">
      <c r="A15">
        <v>9</v>
      </c>
      <c r="B15" s="13">
        <f>Parameters!$C$7</f>
        <v>3500</v>
      </c>
      <c r="C15" s="13">
        <f>Parameters!$C$8</f>
        <v>100000</v>
      </c>
      <c r="D15" s="13">
        <f>IF(A15=20,Parameters!$C$9,0)</f>
        <v>0</v>
      </c>
      <c r="E15">
        <f t="shared" si="0"/>
        <v>0.99029608252009593</v>
      </c>
      <c r="F15">
        <f>IF($B$2="M",VLOOKUP($B$1+A14,'Mortality rates'!$B$6:$G$101,2,0),VLOOKUP($B$1+A14,'Mortality rates'!$B$6:$G$101,3,0))</f>
        <v>1.207E-3</v>
      </c>
      <c r="G15" s="11">
        <f t="shared" si="1"/>
        <v>119.67318269168443</v>
      </c>
      <c r="H15" s="11">
        <f t="shared" si="2"/>
        <v>1367.2899348510925</v>
      </c>
      <c r="I15" s="11">
        <f t="shared" si="3"/>
        <v>0</v>
      </c>
      <c r="J15" s="11">
        <f t="shared" si="4"/>
        <v>54143.561320334251</v>
      </c>
      <c r="K15" s="11">
        <f t="shared" si="5"/>
        <v>3470.2248502145449</v>
      </c>
      <c r="L15" s="11">
        <f t="shared" si="6"/>
        <v>32074.246181944156</v>
      </c>
      <c r="M15" s="11">
        <f>M14*(1+Parameters!$C$12)*Assumptions!$C$5</f>
        <v>633.38504069380815</v>
      </c>
      <c r="N15" s="5">
        <f t="shared" si="8"/>
        <v>627.996716562801</v>
      </c>
      <c r="O15" s="11">
        <f t="shared" si="9"/>
        <v>6744.4119306491903</v>
      </c>
      <c r="P15" s="11">
        <f t="shared" si="7"/>
        <v>30181017.003890377</v>
      </c>
      <c r="Q15" s="11">
        <f>ABS(Assumptions!$C$8*'Calculation_Scenario 2'!P15)</f>
        <v>1509050.8501945189</v>
      </c>
      <c r="R15" s="11">
        <f t="shared" si="10"/>
        <v>31690067.854084894</v>
      </c>
    </row>
    <row r="16" spans="1:18" x14ac:dyDescent="0.25">
      <c r="A16">
        <v>10</v>
      </c>
      <c r="B16" s="13">
        <f>Parameters!$C$7</f>
        <v>3500</v>
      </c>
      <c r="C16" s="13">
        <f>Parameters!$C$8</f>
        <v>100000</v>
      </c>
      <c r="D16" s="13">
        <f>IF(A16=20,Parameters!$C$9,0)</f>
        <v>0</v>
      </c>
      <c r="E16">
        <f t="shared" si="0"/>
        <v>0.9890542512326157</v>
      </c>
      <c r="F16">
        <f>IF($B$2="M",VLOOKUP($B$1+A15,'Mortality rates'!$B$6:$G$101,2,0),VLOOKUP($B$1+A15,'Mortality rates'!$B$6:$G$101,3,0))</f>
        <v>1.2539999999999999E-3</v>
      </c>
      <c r="G16" s="11">
        <f t="shared" si="1"/>
        <v>124.18312874802002</v>
      </c>
      <c r="H16" s="11">
        <f t="shared" si="2"/>
        <v>1315.9812489019628</v>
      </c>
      <c r="I16" s="11">
        <f t="shared" si="3"/>
        <v>0</v>
      </c>
      <c r="J16" s="11">
        <f t="shared" si="4"/>
        <v>56850.739386350964</v>
      </c>
      <c r="K16" s="11">
        <f t="shared" si="5"/>
        <v>3466.0362888203358</v>
      </c>
      <c r="L16" s="11">
        <f t="shared" si="6"/>
        <v>30034.222398316095</v>
      </c>
      <c r="M16" s="11">
        <f>M15*(1+Parameters!$C$12)*Assumptions!$C$5</f>
        <v>652.38659191462239</v>
      </c>
      <c r="N16" s="5">
        <f t="shared" si="8"/>
        <v>646.05588626168708</v>
      </c>
      <c r="O16" s="11">
        <f t="shared" si="9"/>
        <v>6422.2359747907085</v>
      </c>
      <c r="P16" s="11">
        <f t="shared" si="7"/>
        <v>34554734.211727537</v>
      </c>
      <c r="Q16" s="11">
        <f>ABS(Assumptions!$C$8*'Calculation_Scenario 2'!P16)</f>
        <v>1727736.710586377</v>
      </c>
      <c r="R16" s="11">
        <f t="shared" si="10"/>
        <v>36282470.922313914</v>
      </c>
    </row>
    <row r="17" spans="1:18" x14ac:dyDescent="0.25">
      <c r="A17">
        <v>11</v>
      </c>
      <c r="B17" s="13">
        <f>Parameters!$C$7</f>
        <v>3500</v>
      </c>
      <c r="C17" s="13">
        <f>Parameters!$C$8</f>
        <v>100000</v>
      </c>
      <c r="D17" s="13">
        <f>IF(A17=20,Parameters!$C$9,0)</f>
        <v>0</v>
      </c>
      <c r="E17">
        <f t="shared" si="0"/>
        <v>0.98777441503152064</v>
      </c>
      <c r="F17">
        <f>IF($B$2="M",VLOOKUP($B$1+A16,'Mortality rates'!$B$6:$G$101,2,0),VLOOKUP($B$1+A16,'Mortality rates'!$B$6:$G$101,3,0))</f>
        <v>1.294E-3</v>
      </c>
      <c r="G17" s="11">
        <f t="shared" si="1"/>
        <v>127.98362010950048</v>
      </c>
      <c r="H17" s="11">
        <f t="shared" si="2"/>
        <v>1257.5971825990409</v>
      </c>
      <c r="I17" s="11">
        <f t="shared" si="3"/>
        <v>0</v>
      </c>
      <c r="J17" s="11">
        <f t="shared" si="4"/>
        <v>59693.276355668517</v>
      </c>
      <c r="K17" s="11">
        <f t="shared" si="5"/>
        <v>3461.689879314155</v>
      </c>
      <c r="L17" s="11">
        <f t="shared" si="6"/>
        <v>27896.59541497055</v>
      </c>
      <c r="M17" s="11">
        <f>M16*(1+Parameters!$C$12)*Assumptions!$C$5</f>
        <v>671.95818967206105</v>
      </c>
      <c r="N17" s="5">
        <f t="shared" si="8"/>
        <v>664.60310414572427</v>
      </c>
      <c r="O17" s="11">
        <f t="shared" si="9"/>
        <v>6064.9890929554731</v>
      </c>
      <c r="P17" s="11">
        <f t="shared" si="7"/>
        <v>39119267.216252483</v>
      </c>
      <c r="Q17" s="11">
        <f>ABS(Assumptions!$C$8*'Calculation_Scenario 2'!P17)</f>
        <v>1955963.3608126242</v>
      </c>
      <c r="R17" s="11">
        <f t="shared" si="10"/>
        <v>41075230.57706511</v>
      </c>
    </row>
    <row r="18" spans="1:18" x14ac:dyDescent="0.25">
      <c r="A18">
        <v>12</v>
      </c>
      <c r="B18" s="13">
        <f>Parameters!$C$7</f>
        <v>3500</v>
      </c>
      <c r="C18" s="13">
        <f>Parameters!$C$8</f>
        <v>100000</v>
      </c>
      <c r="D18" s="13">
        <f>IF(A18=20,Parameters!$C$9,0)</f>
        <v>0</v>
      </c>
      <c r="E18">
        <f t="shared" si="0"/>
        <v>0.98644585844330324</v>
      </c>
      <c r="F18">
        <f>IF($B$2="M",VLOOKUP($B$1+A17,'Mortality rates'!$B$6:$G$101,2,0),VLOOKUP($B$1+A17,'Mortality rates'!$B$6:$G$101,3,0))</f>
        <v>1.3450000000000001E-3</v>
      </c>
      <c r="G18" s="11">
        <f t="shared" si="1"/>
        <v>132.85565882173952</v>
      </c>
      <c r="H18" s="11">
        <f t="shared" si="2"/>
        <v>1192.4934216194927</v>
      </c>
      <c r="I18" s="11">
        <f t="shared" si="3"/>
        <v>0</v>
      </c>
      <c r="J18" s="11">
        <f t="shared" si="4"/>
        <v>62677.940173451949</v>
      </c>
      <c r="K18" s="11">
        <f t="shared" si="5"/>
        <v>3457.2104526103221</v>
      </c>
      <c r="L18" s="11">
        <f t="shared" si="6"/>
        <v>25656.650812439217</v>
      </c>
      <c r="M18" s="11">
        <f>M17*(1+Parameters!$C$12)*Assumptions!$C$5</f>
        <v>692.11693536222288</v>
      </c>
      <c r="N18" s="5">
        <f t="shared" si="8"/>
        <v>683.6554009608285</v>
      </c>
      <c r="O18" s="11">
        <f t="shared" si="9"/>
        <v>5670.4052882502365</v>
      </c>
      <c r="P18" s="11">
        <f t="shared" si="7"/>
        <v>43884188.070882462</v>
      </c>
      <c r="Q18" s="11">
        <f>ABS(Assumptions!$C$8*'Calculation_Scenario 2'!P18)</f>
        <v>2194209.4035441233</v>
      </c>
      <c r="R18" s="11">
        <f t="shared" si="10"/>
        <v>46078397.474426582</v>
      </c>
    </row>
    <row r="19" spans="1:18" x14ac:dyDescent="0.25">
      <c r="A19">
        <v>13</v>
      </c>
      <c r="B19" s="13">
        <f>Parameters!$C$7</f>
        <v>3500</v>
      </c>
      <c r="C19" s="13">
        <f>Parameters!$C$8</f>
        <v>100000</v>
      </c>
      <c r="D19" s="13">
        <f>IF(A19=20,Parameters!$C$9,0)</f>
        <v>0</v>
      </c>
      <c r="E19">
        <f t="shared" si="0"/>
        <v>0.98505595622875664</v>
      </c>
      <c r="F19">
        <f>IF($B$2="M",VLOOKUP($B$1+A18,'Mortality rates'!$B$6:$G$101,2,0),VLOOKUP($B$1+A18,'Mortality rates'!$B$6:$G$101,3,0))</f>
        <v>1.4089999999999999E-3</v>
      </c>
      <c r="G19" s="11">
        <f t="shared" si="1"/>
        <v>138.99022145466139</v>
      </c>
      <c r="H19" s="11">
        <f t="shared" si="2"/>
        <v>1119.2624338787277</v>
      </c>
      <c r="I19" s="11">
        <f t="shared" si="3"/>
        <v>0</v>
      </c>
      <c r="J19" s="11">
        <f t="shared" si="4"/>
        <v>65811.837182124553</v>
      </c>
      <c r="K19" s="11">
        <f t="shared" si="5"/>
        <v>3452.5605045515613</v>
      </c>
      <c r="L19" s="11">
        <f t="shared" si="6"/>
        <v>23309.412377820343</v>
      </c>
      <c r="M19" s="11">
        <f>M18*(1+Parameters!$C$12)*Assumptions!$C$5</f>
        <v>712.88044342308956</v>
      </c>
      <c r="N19" s="5">
        <f t="shared" si="8"/>
        <v>703.21796097993229</v>
      </c>
      <c r="O19" s="11">
        <f t="shared" si="9"/>
        <v>5236.0873816538779</v>
      </c>
      <c r="P19" s="11">
        <f t="shared" si="7"/>
        <v>48857774.619836822</v>
      </c>
      <c r="Q19" s="11">
        <f>ABS(Assumptions!$C$8*'Calculation_Scenario 2'!P19)</f>
        <v>2442888.7309918413</v>
      </c>
      <c r="R19" s="11">
        <f t="shared" si="10"/>
        <v>51300663.350828663</v>
      </c>
    </row>
    <row r="20" spans="1:18" x14ac:dyDescent="0.25">
      <c r="A20">
        <v>14</v>
      </c>
      <c r="B20" s="13">
        <f>Parameters!$C$7</f>
        <v>3500</v>
      </c>
      <c r="C20" s="13">
        <f>Parameters!$C$8</f>
        <v>100000</v>
      </c>
      <c r="D20" s="13">
        <f>IF(A20=20,Parameters!$C$9,0)</f>
        <v>0</v>
      </c>
      <c r="E20">
        <f t="shared" si="0"/>
        <v>0.98359117802184448</v>
      </c>
      <c r="F20">
        <f>IF($B$2="M",VLOOKUP($B$1+A19,'Mortality rates'!$B$6:$G$101,2,0),VLOOKUP($B$1+A19,'Mortality rates'!$B$6:$G$101,3,0))</f>
        <v>1.487E-3</v>
      </c>
      <c r="G20" s="11">
        <f t="shared" si="1"/>
        <v>146.47782069121612</v>
      </c>
      <c r="H20" s="11">
        <f t="shared" si="2"/>
        <v>1036.2353341180028</v>
      </c>
      <c r="I20" s="11">
        <f t="shared" si="3"/>
        <v>0</v>
      </c>
      <c r="J20" s="11">
        <f t="shared" si="4"/>
        <v>69102.429041230789</v>
      </c>
      <c r="K20" s="11">
        <f t="shared" si="5"/>
        <v>3447.6958468006483</v>
      </c>
      <c r="L20" s="11">
        <f t="shared" si="6"/>
        <v>20849.694466932222</v>
      </c>
      <c r="M20" s="11">
        <f>M19*(1+Parameters!$C$12)*Assumptions!$C$5</f>
        <v>734.2668567257823</v>
      </c>
      <c r="N20" s="5">
        <f t="shared" si="8"/>
        <v>723.29394067909891</v>
      </c>
      <c r="O20" s="11">
        <f t="shared" si="9"/>
        <v>4759.5128917076427</v>
      </c>
      <c r="P20" s="11">
        <f t="shared" si="7"/>
        <v>54048482.800124198</v>
      </c>
      <c r="Q20" s="11">
        <f>ABS(Assumptions!$C$8*'Calculation_Scenario 2'!P20)</f>
        <v>2702424.1400062102</v>
      </c>
      <c r="R20" s="11">
        <f t="shared" si="10"/>
        <v>56750906.940130405</v>
      </c>
    </row>
    <row r="21" spans="1:18" x14ac:dyDescent="0.25">
      <c r="A21">
        <v>15</v>
      </c>
      <c r="B21" s="13">
        <f>Parameters!$C$7</f>
        <v>3500</v>
      </c>
      <c r="C21" s="13">
        <f>Parameters!$C$8</f>
        <v>100000</v>
      </c>
      <c r="D21" s="13">
        <f>IF(A21=20,Parameters!$C$9,0)</f>
        <v>0</v>
      </c>
      <c r="E21">
        <f t="shared" si="0"/>
        <v>0.98203808755174804</v>
      </c>
      <c r="F21">
        <f>IF($B$2="M",VLOOKUP($B$1+A20,'Mortality rates'!$B$6:$G$101,2,0),VLOOKUP($B$1+A20,'Mortality rates'!$B$6:$G$101,3,0))</f>
        <v>1.5789999999999999E-3</v>
      </c>
      <c r="G21" s="11">
        <f t="shared" si="1"/>
        <v>155.30904700964922</v>
      </c>
      <c r="H21" s="11">
        <f t="shared" si="2"/>
        <v>941.56928013268691</v>
      </c>
      <c r="I21" s="11">
        <f t="shared" si="3"/>
        <v>0</v>
      </c>
      <c r="J21" s="11">
        <f t="shared" si="4"/>
        <v>72557.550493292336</v>
      </c>
      <c r="K21" s="11">
        <f t="shared" si="5"/>
        <v>3442.5691230764555</v>
      </c>
      <c r="L21" s="11">
        <f t="shared" si="6"/>
        <v>18272.098551138151</v>
      </c>
      <c r="M21" s="11">
        <f>M20*(1+Parameters!$C$12)*Assumptions!$C$5</f>
        <v>756.29486242755581</v>
      </c>
      <c r="N21" s="5">
        <f t="shared" si="8"/>
        <v>743.88495466698839</v>
      </c>
      <c r="O21" s="11">
        <f t="shared" si="9"/>
        <v>4238.0298985799709</v>
      </c>
      <c r="P21" s="11">
        <f t="shared" si="7"/>
        <v>59465051.120866843</v>
      </c>
      <c r="Q21" s="11">
        <f>ABS(Assumptions!$C$8*'Calculation_Scenario 2'!P21)</f>
        <v>2973252.5560433422</v>
      </c>
      <c r="R21" s="11">
        <f t="shared" si="10"/>
        <v>62438303.676910184</v>
      </c>
    </row>
    <row r="22" spans="1:18" x14ac:dyDescent="0.25">
      <c r="A22">
        <v>16</v>
      </c>
      <c r="B22" s="13">
        <f>Parameters!$C$7</f>
        <v>3500</v>
      </c>
      <c r="C22" s="13">
        <f>Parameters!$C$8</f>
        <v>100000</v>
      </c>
      <c r="D22" s="13">
        <f>IF(A22=20,Parameters!$C$9,0)</f>
        <v>0</v>
      </c>
      <c r="E22">
        <f t="shared" si="0"/>
        <v>0.98038040725996067</v>
      </c>
      <c r="F22">
        <f>IF($B$2="M",VLOOKUP($B$1+A21,'Mortality rates'!$B$6:$G$101,2,0),VLOOKUP($B$1+A21,'Mortality rates'!$B$6:$G$101,3,0))</f>
        <v>1.688E-3</v>
      </c>
      <c r="G22" s="11">
        <f t="shared" si="1"/>
        <v>165.76802917873508</v>
      </c>
      <c r="H22" s="11">
        <f t="shared" si="2"/>
        <v>833.33869712967203</v>
      </c>
      <c r="I22" s="11">
        <f t="shared" si="3"/>
        <v>0</v>
      </c>
      <c r="J22" s="11">
        <f t="shared" si="4"/>
        <v>76185.428017956961</v>
      </c>
      <c r="K22" s="11">
        <f t="shared" si="5"/>
        <v>3437.1333064311179</v>
      </c>
      <c r="L22" s="11">
        <f t="shared" si="6"/>
        <v>15571.005899464782</v>
      </c>
      <c r="M22" s="11">
        <f>M21*(1+Parameters!$C$12)*Assumptions!$C$5</f>
        <v>778.98370830038255</v>
      </c>
      <c r="N22" s="5">
        <f t="shared" si="8"/>
        <v>764.99167113327644</v>
      </c>
      <c r="O22" s="11">
        <f t="shared" si="9"/>
        <v>3668.8521911086318</v>
      </c>
      <c r="P22" s="11">
        <f t="shared" si="7"/>
        <v>65116613.006730475</v>
      </c>
      <c r="Q22" s="11">
        <f>ABS(Assumptions!$C$8*'Calculation_Scenario 2'!P22)</f>
        <v>3255830.650336524</v>
      </c>
      <c r="R22" s="11">
        <f t="shared" si="10"/>
        <v>68372443.657067001</v>
      </c>
    </row>
    <row r="23" spans="1:18" x14ac:dyDescent="0.25">
      <c r="A23">
        <v>17</v>
      </c>
      <c r="B23" s="13">
        <f>Parameters!$C$7</f>
        <v>3500</v>
      </c>
      <c r="C23" s="13">
        <f>Parameters!$C$8</f>
        <v>100000</v>
      </c>
      <c r="D23" s="13">
        <f>IF(A23=20,Parameters!$C$9,0)</f>
        <v>0</v>
      </c>
      <c r="E23">
        <f t="shared" si="0"/>
        <v>0.97860199720119112</v>
      </c>
      <c r="F23">
        <f>IF($B$2="M",VLOOKUP($B$1+A22,'Mortality rates'!$B$6:$G$101,2,0),VLOOKUP($B$1+A22,'Mortality rates'!$B$6:$G$101,3,0))</f>
        <v>1.8140000000000001E-3</v>
      </c>
      <c r="G23" s="11">
        <f t="shared" si="1"/>
        <v>177.84100587695687</v>
      </c>
      <c r="H23" s="11">
        <f t="shared" si="2"/>
        <v>709.23760280742056</v>
      </c>
      <c r="I23" s="11">
        <f t="shared" si="3"/>
        <v>0</v>
      </c>
      <c r="J23" s="11">
        <f t="shared" si="4"/>
        <v>79994.699418854812</v>
      </c>
      <c r="K23" s="11">
        <f t="shared" si="5"/>
        <v>3431.3314254098623</v>
      </c>
      <c r="L23" s="11">
        <f t="shared" si="6"/>
        <v>12740.566222685347</v>
      </c>
      <c r="M23" s="11">
        <f>M22*(1+Parameters!$C$12)*Assumptions!$C$5</f>
        <v>802.353219549394</v>
      </c>
      <c r="N23" s="5">
        <f t="shared" si="8"/>
        <v>786.61137614817551</v>
      </c>
      <c r="O23" s="11">
        <f t="shared" si="9"/>
        <v>3049.0535459741232</v>
      </c>
      <c r="P23" s="11">
        <f t="shared" si="7"/>
        <v>71012424.344951004</v>
      </c>
      <c r="Q23" s="11">
        <f>ABS(Assumptions!$C$8*'Calculation_Scenario 2'!P23)</f>
        <v>3550621.2172475504</v>
      </c>
      <c r="R23" s="11">
        <f t="shared" si="10"/>
        <v>74563045.56219855</v>
      </c>
    </row>
    <row r="24" spans="1:18" x14ac:dyDescent="0.25">
      <c r="A24">
        <v>18</v>
      </c>
      <c r="B24" s="13">
        <f>Parameters!$C$7</f>
        <v>3500</v>
      </c>
      <c r="C24" s="13">
        <f>Parameters!$C$8</f>
        <v>100000</v>
      </c>
      <c r="D24" s="13">
        <f>IF(A24=20,Parameters!$C$9,0)</f>
        <v>0</v>
      </c>
      <c r="E24">
        <f t="shared" si="0"/>
        <v>0.97668295868467958</v>
      </c>
      <c r="F24">
        <f>IF($B$2="M",VLOOKUP($B$1+A23,'Mortality rates'!$B$6:$G$101,2,0),VLOOKUP($B$1+A23,'Mortality rates'!$B$6:$G$101,3,0))</f>
        <v>1.9610000000000001E-3</v>
      </c>
      <c r="G24" s="11">
        <f t="shared" si="1"/>
        <v>191.90385165115356</v>
      </c>
      <c r="H24" s="11">
        <f t="shared" si="2"/>
        <v>566.85847707083474</v>
      </c>
      <c r="I24" s="11">
        <f t="shared" si="3"/>
        <v>0</v>
      </c>
      <c r="J24" s="11">
        <f t="shared" si="4"/>
        <v>83994.434389797563</v>
      </c>
      <c r="K24" s="11">
        <f t="shared" si="5"/>
        <v>3425.1069902041691</v>
      </c>
      <c r="L24" s="11">
        <f t="shared" si="6"/>
        <v>9774.6965371392598</v>
      </c>
      <c r="M24" s="11">
        <f>M23*(1+Parameters!$C$12)*Assumptions!$C$5</f>
        <v>826.42381613587588</v>
      </c>
      <c r="N24" s="5">
        <f t="shared" si="8"/>
        <v>808.73999700519812</v>
      </c>
      <c r="O24" s="11">
        <f t="shared" si="9"/>
        <v>2375.5642783172452</v>
      </c>
      <c r="P24" s="11">
        <f t="shared" si="7"/>
        <v>77162160.608046398</v>
      </c>
      <c r="Q24" s="11">
        <f>ABS(Assumptions!$C$8*'Calculation_Scenario 2'!P24)</f>
        <v>3858108.03040232</v>
      </c>
      <c r="R24" s="11">
        <f t="shared" si="10"/>
        <v>81020268.638448715</v>
      </c>
    </row>
    <row r="25" spans="1:18" x14ac:dyDescent="0.25">
      <c r="A25">
        <v>19</v>
      </c>
      <c r="B25" s="13">
        <f>Parameters!$C$7</f>
        <v>3500</v>
      </c>
      <c r="C25" s="13">
        <f>Parameters!$C$8</f>
        <v>100000</v>
      </c>
      <c r="D25" s="13">
        <f>IF(A25=20,Parameters!$C$9,0)</f>
        <v>0</v>
      </c>
      <c r="E25">
        <f t="shared" si="0"/>
        <v>0.97460360066563989</v>
      </c>
      <c r="F25">
        <f>IF($B$2="M",VLOOKUP($B$1+A24,'Mortality rates'!$B$6:$G$101,2,0),VLOOKUP($B$1+A24,'Mortality rates'!$B$6:$G$101,3,0))</f>
        <v>2.1289999999999998E-3</v>
      </c>
      <c r="G25" s="11">
        <f t="shared" si="1"/>
        <v>207.93580190396827</v>
      </c>
      <c r="H25" s="11">
        <f>(G25+H26)/(1+$H$3)</f>
        <v>403.29754927322284</v>
      </c>
      <c r="I25" s="11">
        <f t="shared" si="3"/>
        <v>0</v>
      </c>
      <c r="J25" s="11">
        <f t="shared" si="4"/>
        <v>88194.156109287447</v>
      </c>
      <c r="K25" s="11">
        <f t="shared" si="5"/>
        <v>3418.3903553963787</v>
      </c>
      <c r="L25" s="11">
        <f>K25+L26/(1+$H$3)</f>
        <v>6667.0690242818455</v>
      </c>
      <c r="M25" s="11">
        <f>M24*(1+Parameters!$C$12)*Assumptions!$C$5</f>
        <v>851.21653061995221</v>
      </c>
      <c r="N25" s="5">
        <f t="shared" si="8"/>
        <v>831.36867960720303</v>
      </c>
      <c r="O25" s="11">
        <f t="shared" si="9"/>
        <v>1645.1654953776497</v>
      </c>
      <c r="P25" s="11">
        <f t="shared" si="7"/>
        <v>83575550.129656479</v>
      </c>
      <c r="Q25" s="11">
        <f>ABS(Assumptions!$C$8*'Calculation_Scenario 2'!P25)</f>
        <v>4178777.5064828242</v>
      </c>
      <c r="R25" s="11">
        <f t="shared" si="10"/>
        <v>87754327.636139303</v>
      </c>
    </row>
    <row r="26" spans="1:18" x14ac:dyDescent="0.25">
      <c r="A26">
        <v>20</v>
      </c>
      <c r="B26" s="13">
        <f>Parameters!$C$7</f>
        <v>3500</v>
      </c>
      <c r="C26" s="13">
        <f>Parameters!$C$8</f>
        <v>100000</v>
      </c>
      <c r="D26" s="13">
        <f>IF(A26=20,Parameters!$C$9,0)</f>
        <v>100000</v>
      </c>
      <c r="E26">
        <f t="shared" si="0"/>
        <v>0.97234057110489425</v>
      </c>
      <c r="F26">
        <f>IF($B$2="M",VLOOKUP($B$1+A25,'Mortality rates'!$B$6:$G$101,2,0),VLOOKUP($B$1+A25,'Mortality rates'!$B$6:$G$101,3,0))</f>
        <v>2.3219999999999998E-3</v>
      </c>
      <c r="G26" s="11">
        <f t="shared" si="1"/>
        <v>226.30295607456156</v>
      </c>
      <c r="H26" s="11">
        <f>(G26+H27)/(1+$H$3)</f>
        <v>215.52662483291576</v>
      </c>
      <c r="I26" s="11">
        <f t="shared" si="3"/>
        <v>97234.057110489419</v>
      </c>
      <c r="J26" s="11">
        <f t="shared" ref="J26" si="11">I26/(1+$H$3)</f>
        <v>92603.863914751826</v>
      </c>
      <c r="K26" s="11">
        <f t="shared" si="5"/>
        <v>3411.1126023297397</v>
      </c>
      <c r="L26" s="11">
        <f>K26+L27/(1+$H$3)</f>
        <v>3411.1126023297397</v>
      </c>
      <c r="M26" s="11">
        <f>M25*(1+Parameters!$C$12)*Assumptions!$C$5</f>
        <v>876.75302653855078</v>
      </c>
      <c r="N26" s="5">
        <f t="shared" si="8"/>
        <v>854.48665655896889</v>
      </c>
      <c r="O26" s="11">
        <f t="shared" si="9"/>
        <v>854.48665655896889</v>
      </c>
      <c r="P26" s="11">
        <f t="shared" si="7"/>
        <v>90262764.593813956</v>
      </c>
      <c r="Q26" s="11">
        <f>ABS(Assumptions!$C$8*'Calculation_Scenario 2'!P26)</f>
        <v>4513138.229690698</v>
      </c>
      <c r="R26" s="11">
        <f t="shared" si="10"/>
        <v>94775902.823504657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J140"/>
  <sheetViews>
    <sheetView workbookViewId="0"/>
  </sheetViews>
  <sheetFormatPr defaultRowHeight="15" x14ac:dyDescent="0.25"/>
  <cols>
    <col min="3" max="3" width="43.28515625" customWidth="1"/>
    <col min="4" max="4" width="18.5703125" bestFit="1" customWidth="1"/>
    <col min="5" max="5" width="23.5703125" bestFit="1" customWidth="1"/>
    <col min="6" max="6" width="36" bestFit="1" customWidth="1"/>
    <col min="7" max="7" width="14" bestFit="1" customWidth="1"/>
  </cols>
  <sheetData>
    <row r="2" spans="2:10" x14ac:dyDescent="0.25">
      <c r="C2" s="1" t="s">
        <v>43</v>
      </c>
    </row>
    <row r="4" spans="2:10" x14ac:dyDescent="0.25">
      <c r="C4" s="14" t="s">
        <v>54</v>
      </c>
      <c r="D4" s="15">
        <v>2022</v>
      </c>
    </row>
    <row r="5" spans="2:10" x14ac:dyDescent="0.25">
      <c r="C5" s="14" t="s">
        <v>33</v>
      </c>
      <c r="D5" s="17">
        <f>'Calculation_Old Regime'!P7</f>
        <v>0</v>
      </c>
    </row>
    <row r="6" spans="2:10" x14ac:dyDescent="0.25">
      <c r="C6" s="16" t="s">
        <v>42</v>
      </c>
      <c r="D6" s="18">
        <f>'Calculation_Remove Flooring'!P7-'Calculation_Old Regime'!P7</f>
        <v>-1554258.9188197816</v>
      </c>
    </row>
    <row r="7" spans="2:10" x14ac:dyDescent="0.25">
      <c r="C7" s="16" t="s">
        <v>34</v>
      </c>
      <c r="D7" s="18">
        <f>'Calculation_New Discount'!P7-'Calculation_Remove Flooring'!P7</f>
        <v>9190339.7287136912</v>
      </c>
    </row>
    <row r="8" spans="2:10" x14ac:dyDescent="0.25">
      <c r="C8" s="16" t="s">
        <v>36</v>
      </c>
      <c r="D8" s="18">
        <v>0</v>
      </c>
    </row>
    <row r="9" spans="2:10" x14ac:dyDescent="0.25">
      <c r="C9" s="16" t="s">
        <v>35</v>
      </c>
      <c r="D9" s="18">
        <f>'Calculation_Replace MAD with RA'!R7-'Calculation_New Discount'!P7</f>
        <v>-1134283.1940058451</v>
      </c>
    </row>
    <row r="10" spans="2:10" x14ac:dyDescent="0.25">
      <c r="C10" s="14" t="s">
        <v>44</v>
      </c>
      <c r="D10" s="17">
        <f>SUM(D5:D9)</f>
        <v>6501797.6158880647</v>
      </c>
    </row>
    <row r="13" spans="2:10" x14ac:dyDescent="0.25">
      <c r="B13" t="s">
        <v>56</v>
      </c>
      <c r="C13" s="14" t="s">
        <v>68</v>
      </c>
      <c r="D13" s="15">
        <v>2022</v>
      </c>
      <c r="F13" s="14" t="s">
        <v>68</v>
      </c>
      <c r="G13" s="15">
        <v>2022</v>
      </c>
    </row>
    <row r="14" spans="2:10" x14ac:dyDescent="0.25">
      <c r="C14" s="14" t="s">
        <v>33</v>
      </c>
      <c r="D14" s="17">
        <f>'Calculation_Old Regime'!P7</f>
        <v>0</v>
      </c>
      <c r="F14" s="14" t="s">
        <v>33</v>
      </c>
      <c r="G14" s="17">
        <f>'Calculation_Old Regime'!P7</f>
        <v>0</v>
      </c>
      <c r="J14" s="19"/>
    </row>
    <row r="15" spans="2:10" x14ac:dyDescent="0.25">
      <c r="C15" s="16" t="s">
        <v>42</v>
      </c>
      <c r="D15" s="18">
        <f>'Calculation_Remove Flooring'!P7-'Calculation_Old Regime'!P7</f>
        <v>-1554258.9188197816</v>
      </c>
      <c r="F15" s="16" t="s">
        <v>42</v>
      </c>
      <c r="G15" s="18">
        <f>'Calculation_Remove Flooring'!P7-'Calculation_Old Regime'!P7</f>
        <v>-1554258.9188197816</v>
      </c>
      <c r="J15" s="19"/>
    </row>
    <row r="16" spans="2:10" x14ac:dyDescent="0.25">
      <c r="C16" s="16" t="s">
        <v>34</v>
      </c>
      <c r="D16" s="18">
        <f>'Calculation_New Discount'!P7-'Calculation_Remove Flooring'!P7</f>
        <v>9190339.7287136912</v>
      </c>
      <c r="F16" s="16" t="s">
        <v>34</v>
      </c>
      <c r="G16" s="18">
        <f>'Calculation_New Discount'!P7-'Calculation_Remove Flooring'!P7</f>
        <v>9190339.7287136912</v>
      </c>
      <c r="J16" s="19"/>
    </row>
    <row r="17" spans="2:10" x14ac:dyDescent="0.25">
      <c r="C17" s="16" t="s">
        <v>36</v>
      </c>
      <c r="D17" s="18">
        <f>'Calculation_70% Attributable'!P7-'Calculation_New Discount'!P7</f>
        <v>-3115682.9169707419</v>
      </c>
      <c r="F17" s="16" t="s">
        <v>35</v>
      </c>
      <c r="G17" s="18">
        <f>'Calculation_Replace MAD with RA'!R7-'Calculation_New Discount'!P7</f>
        <v>-1134283.1940058451</v>
      </c>
      <c r="J17" s="19"/>
    </row>
    <row r="18" spans="2:10" x14ac:dyDescent="0.25">
      <c r="C18" s="16" t="s">
        <v>35</v>
      </c>
      <c r="D18" s="18">
        <f>'Calculation_Scenario 1'!R7-'Calculation_70% Attributable'!P7</f>
        <v>-865968.59465992637</v>
      </c>
      <c r="F18" s="16" t="s">
        <v>36</v>
      </c>
      <c r="G18" s="18">
        <f>'Calculation_Scenario 1'!R7-'Calculation_Replace MAD with RA'!R7</f>
        <v>-2847368.3176248232</v>
      </c>
    </row>
    <row r="19" spans="2:10" x14ac:dyDescent="0.25">
      <c r="C19" s="14" t="s">
        <v>44</v>
      </c>
      <c r="D19" s="17">
        <f>SUM(D14:D18)</f>
        <v>3654429.2982632415</v>
      </c>
      <c r="F19" s="14" t="s">
        <v>44</v>
      </c>
      <c r="G19" s="17">
        <f>SUM(G14:G18)</f>
        <v>3654429.2982632415</v>
      </c>
    </row>
    <row r="23" spans="2:10" x14ac:dyDescent="0.25">
      <c r="B23" t="s">
        <v>57</v>
      </c>
      <c r="C23" s="14" t="s">
        <v>69</v>
      </c>
      <c r="D23" s="15">
        <v>2022</v>
      </c>
    </row>
    <row r="24" spans="2:10" x14ac:dyDescent="0.25">
      <c r="C24" s="14" t="s">
        <v>33</v>
      </c>
      <c r="D24" s="17">
        <f>'Calculation_Old Regime'!P7</f>
        <v>0</v>
      </c>
    </row>
    <row r="25" spans="2:10" x14ac:dyDescent="0.25">
      <c r="C25" s="16" t="s">
        <v>42</v>
      </c>
      <c r="D25" s="18">
        <f>'Calculation_Remove Flooring'!P7-'Calculation_Old Regime'!P7</f>
        <v>-1554258.9188197816</v>
      </c>
      <c r="J25" s="19"/>
    </row>
    <row r="26" spans="2:10" x14ac:dyDescent="0.25">
      <c r="C26" s="16" t="s">
        <v>34</v>
      </c>
      <c r="D26" s="18">
        <f>'Calculation_Discount_LP_1%'!P7-'Calculation_Remove Flooring'!P7</f>
        <v>4039909.2203146936</v>
      </c>
      <c r="J26" s="19"/>
    </row>
    <row r="27" spans="2:10" x14ac:dyDescent="0.25">
      <c r="C27" s="16" t="s">
        <v>36</v>
      </c>
      <c r="D27" s="18">
        <v>0</v>
      </c>
      <c r="J27" s="19"/>
    </row>
    <row r="28" spans="2:10" x14ac:dyDescent="0.25">
      <c r="C28" s="16" t="s">
        <v>35</v>
      </c>
      <c r="D28" s="18">
        <f>'Calculation_Scenario 2'!R7-'Calculation_Discount_LP_1%'!P7</f>
        <v>-1260362.6047361905</v>
      </c>
    </row>
    <row r="29" spans="2:10" x14ac:dyDescent="0.25">
      <c r="C29" s="14" t="s">
        <v>44</v>
      </c>
      <c r="D29" s="17">
        <f>SUM(D24:D28)</f>
        <v>1225287.6967587217</v>
      </c>
    </row>
    <row r="33" spans="2:4" x14ac:dyDescent="0.25">
      <c r="C33" s="1" t="s">
        <v>55</v>
      </c>
    </row>
    <row r="35" spans="2:4" x14ac:dyDescent="0.25">
      <c r="B35" t="s">
        <v>58</v>
      </c>
      <c r="C35" t="s">
        <v>59</v>
      </c>
    </row>
    <row r="40" spans="2:4" x14ac:dyDescent="0.25">
      <c r="C40" s="14" t="s">
        <v>54</v>
      </c>
      <c r="D40" s="15">
        <v>2022</v>
      </c>
    </row>
    <row r="41" spans="2:4" x14ac:dyDescent="0.25">
      <c r="C41" s="14" t="s">
        <v>33</v>
      </c>
      <c r="D41" s="20">
        <f>D5</f>
        <v>0</v>
      </c>
    </row>
    <row r="42" spans="2:4" x14ac:dyDescent="0.25">
      <c r="C42" s="16" t="s">
        <v>42</v>
      </c>
      <c r="D42" s="21">
        <f t="shared" ref="D42:D46" si="0">D6</f>
        <v>-1554258.9188197816</v>
      </c>
    </row>
    <row r="43" spans="2:4" ht="30" x14ac:dyDescent="0.25">
      <c r="C43" s="22" t="s">
        <v>75</v>
      </c>
      <c r="D43" s="21">
        <f t="shared" si="0"/>
        <v>9190339.7287136912</v>
      </c>
    </row>
    <row r="44" spans="2:4" ht="30" x14ac:dyDescent="0.25">
      <c r="C44" s="22" t="s">
        <v>60</v>
      </c>
      <c r="D44" s="21">
        <f t="shared" si="0"/>
        <v>0</v>
      </c>
    </row>
    <row r="45" spans="2:4" x14ac:dyDescent="0.25">
      <c r="C45" s="16" t="s">
        <v>61</v>
      </c>
      <c r="D45" s="21">
        <f t="shared" si="0"/>
        <v>-1134283.1940058451</v>
      </c>
    </row>
    <row r="46" spans="2:4" x14ac:dyDescent="0.25">
      <c r="C46" s="14" t="s">
        <v>44</v>
      </c>
      <c r="D46" s="20">
        <f t="shared" si="0"/>
        <v>6501797.6158880647</v>
      </c>
    </row>
    <row r="64" spans="2:3" x14ac:dyDescent="0.25">
      <c r="B64" t="s">
        <v>62</v>
      </c>
      <c r="C64" t="s">
        <v>63</v>
      </c>
    </row>
    <row r="67" spans="2:6" x14ac:dyDescent="0.25">
      <c r="B67" t="s">
        <v>2</v>
      </c>
      <c r="C67" t="s">
        <v>64</v>
      </c>
      <c r="D67" t="s">
        <v>65</v>
      </c>
      <c r="E67" t="s">
        <v>66</v>
      </c>
      <c r="F67" t="s">
        <v>67</v>
      </c>
    </row>
    <row r="68" spans="2:6" x14ac:dyDescent="0.25">
      <c r="B68">
        <f>'Calculation_Old Regime'!A7</f>
        <v>1</v>
      </c>
      <c r="C68" s="5">
        <f>'Calculation_Old Regime'!P7</f>
        <v>0</v>
      </c>
      <c r="D68" s="5">
        <f>'Calculation_New Regime'!R7</f>
        <v>6501797.6158880638</v>
      </c>
      <c r="E68" s="5">
        <f>'Calculation_Scenario 1'!R7</f>
        <v>3654429.2982632406</v>
      </c>
      <c r="F68" s="5">
        <f>'Calculation_Scenario 2'!R7</f>
        <v>1225287.6967587217</v>
      </c>
    </row>
    <row r="69" spans="2:6" x14ac:dyDescent="0.25">
      <c r="B69">
        <f>'Calculation_Old Regime'!A8</f>
        <v>2</v>
      </c>
      <c r="C69" s="5">
        <f>'Calculation_Old Regime'!P8</f>
        <v>1372345.5460510377</v>
      </c>
      <c r="D69" s="5">
        <f>'Calculation_New Regime'!R8</f>
        <v>9935599.5205235891</v>
      </c>
      <c r="E69" s="5">
        <f>'Calculation_Scenario 1'!R8</f>
        <v>7138136.4701937726</v>
      </c>
      <c r="F69" s="5">
        <f>'Calculation_Scenario 2'!R8</f>
        <v>4491782.0815966558</v>
      </c>
    </row>
    <row r="70" spans="2:6" x14ac:dyDescent="0.25">
      <c r="B70">
        <f>'Calculation_Old Regime'!A9</f>
        <v>3</v>
      </c>
      <c r="C70" s="5">
        <f>'Calculation_Old Regime'!P9</f>
        <v>4448949.7840990955</v>
      </c>
      <c r="D70" s="5">
        <f>'Calculation_New Regime'!R9</f>
        <v>13485410.083304532</v>
      </c>
      <c r="E70" s="5">
        <f>'Calculation_Scenario 1'!R9</f>
        <v>10744598.183525531</v>
      </c>
      <c r="F70" s="5">
        <f>'Calculation_Scenario 2'!R9</f>
        <v>7900069.7400414916</v>
      </c>
    </row>
    <row r="71" spans="2:6" x14ac:dyDescent="0.25">
      <c r="B71">
        <f>'Calculation_Old Regime'!A10</f>
        <v>4</v>
      </c>
      <c r="C71" s="5">
        <f>'Calculation_Old Regime'!P10</f>
        <v>7682736.0659373878</v>
      </c>
      <c r="D71" s="5">
        <f>'Calculation_New Regime'!R10</f>
        <v>17154313.431177877</v>
      </c>
      <c r="E71" s="5">
        <f>'Calculation_Scenario 1'!R10</f>
        <v>14477303.000835193</v>
      </c>
      <c r="F71" s="5">
        <f>'Calculation_Scenario 2'!R10</f>
        <v>11455679.176290696</v>
      </c>
    </row>
    <row r="72" spans="2:6" x14ac:dyDescent="0.25">
      <c r="B72">
        <f>'Calculation_Old Regime'!A11</f>
        <v>5</v>
      </c>
      <c r="C72" s="5">
        <f>'Calculation_Old Regime'!P11</f>
        <v>11082254.557420209</v>
      </c>
      <c r="D72" s="5">
        <f>'Calculation_New Regime'!R11</f>
        <v>20946419.215327118</v>
      </c>
      <c r="E72" s="5">
        <f>'Calculation_Scenario 1'!R11</f>
        <v>18340783.121857956</v>
      </c>
      <c r="F72" s="5">
        <f>'Calculation_Scenario 2'!R11</f>
        <v>15165317.052018147</v>
      </c>
    </row>
    <row r="73" spans="2:6" x14ac:dyDescent="0.25">
      <c r="B73">
        <f>'Calculation_Old Regime'!A12</f>
        <v>6</v>
      </c>
      <c r="C73" s="5">
        <f>'Calculation_Old Regime'!P12</f>
        <v>14656544.84195327</v>
      </c>
      <c r="D73" s="5">
        <f>'Calculation_New Regime'!R12</f>
        <v>24865987.042397108</v>
      </c>
      <c r="E73" s="5">
        <f>'Calculation_Scenario 1'!R12</f>
        <v>22339741.086890895</v>
      </c>
      <c r="F73" s="5">
        <f>'Calculation_Scenario 2'!R12</f>
        <v>19036010.786193289</v>
      </c>
    </row>
    <row r="74" spans="2:6" x14ac:dyDescent="0.25">
      <c r="B74">
        <f>'Calculation_Old Regime'!A13</f>
        <v>7</v>
      </c>
      <c r="C74" s="5">
        <f>'Calculation_Old Regime'!P13</f>
        <v>18415164.78672957</v>
      </c>
      <c r="D74" s="5">
        <f>'Calculation_New Regime'!R13</f>
        <v>28917432.282334197</v>
      </c>
      <c r="E74" s="5">
        <f>'Calculation_Scenario 1'!R13</f>
        <v>26479056.472911447</v>
      </c>
      <c r="F74" s="5">
        <f>'Calculation_Scenario 2'!R13</f>
        <v>23075124.400466546</v>
      </c>
    </row>
    <row r="75" spans="2:6" x14ac:dyDescent="0.25">
      <c r="B75">
        <f>'Calculation_Old Regime'!A14</f>
        <v>8</v>
      </c>
      <c r="C75" s="5">
        <f>'Calculation_Old Regime'!P14</f>
        <v>22368330.380720146</v>
      </c>
      <c r="D75" s="5">
        <f>'Calculation_New Regime'!R14</f>
        <v>33105436.455840852</v>
      </c>
      <c r="E75" s="5">
        <f>'Calculation_Scenario 1'!R14</f>
        <v>30763897.205655992</v>
      </c>
      <c r="F75" s="5">
        <f>'Calculation_Scenario 2'!R14</f>
        <v>27290479.504108712</v>
      </c>
    </row>
    <row r="76" spans="2:6" x14ac:dyDescent="0.25">
      <c r="B76">
        <f>'Calculation_Old Regime'!A15</f>
        <v>9</v>
      </c>
      <c r="C76" s="5">
        <f>'Calculation_Old Regime'!P15</f>
        <v>26526629.921965297</v>
      </c>
      <c r="D76" s="5">
        <f>'Calculation_New Regime'!R15</f>
        <v>37434647.533126406</v>
      </c>
      <c r="E76" s="5">
        <f>'Calculation_Scenario 1'!R15</f>
        <v>35199421.020971753</v>
      </c>
      <c r="F76" s="5">
        <f>'Calculation_Scenario 2'!R15</f>
        <v>31690067.854084894</v>
      </c>
    </row>
    <row r="77" spans="2:6" x14ac:dyDescent="0.25">
      <c r="B77">
        <f>'Calculation_Old Regime'!A16</f>
        <v>10</v>
      </c>
      <c r="C77" s="5">
        <f>'Calculation_Old Regime'!P16</f>
        <v>30901476.542117517</v>
      </c>
      <c r="D77" s="5">
        <f>'Calculation_New Regime'!R16</f>
        <v>41910089.714572914</v>
      </c>
      <c r="E77" s="5">
        <f>'Calculation_Scenario 1'!R16</f>
        <v>39791185.866278037</v>
      </c>
      <c r="F77" s="5">
        <f>'Calculation_Scenario 2'!R16</f>
        <v>36282470.922313914</v>
      </c>
    </row>
    <row r="78" spans="2:6" x14ac:dyDescent="0.25">
      <c r="B78">
        <f>'Calculation_Old Regime'!A17</f>
        <v>11</v>
      </c>
      <c r="C78" s="5">
        <f>'Calculation_Old Regime'!P17</f>
        <v>35503421.003119655</v>
      </c>
      <c r="D78" s="5">
        <f>'Calculation_New Regime'!R17</f>
        <v>46535519.61756444</v>
      </c>
      <c r="E78" s="5">
        <f>'Calculation_Scenario 1'!R17</f>
        <v>44543507.523677103</v>
      </c>
      <c r="F78" s="5">
        <f>'Calculation_Scenario 2'!R17</f>
        <v>41075230.57706511</v>
      </c>
    </row>
    <row r="79" spans="2:6" x14ac:dyDescent="0.25">
      <c r="B79">
        <f>'Calculation_Old Regime'!A18</f>
        <v>12</v>
      </c>
      <c r="C79" s="5">
        <f>'Calculation_Old Regime'!P18</f>
        <v>40345869.445172593</v>
      </c>
      <c r="D79" s="5">
        <f>'Calculation_New Regime'!R18</f>
        <v>51316976.359635979</v>
      </c>
      <c r="E79" s="5">
        <f>'Calculation_Scenario 1'!R18</f>
        <v>49463007.758911282</v>
      </c>
      <c r="F79" s="5">
        <f>'Calculation_Scenario 2'!R18</f>
        <v>46078397.474426582</v>
      </c>
    </row>
    <row r="80" spans="2:6" x14ac:dyDescent="0.25">
      <c r="B80">
        <f>'Calculation_Old Regime'!A19</f>
        <v>13</v>
      </c>
      <c r="C80" s="5">
        <f>'Calculation_Old Regime'!P19</f>
        <v>45441073.186811537</v>
      </c>
      <c r="D80" s="5">
        <f>'Calculation_New Regime'!R19</f>
        <v>56258879.08865983</v>
      </c>
      <c r="E80" s="5">
        <f>'Calculation_Scenario 1'!R19</f>
        <v>54554717.253260925</v>
      </c>
      <c r="F80" s="5">
        <f>'Calculation_Scenario 2'!R19</f>
        <v>51300663.350828663</v>
      </c>
    </row>
    <row r="81" spans="2:6" x14ac:dyDescent="0.25">
      <c r="B81">
        <f>'Calculation_Old Regime'!A20</f>
        <v>14</v>
      </c>
      <c r="C81" s="5">
        <f>'Calculation_Old Regime'!P20</f>
        <v>50801750.406504169</v>
      </c>
      <c r="D81" s="5">
        <f>'Calculation_New Regime'!R20</f>
        <v>61365576.577259071</v>
      </c>
      <c r="E81" s="5">
        <f>'Calculation_Scenario 1'!R20</f>
        <v>59823622.472461231</v>
      </c>
      <c r="F81" s="5">
        <f>'Calculation_Scenario 2'!R20</f>
        <v>56750906.940130405</v>
      </c>
    </row>
    <row r="82" spans="2:6" x14ac:dyDescent="0.25">
      <c r="B82">
        <f>'Calculation_Old Regime'!A21</f>
        <v>15</v>
      </c>
      <c r="C82" s="5">
        <f>'Calculation_Old Regime'!P21</f>
        <v>56441219.582767285</v>
      </c>
      <c r="D82" s="5">
        <f>'Calculation_New Regime'!R21</f>
        <v>66641444.810108386</v>
      </c>
      <c r="E82" s="5">
        <f>'Calculation_Scenario 1'!R21</f>
        <v>65274763.6360851</v>
      </c>
      <c r="F82" s="5">
        <f>'Calculation_Scenario 2'!R21</f>
        <v>62438303.676910184</v>
      </c>
    </row>
    <row r="83" spans="2:6" x14ac:dyDescent="0.25">
      <c r="B83">
        <f>'Calculation_Old Regime'!A22</f>
        <v>16</v>
      </c>
      <c r="C83" s="5">
        <f>'Calculation_Old Regime'!P22</f>
        <v>62373543.786088511</v>
      </c>
      <c r="D83" s="5">
        <f>'Calculation_New Regime'!R22</f>
        <v>72090991.215055734</v>
      </c>
      <c r="E83" s="5">
        <f>'Calculation_Scenario 1'!R22</f>
        <v>70913339.505220443</v>
      </c>
      <c r="F83" s="5">
        <f>'Calculation_Scenario 2'!R22</f>
        <v>68372443.657067001</v>
      </c>
    </row>
    <row r="84" spans="2:6" x14ac:dyDescent="0.25">
      <c r="B84">
        <f>'Calculation_Old Regime'!A23</f>
        <v>17</v>
      </c>
      <c r="C84" s="5">
        <f>'Calculation_Old Regime'!P23</f>
        <v>68613254.841572762</v>
      </c>
      <c r="D84" s="5">
        <f>'Calculation_New Regime'!R23</f>
        <v>77718553.098765522</v>
      </c>
      <c r="E84" s="5">
        <f>'Calculation_Scenario 1'!R23</f>
        <v>76744406.592000082</v>
      </c>
      <c r="F84" s="5">
        <f>'Calculation_Scenario 2'!R23</f>
        <v>74563045.56219855</v>
      </c>
    </row>
    <row r="85" spans="2:6" x14ac:dyDescent="0.25">
      <c r="B85">
        <f>'Calculation_Old Regime'!A24</f>
        <v>18</v>
      </c>
      <c r="C85" s="5">
        <f>'Calculation_Old Regime'!P24</f>
        <v>75175702.022139072</v>
      </c>
      <c r="D85" s="5">
        <f>'Calculation_New Regime'!R24</f>
        <v>83528596.460339114</v>
      </c>
      <c r="E85" s="5">
        <f>'Calculation_Scenario 1'!R24</f>
        <v>82773177.980129197</v>
      </c>
      <c r="F85" s="5">
        <f>'Calculation_Scenario 2'!R24</f>
        <v>81020268.638448715</v>
      </c>
    </row>
    <row r="86" spans="2:6" x14ac:dyDescent="0.25">
      <c r="B86">
        <f>'Calculation_Old Regime'!A25</f>
        <v>19</v>
      </c>
      <c r="C86" s="5">
        <f>'Calculation_Old Regime'!P25</f>
        <v>82076676.187469617</v>
      </c>
      <c r="D86" s="5">
        <f>'Calculation_New Regime'!R25</f>
        <v>89525314.031092256</v>
      </c>
      <c r="E86" s="5">
        <f>'Calculation_Scenario 1'!R25</f>
        <v>89004622.034692839</v>
      </c>
      <c r="F86" s="5">
        <f>'Calculation_Scenario 2'!R25</f>
        <v>87754327.636139303</v>
      </c>
    </row>
    <row r="87" spans="2:6" x14ac:dyDescent="0.25">
      <c r="B87">
        <f>'Calculation_Old Regime'!A26</f>
        <v>20</v>
      </c>
      <c r="C87" s="5">
        <f>'Calculation_Old Regime'!P26</f>
        <v>89332863.738486692</v>
      </c>
      <c r="D87" s="5">
        <f>'Calculation_New Regime'!R26</f>
        <v>95713021.670298547</v>
      </c>
      <c r="E87" s="5">
        <f>'Calculation_Scenario 1'!R26</f>
        <v>95443858.373482496</v>
      </c>
      <c r="F87" s="5">
        <f>'Calculation_Scenario 2'!R26</f>
        <v>94775902.823504657</v>
      </c>
    </row>
    <row r="107" spans="3:4" x14ac:dyDescent="0.25">
      <c r="C107" s="14" t="s">
        <v>68</v>
      </c>
      <c r="D107" s="15">
        <v>2022</v>
      </c>
    </row>
    <row r="108" spans="3:4" x14ac:dyDescent="0.25">
      <c r="C108" s="14" t="s">
        <v>33</v>
      </c>
      <c r="D108" s="20">
        <v>0</v>
      </c>
    </row>
    <row r="109" spans="3:4" x14ac:dyDescent="0.25">
      <c r="C109" s="16" t="s">
        <v>42</v>
      </c>
      <c r="D109" s="21">
        <v>-1554258.9188197816</v>
      </c>
    </row>
    <row r="110" spans="3:4" ht="30" x14ac:dyDescent="0.25">
      <c r="C110" s="22" t="s">
        <v>75</v>
      </c>
      <c r="D110" s="21">
        <v>9190339.7287136912</v>
      </c>
    </row>
    <row r="111" spans="3:4" ht="30" x14ac:dyDescent="0.25">
      <c r="C111" s="22" t="s">
        <v>60</v>
      </c>
      <c r="D111" s="21">
        <v>-3115682.9169707419</v>
      </c>
    </row>
    <row r="112" spans="3:4" x14ac:dyDescent="0.25">
      <c r="C112" s="16" t="s">
        <v>61</v>
      </c>
      <c r="D112" s="21">
        <v>-865968.59465992637</v>
      </c>
    </row>
    <row r="113" spans="3:4" x14ac:dyDescent="0.25">
      <c r="C113" s="14" t="s">
        <v>44</v>
      </c>
      <c r="D113" s="20">
        <v>3654429.2982632415</v>
      </c>
    </row>
    <row r="134" spans="3:4" x14ac:dyDescent="0.25">
      <c r="C134" s="14" t="s">
        <v>69</v>
      </c>
      <c r="D134" s="15">
        <v>2022</v>
      </c>
    </row>
    <row r="135" spans="3:4" x14ac:dyDescent="0.25">
      <c r="C135" s="14" t="s">
        <v>33</v>
      </c>
      <c r="D135" s="20">
        <v>0</v>
      </c>
    </row>
    <row r="136" spans="3:4" x14ac:dyDescent="0.25">
      <c r="C136" s="16" t="s">
        <v>42</v>
      </c>
      <c r="D136" s="21">
        <v>-1554258.9188197816</v>
      </c>
    </row>
    <row r="137" spans="3:4" ht="30" x14ac:dyDescent="0.25">
      <c r="C137" s="22" t="s">
        <v>75</v>
      </c>
      <c r="D137" s="21">
        <v>4039909.2203146936</v>
      </c>
    </row>
    <row r="138" spans="3:4" ht="30" x14ac:dyDescent="0.25">
      <c r="C138" s="22" t="s">
        <v>60</v>
      </c>
      <c r="D138" s="21">
        <v>0</v>
      </c>
    </row>
    <row r="139" spans="3:4" x14ac:dyDescent="0.25">
      <c r="C139" s="16" t="s">
        <v>61</v>
      </c>
      <c r="D139" s="21">
        <v>-1260362.6047361905</v>
      </c>
    </row>
    <row r="140" spans="3:4" x14ac:dyDescent="0.25">
      <c r="C140" s="14" t="s">
        <v>44</v>
      </c>
      <c r="D140" s="20">
        <v>1225287.6967587217</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4.28515625" bestFit="1" customWidth="1"/>
  </cols>
  <sheetData>
    <row r="1" spans="1:16" x14ac:dyDescent="0.25">
      <c r="A1" s="1" t="s">
        <v>9</v>
      </c>
      <c r="B1" s="10">
        <v>30</v>
      </c>
    </row>
    <row r="2" spans="1:16" x14ac:dyDescent="0.25">
      <c r="A2" s="1" t="s">
        <v>37</v>
      </c>
      <c r="B2" s="10" t="s">
        <v>38</v>
      </c>
    </row>
    <row r="3" spans="1:16" x14ac:dyDescent="0.25">
      <c r="A3" s="1" t="s">
        <v>40</v>
      </c>
      <c r="B3">
        <v>1000</v>
      </c>
      <c r="G3" s="1" t="s">
        <v>11</v>
      </c>
      <c r="H3" s="6">
        <f>Parameters!C5</f>
        <v>0.06</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f t="shared" ref="E7:E26" si="0">E6*(1-F7)</f>
        <v>0.99892860000000006</v>
      </c>
      <c r="F7">
        <f>IF($B$2="M",VLOOKUP($B$1+A6,'Mortality rates'!$B$6:$G$101,5,0),VLOOKUP($B$1+A6,'Mortality rates'!$B$6:$G$101,5,0))</f>
        <v>1.0713999999999999E-3</v>
      </c>
      <c r="G7" s="11">
        <f t="shared" ref="G7:G26" si="1">C7*F7*E6</f>
        <v>107.13999999999999</v>
      </c>
      <c r="H7" s="11">
        <f t="shared" ref="H7:H24" si="2">(G7+H8)/(1+$H$3)</f>
        <v>1605.7225432084977</v>
      </c>
      <c r="I7" s="11">
        <f t="shared" ref="I7:I26" si="3">E7*D7</f>
        <v>0</v>
      </c>
      <c r="J7" s="11">
        <f t="shared" ref="J7:J25" si="4">J8/(1+$H$3)</f>
        <v>30233.047805689155</v>
      </c>
      <c r="K7" s="11">
        <f t="shared" ref="K7:K26" si="5">B7*E6</f>
        <v>3500</v>
      </c>
      <c r="L7" s="11">
        <f t="shared" ref="L7:L24" si="6">K7+L8/(1+$H$3)</f>
        <v>42146.3603342649</v>
      </c>
      <c r="M7" s="11">
        <f>Parameters!C17</f>
        <v>550</v>
      </c>
      <c r="N7" s="5">
        <f>M7*E6</f>
        <v>550</v>
      </c>
      <c r="O7" s="11">
        <f>N7+(O8/(1+$H$3))</f>
        <v>8753.3310665474692</v>
      </c>
      <c r="P7" s="11">
        <f t="shared" ref="P7:P26" si="7">(H7+J7+O7-L7)*$B$3</f>
        <v>-1554258.9188197816</v>
      </c>
    </row>
    <row r="8" spans="1:16" x14ac:dyDescent="0.25">
      <c r="A8">
        <v>2</v>
      </c>
      <c r="B8" s="13">
        <f>Parameters!$C$7</f>
        <v>3500</v>
      </c>
      <c r="C8" s="13">
        <f>Parameters!$C$8</f>
        <v>100000</v>
      </c>
      <c r="D8" s="13">
        <f>IF(A8=20,Parameters!$C$9,0)</f>
        <v>0</v>
      </c>
      <c r="E8">
        <f t="shared" si="0"/>
        <v>0.99783856911168012</v>
      </c>
      <c r="F8">
        <f>IF($B$2="M",VLOOKUP($B$1+A7,'Mortality rates'!$B$6:$G$101,5,0),VLOOKUP($B$1+A7,'Mortality rates'!$B$6:$G$101,5,0))</f>
        <v>1.0911999999999999E-3</v>
      </c>
      <c r="G8" s="11">
        <f t="shared" si="1"/>
        <v>109.003088832</v>
      </c>
      <c r="H8" s="11">
        <f t="shared" si="2"/>
        <v>1594.9258958010075</v>
      </c>
      <c r="I8" s="11">
        <f t="shared" si="3"/>
        <v>0</v>
      </c>
      <c r="J8" s="11">
        <f t="shared" si="4"/>
        <v>32047.030674030506</v>
      </c>
      <c r="K8" s="11">
        <f t="shared" si="5"/>
        <v>3496.2501000000002</v>
      </c>
      <c r="L8" s="11">
        <f t="shared" si="6"/>
        <v>40965.141954320796</v>
      </c>
      <c r="M8" s="11">
        <f>M7*(1+Parameters!$C$13)</f>
        <v>569.25</v>
      </c>
      <c r="N8" s="5">
        <f t="shared" ref="N8:N26" si="8">M8*E7</f>
        <v>568.64010555000004</v>
      </c>
      <c r="O8" s="11">
        <f t="shared" ref="O8:O26" si="9">N8+(O9/(1+$H$3))</f>
        <v>8695.5309305403171</v>
      </c>
      <c r="P8" s="11">
        <f t="shared" si="7"/>
        <v>1372345.5460510377</v>
      </c>
    </row>
    <row r="9" spans="1:16" x14ac:dyDescent="0.25">
      <c r="A9">
        <v>3</v>
      </c>
      <c r="B9" s="13">
        <f>Parameters!$C$7</f>
        <v>3500</v>
      </c>
      <c r="C9" s="13">
        <f>Parameters!$C$8</f>
        <v>100000</v>
      </c>
      <c r="D9" s="13">
        <f>IF(A9=20,Parameters!$C$9,0)</f>
        <v>0</v>
      </c>
      <c r="E9">
        <f t="shared" si="0"/>
        <v>0.99671899423713683</v>
      </c>
      <c r="F9">
        <f>IF($B$2="M",VLOOKUP($B$1+A8,'Mortality rates'!$B$6:$G$101,5,0),VLOOKUP($B$1+A8,'Mortality rates'!$B$6:$G$101,5,0))</f>
        <v>1.122E-3</v>
      </c>
      <c r="G9" s="11">
        <f t="shared" si="1"/>
        <v>111.9574874543305</v>
      </c>
      <c r="H9" s="11">
        <f t="shared" si="2"/>
        <v>1581.6183607170681</v>
      </c>
      <c r="I9" s="11">
        <f t="shared" si="3"/>
        <v>0</v>
      </c>
      <c r="J9" s="11">
        <f t="shared" si="4"/>
        <v>33969.852514472339</v>
      </c>
      <c r="K9" s="11">
        <f t="shared" si="5"/>
        <v>3492.4349918908806</v>
      </c>
      <c r="L9" s="11">
        <f t="shared" si="6"/>
        <v>39717.025365580048</v>
      </c>
      <c r="M9" s="11">
        <f>M8*(1+Parameters!$C$13)</f>
        <v>589.17374999999993</v>
      </c>
      <c r="N9" s="5">
        <f t="shared" si="8"/>
        <v>587.9002916581627</v>
      </c>
      <c r="O9" s="11">
        <f t="shared" si="9"/>
        <v>8614.5042744897364</v>
      </c>
      <c r="P9" s="11">
        <f t="shared" si="7"/>
        <v>4448949.7840990955</v>
      </c>
    </row>
    <row r="10" spans="1:16" x14ac:dyDescent="0.25">
      <c r="A10">
        <v>4</v>
      </c>
      <c r="B10" s="13">
        <f>Parameters!$C$7</f>
        <v>3500</v>
      </c>
      <c r="C10" s="13">
        <f>Parameters!$C$8</f>
        <v>100000</v>
      </c>
      <c r="D10" s="13">
        <f>IF(A10=20,Parameters!$C$9,0)</f>
        <v>0</v>
      </c>
      <c r="E10">
        <f t="shared" si="0"/>
        <v>0.99556888018968659</v>
      </c>
      <c r="F10">
        <f>IF($B$2="M",VLOOKUP($B$1+A9,'Mortality rates'!$B$6:$G$101,5,0),VLOOKUP($B$1+A9,'Mortality rates'!$B$6:$G$101,5,0))</f>
        <v>1.1539E-3</v>
      </c>
      <c r="G10" s="11">
        <f t="shared" si="1"/>
        <v>115.01140474502321</v>
      </c>
      <c r="H10" s="11">
        <f t="shared" si="2"/>
        <v>1564.5579749057617</v>
      </c>
      <c r="I10" s="11">
        <f t="shared" si="3"/>
        <v>0</v>
      </c>
      <c r="J10" s="11">
        <f t="shared" si="4"/>
        <v>36008.04366534068</v>
      </c>
      <c r="K10" s="11">
        <f t="shared" si="5"/>
        <v>3488.5164798299788</v>
      </c>
      <c r="L10" s="11">
        <f t="shared" si="6"/>
        <v>38398.065796110524</v>
      </c>
      <c r="M10" s="11">
        <f>M9*(1+Parameters!$C$13)</f>
        <v>609.7948312499999</v>
      </c>
      <c r="N10" s="5">
        <f t="shared" si="8"/>
        <v>607.79409089450451</v>
      </c>
      <c r="O10" s="11">
        <f t="shared" si="9"/>
        <v>8508.2002218014695</v>
      </c>
      <c r="P10" s="11">
        <f t="shared" si="7"/>
        <v>7682736.0659373878</v>
      </c>
    </row>
    <row r="11" spans="1:16" x14ac:dyDescent="0.25">
      <c r="A11">
        <v>5</v>
      </c>
      <c r="B11" s="13">
        <f>Parameters!$C$7</f>
        <v>3500</v>
      </c>
      <c r="C11" s="13">
        <f>Parameters!$C$8</f>
        <v>100000</v>
      </c>
      <c r="D11" s="13">
        <f>IF(A11=20,Parameters!$C$9,0)</f>
        <v>0</v>
      </c>
      <c r="E11">
        <f t="shared" si="0"/>
        <v>0.99438723948578944</v>
      </c>
      <c r="F11">
        <f>IF($B$2="M",VLOOKUP($B$1+A10,'Mortality rates'!$B$6:$G$101,5,0),VLOOKUP($B$1+A10,'Mortality rates'!$B$6:$G$101,5,0))</f>
        <v>1.1869000000000001E-3</v>
      </c>
      <c r="G11" s="11">
        <f t="shared" si="1"/>
        <v>118.16407038971391</v>
      </c>
      <c r="H11" s="11">
        <f t="shared" si="2"/>
        <v>1543.4200486550844</v>
      </c>
      <c r="I11" s="11">
        <f t="shared" si="3"/>
        <v>0</v>
      </c>
      <c r="J11" s="11">
        <f t="shared" si="4"/>
        <v>38168.526285261119</v>
      </c>
      <c r="K11" s="11">
        <f t="shared" si="5"/>
        <v>3484.4910806639032</v>
      </c>
      <c r="L11" s="11">
        <f t="shared" si="6"/>
        <v>37004.122275257381</v>
      </c>
      <c r="M11" s="11">
        <f>M10*(1+Parameters!$C$13)</f>
        <v>631.1376503437499</v>
      </c>
      <c r="N11" s="5">
        <f t="shared" si="8"/>
        <v>628.34100379827703</v>
      </c>
      <c r="O11" s="11">
        <f t="shared" si="9"/>
        <v>8374.4304987613832</v>
      </c>
      <c r="P11" s="11">
        <f t="shared" si="7"/>
        <v>11082254.557420209</v>
      </c>
    </row>
    <row r="12" spans="1:16" x14ac:dyDescent="0.25">
      <c r="A12">
        <v>6</v>
      </c>
      <c r="B12" s="13">
        <f>Parameters!$C$7</f>
        <v>3500</v>
      </c>
      <c r="C12" s="13">
        <f>Parameters!$C$8</f>
        <v>100000</v>
      </c>
      <c r="D12" s="13">
        <f>IF(A12=20,Parameters!$C$9,0)</f>
        <v>0</v>
      </c>
      <c r="E12">
        <f t="shared" si="0"/>
        <v>0.99317309266637721</v>
      </c>
      <c r="F12">
        <f>IF($B$2="M",VLOOKUP($B$1+A11,'Mortality rates'!$B$6:$G$101,5,0),VLOOKUP($B$1+A11,'Mortality rates'!$B$6:$G$101,5,0))</f>
        <v>1.2209999999999999E-3</v>
      </c>
      <c r="G12" s="11">
        <f t="shared" si="1"/>
        <v>121.41468194121487</v>
      </c>
      <c r="H12" s="11">
        <f t="shared" si="2"/>
        <v>1517.8611811846756</v>
      </c>
      <c r="I12" s="11">
        <f t="shared" si="3"/>
        <v>0</v>
      </c>
      <c r="J12" s="11">
        <f t="shared" si="4"/>
        <v>40458.637862376789</v>
      </c>
      <c r="K12" s="11">
        <f t="shared" si="5"/>
        <v>3480.3553382002628</v>
      </c>
      <c r="L12" s="11">
        <f t="shared" si="6"/>
        <v>35530.809066269088</v>
      </c>
      <c r="M12" s="11">
        <f>M11*(1+Parameters!$C$13)</f>
        <v>653.2274681057811</v>
      </c>
      <c r="N12" s="5">
        <f t="shared" si="8"/>
        <v>649.56105876599929</v>
      </c>
      <c r="O12" s="11">
        <f t="shared" si="9"/>
        <v>8210.8548646608924</v>
      </c>
      <c r="P12" s="11">
        <f t="shared" si="7"/>
        <v>14656544.84195327</v>
      </c>
    </row>
    <row r="13" spans="1:16" x14ac:dyDescent="0.25">
      <c r="A13">
        <v>7</v>
      </c>
      <c r="B13" s="13">
        <f>Parameters!$C$7</f>
        <v>3500</v>
      </c>
      <c r="C13" s="13">
        <f>Parameters!$C$8</f>
        <v>100000</v>
      </c>
      <c r="D13" s="13">
        <f>IF(A13=20,Parameters!$C$9,0)</f>
        <v>0</v>
      </c>
      <c r="E13">
        <f t="shared" si="0"/>
        <v>0.99192656111777167</v>
      </c>
      <c r="F13">
        <f>IF($B$2="M",VLOOKUP($B$1+A12,'Mortality rates'!$B$6:$G$101,5,0),VLOOKUP($B$1+A12,'Mortality rates'!$B$6:$G$101,5,0))</f>
        <v>1.2550999999999999E-3</v>
      </c>
      <c r="G13" s="11">
        <f t="shared" si="1"/>
        <v>124.653154860557</v>
      </c>
      <c r="H13" s="11">
        <f t="shared" si="2"/>
        <v>1487.5181701145414</v>
      </c>
      <c r="I13" s="11">
        <f t="shared" si="3"/>
        <v>0</v>
      </c>
      <c r="J13" s="11">
        <f t="shared" si="4"/>
        <v>42886.156134119396</v>
      </c>
      <c r="K13" s="11">
        <f t="shared" si="5"/>
        <v>3476.10582433232</v>
      </c>
      <c r="L13" s="11">
        <f t="shared" si="6"/>
        <v>33973.480951752957</v>
      </c>
      <c r="M13" s="11">
        <f>M12*(1+Parameters!$C$13)</f>
        <v>676.09042948948343</v>
      </c>
      <c r="N13" s="5">
        <f t="shared" si="8"/>
        <v>671.4748227782095</v>
      </c>
      <c r="O13" s="11">
        <f t="shared" si="9"/>
        <v>8014.9714342485877</v>
      </c>
      <c r="P13" s="11">
        <f t="shared" si="7"/>
        <v>18415164.78672957</v>
      </c>
    </row>
    <row r="14" spans="1:16" x14ac:dyDescent="0.25">
      <c r="A14">
        <v>8</v>
      </c>
      <c r="B14" s="13">
        <f>Parameters!$C$7</f>
        <v>3500</v>
      </c>
      <c r="C14" s="13">
        <f>Parameters!$C$8</f>
        <v>100000</v>
      </c>
      <c r="D14" s="13">
        <f>IF(A14=20,Parameters!$C$9,0)</f>
        <v>0</v>
      </c>
      <c r="E14">
        <f t="shared" si="0"/>
        <v>0.99064558715674411</v>
      </c>
      <c r="F14">
        <f>IF($B$2="M",VLOOKUP($B$1+A13,'Mortality rates'!$B$6:$G$101,5,0),VLOOKUP($B$1+A13,'Mortality rates'!$B$6:$G$101,5,0))</f>
        <v>1.2914000000000001E-3</v>
      </c>
      <c r="G14" s="11">
        <f t="shared" si="1"/>
        <v>128.09739610274906</v>
      </c>
      <c r="H14" s="11">
        <f t="shared" si="2"/>
        <v>1452.1161054608569</v>
      </c>
      <c r="I14" s="11">
        <f t="shared" si="3"/>
        <v>0</v>
      </c>
      <c r="J14" s="11">
        <f t="shared" si="4"/>
        <v>45459.325502166561</v>
      </c>
      <c r="K14" s="11">
        <f t="shared" si="5"/>
        <v>3471.742963912201</v>
      </c>
      <c r="L14" s="11">
        <f t="shared" si="6"/>
        <v>32327.217635065877</v>
      </c>
      <c r="M14" s="11">
        <f>M13*(1+Parameters!$C$13)</f>
        <v>699.75359452161524</v>
      </c>
      <c r="N14" s="5">
        <f t="shared" si="8"/>
        <v>694.10417664362535</v>
      </c>
      <c r="O14" s="11">
        <f t="shared" si="9"/>
        <v>7784.1064081586019</v>
      </c>
      <c r="P14" s="11">
        <f t="shared" si="7"/>
        <v>22368330.380720146</v>
      </c>
    </row>
    <row r="15" spans="1:16" x14ac:dyDescent="0.25">
      <c r="A15">
        <v>9</v>
      </c>
      <c r="B15" s="13">
        <f>Parameters!$C$7</f>
        <v>3500</v>
      </c>
      <c r="C15" s="13">
        <f>Parameters!$C$8</f>
        <v>100000</v>
      </c>
      <c r="D15" s="13">
        <f>IF(A15=20,Parameters!$C$9,0)</f>
        <v>0</v>
      </c>
      <c r="E15">
        <f t="shared" si="0"/>
        <v>0.98933030701067604</v>
      </c>
      <c r="F15">
        <f>IF($B$2="M",VLOOKUP($B$1+A14,'Mortality rates'!$B$6:$G$101,5,0),VLOOKUP($B$1+A14,'Mortality rates'!$B$6:$G$101,5,0))</f>
        <v>1.3277E-3</v>
      </c>
      <c r="G15" s="11">
        <f t="shared" si="1"/>
        <v>131.52801460680092</v>
      </c>
      <c r="H15" s="11">
        <f t="shared" si="2"/>
        <v>1411.1456756857592</v>
      </c>
      <c r="I15" s="11">
        <f t="shared" si="3"/>
        <v>0</v>
      </c>
      <c r="J15" s="11">
        <f t="shared" si="4"/>
        <v>48186.885032296559</v>
      </c>
      <c r="K15" s="11">
        <f t="shared" si="5"/>
        <v>3467.2595550486044</v>
      </c>
      <c r="L15" s="11">
        <f t="shared" si="6"/>
        <v>30586.803151422897</v>
      </c>
      <c r="M15" s="11">
        <f>M14*(1+Parameters!$C$13)</f>
        <v>724.24497032987176</v>
      </c>
      <c r="N15" s="5">
        <f t="shared" si="8"/>
        <v>717.47008387775452</v>
      </c>
      <c r="O15" s="11">
        <f t="shared" si="9"/>
        <v>7515.4023654058756</v>
      </c>
      <c r="P15" s="11">
        <f t="shared" si="7"/>
        <v>26526629.921965297</v>
      </c>
    </row>
    <row r="16" spans="1:16" x14ac:dyDescent="0.25">
      <c r="A16">
        <v>10</v>
      </c>
      <c r="B16" s="13">
        <f>Parameters!$C$7</f>
        <v>3500</v>
      </c>
      <c r="C16" s="13">
        <f>Parameters!$C$8</f>
        <v>100000</v>
      </c>
      <c r="D16" s="13">
        <f>IF(A16=20,Parameters!$C$9,0)</f>
        <v>0</v>
      </c>
      <c r="E16">
        <f t="shared" si="0"/>
        <v>0.98796562478518546</v>
      </c>
      <c r="F16">
        <f>IF($B$2="M",VLOOKUP($B$1+A15,'Mortality rates'!$B$6:$G$101,5,0),VLOOKUP($B$1+A15,'Mortality rates'!$B$6:$G$101,5,0))</f>
        <v>1.3794E-3</v>
      </c>
      <c r="G16" s="11">
        <f t="shared" si="1"/>
        <v>136.46822254905265</v>
      </c>
      <c r="H16" s="11">
        <f t="shared" si="2"/>
        <v>1364.2864016201038</v>
      </c>
      <c r="I16" s="11">
        <f t="shared" si="3"/>
        <v>0</v>
      </c>
      <c r="J16" s="11">
        <f t="shared" si="4"/>
        <v>51078.098134234358</v>
      </c>
      <c r="K16" s="11">
        <f t="shared" si="5"/>
        <v>3462.6560745373663</v>
      </c>
      <c r="L16" s="11">
        <f t="shared" si="6"/>
        <v>28746.716212156753</v>
      </c>
      <c r="M16" s="11">
        <f>M15*(1+Parameters!$C$13)</f>
        <v>749.59354429141717</v>
      </c>
      <c r="N16" s="5">
        <f t="shared" si="8"/>
        <v>741.59561130704856</v>
      </c>
      <c r="O16" s="11">
        <f t="shared" si="9"/>
        <v>7205.8082184198083</v>
      </c>
      <c r="P16" s="11">
        <f t="shared" si="7"/>
        <v>30901476.542117517</v>
      </c>
    </row>
    <row r="17" spans="1:16" x14ac:dyDescent="0.25">
      <c r="A17">
        <v>11</v>
      </c>
      <c r="B17" s="13">
        <f>Parameters!$C$7</f>
        <v>3500</v>
      </c>
      <c r="C17" s="13">
        <f>Parameters!$C$8</f>
        <v>100000</v>
      </c>
      <c r="D17" s="13">
        <f>IF(A17=20,Parameters!$C$9,0)</f>
        <v>0</v>
      </c>
      <c r="E17">
        <f t="shared" si="0"/>
        <v>0.98655935451486632</v>
      </c>
      <c r="F17">
        <f>IF($B$2="M",VLOOKUP($B$1+A16,'Mortality rates'!$B$6:$G$101,5,0),VLOOKUP($B$1+A16,'Mortality rates'!$B$6:$G$101,5,0))</f>
        <v>1.4234000000000002E-3</v>
      </c>
      <c r="G17" s="11">
        <f t="shared" si="1"/>
        <v>140.62702703192332</v>
      </c>
      <c r="H17" s="11">
        <f t="shared" si="2"/>
        <v>1309.6753631682575</v>
      </c>
      <c r="I17" s="11">
        <f t="shared" si="3"/>
        <v>0</v>
      </c>
      <c r="J17" s="11">
        <f t="shared" si="4"/>
        <v>54142.784022288426</v>
      </c>
      <c r="K17" s="11">
        <f t="shared" si="5"/>
        <v>3457.8796867481492</v>
      </c>
      <c r="L17" s="11">
        <f t="shared" si="6"/>
        <v>26801.103745876553</v>
      </c>
      <c r="M17" s="11">
        <f>M16*(1+Parameters!$C$13)</f>
        <v>775.82931834161673</v>
      </c>
      <c r="N17" s="5">
        <f t="shared" si="8"/>
        <v>766.49269722203996</v>
      </c>
      <c r="O17" s="11">
        <f t="shared" si="9"/>
        <v>6852.0653635395256</v>
      </c>
      <c r="P17" s="11">
        <f t="shared" si="7"/>
        <v>35503421.003119655</v>
      </c>
    </row>
    <row r="18" spans="1:16" x14ac:dyDescent="0.25">
      <c r="A18">
        <v>12</v>
      </c>
      <c r="B18" s="13">
        <f>Parameters!$C$7</f>
        <v>3500</v>
      </c>
      <c r="C18" s="13">
        <f>Parameters!$C$8</f>
        <v>100000</v>
      </c>
      <c r="D18" s="13">
        <f>IF(A18=20,Parameters!$C$9,0)</f>
        <v>0</v>
      </c>
      <c r="E18">
        <f t="shared" si="0"/>
        <v>0.98509973994986155</v>
      </c>
      <c r="F18">
        <f>IF($B$2="M",VLOOKUP($B$1+A17,'Mortality rates'!$B$6:$G$101,5,0),VLOOKUP($B$1+A17,'Mortality rates'!$B$6:$G$101,5,0))</f>
        <v>1.4795000000000001E-3</v>
      </c>
      <c r="G18" s="11">
        <f t="shared" si="1"/>
        <v>145.9614565004745</v>
      </c>
      <c r="H18" s="11">
        <f t="shared" si="2"/>
        <v>1247.6288579264296</v>
      </c>
      <c r="I18" s="11">
        <f t="shared" si="3"/>
        <v>0</v>
      </c>
      <c r="J18" s="11">
        <f t="shared" si="4"/>
        <v>57391.351063625734</v>
      </c>
      <c r="K18" s="11">
        <f t="shared" si="5"/>
        <v>3452.9577408020323</v>
      </c>
      <c r="L18" s="11">
        <f t="shared" si="6"/>
        <v>24743.817502676109</v>
      </c>
      <c r="M18" s="11">
        <f>M17*(1+Parameters!$C$13)</f>
        <v>802.98334448357321</v>
      </c>
      <c r="N18" s="5">
        <f t="shared" si="8"/>
        <v>792.1907300199025</v>
      </c>
      <c r="O18" s="11">
        <f t="shared" si="9"/>
        <v>6450.7070262965353</v>
      </c>
      <c r="P18" s="11">
        <f t="shared" si="7"/>
        <v>40345869.445172593</v>
      </c>
    </row>
    <row r="19" spans="1:16" x14ac:dyDescent="0.25">
      <c r="A19">
        <v>13</v>
      </c>
      <c r="B19" s="13">
        <f>Parameters!$C$7</f>
        <v>3500</v>
      </c>
      <c r="C19" s="13">
        <f>Parameters!$C$8</f>
        <v>100000</v>
      </c>
      <c r="D19" s="13">
        <f>IF(A19=20,Parameters!$C$9,0)</f>
        <v>0</v>
      </c>
      <c r="E19">
        <f t="shared" si="0"/>
        <v>0.98357293386291322</v>
      </c>
      <c r="F19">
        <f>IF($B$2="M",VLOOKUP($B$1+A18,'Mortality rates'!$B$6:$G$101,5,0),VLOOKUP($B$1+A18,'Mortality rates'!$B$6:$G$101,5,0))</f>
        <v>1.5498999999999999E-3</v>
      </c>
      <c r="G19" s="11">
        <f t="shared" si="1"/>
        <v>152.68060869482903</v>
      </c>
      <c r="H19" s="11">
        <f t="shared" si="2"/>
        <v>1176.5251329015409</v>
      </c>
      <c r="I19" s="11">
        <f t="shared" si="3"/>
        <v>0</v>
      </c>
      <c r="J19" s="11">
        <f t="shared" si="4"/>
        <v>60834.832127443282</v>
      </c>
      <c r="K19" s="11">
        <f t="shared" si="5"/>
        <v>3447.8490898245154</v>
      </c>
      <c r="L19" s="11">
        <f t="shared" si="6"/>
        <v>22568.311347586525</v>
      </c>
      <c r="M19" s="11">
        <f>M18*(1+Parameters!$C$13)</f>
        <v>831.08776154049815</v>
      </c>
      <c r="N19" s="5">
        <f t="shared" si="8"/>
        <v>818.70433776905725</v>
      </c>
      <c r="O19" s="11">
        <f t="shared" si="9"/>
        <v>5998.0272740532309</v>
      </c>
      <c r="P19" s="11">
        <f t="shared" si="7"/>
        <v>45441073.186811537</v>
      </c>
    </row>
    <row r="20" spans="1:16" x14ac:dyDescent="0.25">
      <c r="A20">
        <v>14</v>
      </c>
      <c r="B20" s="13">
        <f>Parameters!$C$7</f>
        <v>3500</v>
      </c>
      <c r="C20" s="13">
        <f>Parameters!$C$8</f>
        <v>100000</v>
      </c>
      <c r="D20" s="13">
        <f>IF(A20=20,Parameters!$C$9,0)</f>
        <v>0</v>
      </c>
      <c r="E20">
        <f t="shared" si="0"/>
        <v>0.98196410361499364</v>
      </c>
      <c r="F20">
        <f>IF($B$2="M",VLOOKUP($B$1+A19,'Mortality rates'!$B$6:$G$101,5,0),VLOOKUP($B$1+A19,'Mortality rates'!$B$6:$G$101,5,0))</f>
        <v>1.6357000000000001E-3</v>
      </c>
      <c r="G20" s="11">
        <f t="shared" si="1"/>
        <v>160.88302479195673</v>
      </c>
      <c r="H20" s="11">
        <f t="shared" si="2"/>
        <v>1094.4360321808044</v>
      </c>
      <c r="I20" s="11">
        <f t="shared" si="3"/>
        <v>0</v>
      </c>
      <c r="J20" s="11">
        <f t="shared" si="4"/>
        <v>64484.922055089883</v>
      </c>
      <c r="K20" s="11">
        <f t="shared" si="5"/>
        <v>3442.5052685201963</v>
      </c>
      <c r="L20" s="11">
        <f t="shared" si="6"/>
        <v>20267.689993227734</v>
      </c>
      <c r="M20" s="11">
        <f>M19*(1+Parameters!$C$13)</f>
        <v>860.17583319441553</v>
      </c>
      <c r="N20" s="5">
        <f t="shared" si="8"/>
        <v>846.04566789300713</v>
      </c>
      <c r="O20" s="11">
        <f t="shared" si="9"/>
        <v>5490.0823124612243</v>
      </c>
      <c r="P20" s="11">
        <f t="shared" si="7"/>
        <v>50801750.406504169</v>
      </c>
    </row>
    <row r="21" spans="1:16" x14ac:dyDescent="0.25">
      <c r="A21">
        <v>15</v>
      </c>
      <c r="B21" s="13">
        <f>Parameters!$C$7</f>
        <v>3500</v>
      </c>
      <c r="C21" s="13">
        <f>Parameters!$C$8</f>
        <v>100000</v>
      </c>
      <c r="D21" s="13">
        <f>IF(A21=20,Parameters!$C$9,0)</f>
        <v>0</v>
      </c>
      <c r="E21">
        <f t="shared" si="0"/>
        <v>0.98025853016342468</v>
      </c>
      <c r="F21">
        <f>IF($B$2="M",VLOOKUP($B$1+A20,'Mortality rates'!$B$6:$G$101,5,0),VLOOKUP($B$1+A20,'Mortality rates'!$B$6:$G$101,5,0))</f>
        <v>1.7369E-3</v>
      </c>
      <c r="G21" s="11">
        <f t="shared" si="1"/>
        <v>170.55734515688823</v>
      </c>
      <c r="H21" s="11">
        <f t="shared" si="2"/>
        <v>999.21916931969599</v>
      </c>
      <c r="I21" s="11">
        <f t="shared" si="3"/>
        <v>0</v>
      </c>
      <c r="J21" s="11">
        <f t="shared" si="4"/>
        <v>68354.017378395278</v>
      </c>
      <c r="K21" s="11">
        <f t="shared" si="5"/>
        <v>3436.8743626524779</v>
      </c>
      <c r="L21" s="11">
        <f t="shared" si="6"/>
        <v>17834.69580818999</v>
      </c>
      <c r="M21" s="11">
        <f>M20*(1+Parameters!$C$13)</f>
        <v>890.28198735622004</v>
      </c>
      <c r="N21" s="5">
        <f t="shared" si="8"/>
        <v>874.22495367882573</v>
      </c>
      <c r="O21" s="11">
        <f t="shared" si="9"/>
        <v>4922.6788432423109</v>
      </c>
      <c r="P21" s="11">
        <f t="shared" si="7"/>
        <v>56441219.582767285</v>
      </c>
    </row>
    <row r="22" spans="1:16" x14ac:dyDescent="0.25">
      <c r="A22">
        <v>16</v>
      </c>
      <c r="B22" s="13">
        <f>Parameters!$C$7</f>
        <v>3500</v>
      </c>
      <c r="C22" s="13">
        <f>Parameters!$C$8</f>
        <v>100000</v>
      </c>
      <c r="D22" s="13">
        <f>IF(A22=20,Parameters!$C$9,0)</f>
        <v>0</v>
      </c>
      <c r="E22">
        <f t="shared" si="0"/>
        <v>0.9784383861246172</v>
      </c>
      <c r="F22">
        <f>IF($B$2="M",VLOOKUP($B$1+A21,'Mortality rates'!$B$6:$G$101,5,0),VLOOKUP($B$1+A21,'Mortality rates'!$B$6:$G$101,5,0))</f>
        <v>1.8568000000000002E-3</v>
      </c>
      <c r="G22" s="11">
        <f t="shared" si="1"/>
        <v>182.01440388074474</v>
      </c>
      <c r="H22" s="11">
        <f t="shared" si="2"/>
        <v>888.61497432198962</v>
      </c>
      <c r="I22" s="11">
        <f t="shared" si="3"/>
        <v>0</v>
      </c>
      <c r="J22" s="11">
        <f t="shared" si="4"/>
        <v>72455.258421099003</v>
      </c>
      <c r="K22" s="11">
        <f t="shared" si="5"/>
        <v>3430.9048555719864</v>
      </c>
      <c r="L22" s="11">
        <f t="shared" si="6"/>
        <v>15261.690732269763</v>
      </c>
      <c r="M22" s="11">
        <f>M21*(1+Parameters!$C$13)</f>
        <v>921.44185691368773</v>
      </c>
      <c r="N22" s="5">
        <f t="shared" si="8"/>
        <v>903.25124028926825</v>
      </c>
      <c r="O22" s="11">
        <f t="shared" si="9"/>
        <v>4291.3611229372946</v>
      </c>
      <c r="P22" s="11">
        <f t="shared" si="7"/>
        <v>62373543.786088511</v>
      </c>
    </row>
    <row r="23" spans="1:16" x14ac:dyDescent="0.25">
      <c r="A23">
        <v>17</v>
      </c>
      <c r="B23" s="13">
        <f>Parameters!$C$7</f>
        <v>3500</v>
      </c>
      <c r="C23" s="13">
        <f>Parameters!$C$8</f>
        <v>100000</v>
      </c>
      <c r="D23" s="13">
        <f>IF(A23=20,Parameters!$C$9,0)</f>
        <v>0</v>
      </c>
      <c r="E23">
        <f t="shared" si="0"/>
        <v>0.97648601016894421</v>
      </c>
      <c r="F23">
        <f>IF($B$2="M",VLOOKUP($B$1+A22,'Mortality rates'!$B$6:$G$101,5,0),VLOOKUP($B$1+A22,'Mortality rates'!$B$6:$G$101,5,0))</f>
        <v>1.9954E-3</v>
      </c>
      <c r="G23" s="11">
        <f t="shared" si="1"/>
        <v>195.2375955673061</v>
      </c>
      <c r="H23" s="11">
        <f t="shared" si="2"/>
        <v>759.91746890056436</v>
      </c>
      <c r="I23" s="11">
        <f t="shared" si="3"/>
        <v>0</v>
      </c>
      <c r="J23" s="11">
        <f t="shared" si="4"/>
        <v>76802.573926364945</v>
      </c>
      <c r="K23" s="11">
        <f t="shared" si="5"/>
        <v>3424.5343514361603</v>
      </c>
      <c r="L23" s="11">
        <f t="shared" si="6"/>
        <v>12540.633029299643</v>
      </c>
      <c r="M23" s="11">
        <f>M22*(1+Parameters!$C$13)</f>
        <v>953.69232190566674</v>
      </c>
      <c r="N23" s="5">
        <f t="shared" si="8"/>
        <v>933.12917630481945</v>
      </c>
      <c r="O23" s="11">
        <f t="shared" si="9"/>
        <v>3591.3964756069086</v>
      </c>
      <c r="P23" s="11">
        <f t="shared" si="7"/>
        <v>68613254.841572762</v>
      </c>
    </row>
    <row r="24" spans="1:16" x14ac:dyDescent="0.25">
      <c r="A24">
        <v>18</v>
      </c>
      <c r="B24" s="13">
        <f>Parameters!$C$7</f>
        <v>3500</v>
      </c>
      <c r="C24" s="13">
        <f>Parameters!$C$8</f>
        <v>100000</v>
      </c>
      <c r="D24" s="13">
        <f>IF(A24=20,Parameters!$C$9,0)</f>
        <v>0</v>
      </c>
      <c r="E24">
        <f t="shared" si="0"/>
        <v>0.97437963219640877</v>
      </c>
      <c r="F24">
        <f>IF($B$2="M",VLOOKUP($B$1+A23,'Mortality rates'!$B$6:$G$101,5,0),VLOOKUP($B$1+A23,'Mortality rates'!$B$6:$G$101,5,0))</f>
        <v>2.1571000000000003E-3</v>
      </c>
      <c r="G24" s="11">
        <f t="shared" si="1"/>
        <v>210.637797253543</v>
      </c>
      <c r="H24" s="11">
        <f t="shared" si="2"/>
        <v>610.27492146729207</v>
      </c>
      <c r="I24" s="11">
        <f t="shared" si="3"/>
        <v>0</v>
      </c>
      <c r="J24" s="11">
        <f t="shared" si="4"/>
        <v>81410.728361946851</v>
      </c>
      <c r="K24" s="11">
        <f t="shared" si="5"/>
        <v>3417.7010355913048</v>
      </c>
      <c r="L24" s="11">
        <f t="shared" si="6"/>
        <v>9663.0645985352912</v>
      </c>
      <c r="M24" s="11">
        <f>M23*(1+Parameters!$C$13)</f>
        <v>987.07155317236504</v>
      </c>
      <c r="N24" s="5">
        <f t="shared" si="8"/>
        <v>963.86156270854565</v>
      </c>
      <c r="O24" s="11">
        <f t="shared" si="9"/>
        <v>2817.7633372602149</v>
      </c>
      <c r="P24" s="11">
        <f t="shared" si="7"/>
        <v>75175702.022139072</v>
      </c>
    </row>
    <row r="25" spans="1:16" x14ac:dyDescent="0.25">
      <c r="A25">
        <v>19</v>
      </c>
      <c r="B25" s="13">
        <f>Parameters!$C$7</f>
        <v>3500</v>
      </c>
      <c r="C25" s="13">
        <f>Parameters!$C$8</f>
        <v>100000</v>
      </c>
      <c r="D25" s="13">
        <f>IF(A25=20,Parameters!$C$9,0)</f>
        <v>0</v>
      </c>
      <c r="E25">
        <f t="shared" si="0"/>
        <v>0.97209773253576803</v>
      </c>
      <c r="F25">
        <f>IF($B$2="M",VLOOKUP($B$1+A24,'Mortality rates'!$B$6:$G$101,5,0),VLOOKUP($B$1+A24,'Mortality rates'!$B$6:$G$101,5,0))</f>
        <v>2.3419000000000001E-3</v>
      </c>
      <c r="G25" s="11">
        <f t="shared" si="1"/>
        <v>228.18996606407697</v>
      </c>
      <c r="H25" s="11">
        <f>(G25+H26)/(1+$H$3)</f>
        <v>436.2536195017866</v>
      </c>
      <c r="I25" s="11">
        <f t="shared" si="3"/>
        <v>0</v>
      </c>
      <c r="J25" s="11">
        <f t="shared" si="4"/>
        <v>86295.372063663672</v>
      </c>
      <c r="K25" s="11">
        <f t="shared" si="5"/>
        <v>3410.3287126874307</v>
      </c>
      <c r="L25" s="11">
        <f>K25+L26/(1+$H$3)</f>
        <v>6620.0853767206263</v>
      </c>
      <c r="M25" s="11">
        <f>M24*(1+Parameters!$C$13)</f>
        <v>1021.6190575333977</v>
      </c>
      <c r="N25" s="5">
        <f t="shared" si="8"/>
        <v>995.44480152423387</v>
      </c>
      <c r="O25" s="11">
        <f t="shared" si="9"/>
        <v>1965.1358810247698</v>
      </c>
      <c r="P25" s="11">
        <f t="shared" si="7"/>
        <v>82076676.187469617</v>
      </c>
    </row>
    <row r="26" spans="1:16" x14ac:dyDescent="0.25">
      <c r="A26">
        <v>20</v>
      </c>
      <c r="B26" s="13">
        <f>Parameters!$C$7</f>
        <v>3500</v>
      </c>
      <c r="C26" s="13">
        <f>Parameters!$C$8</f>
        <v>100000</v>
      </c>
      <c r="D26" s="13">
        <f>IF(A26=20,Parameters!$C$9,0)</f>
        <v>100000</v>
      </c>
      <c r="E26">
        <f t="shared" si="0"/>
        <v>0.96961480050732518</v>
      </c>
      <c r="F26">
        <f>IF($B$2="M",VLOOKUP($B$1+A25,'Mortality rates'!$B$6:$G$101,5,0),VLOOKUP($B$1+A25,'Mortality rates'!$B$6:$G$101,5,0))</f>
        <v>2.5542E-3</v>
      </c>
      <c r="G26" s="11">
        <f t="shared" si="1"/>
        <v>248.29320284428587</v>
      </c>
      <c r="H26" s="11">
        <f>(G26+H27)/(1+$H$3)</f>
        <v>234.23887060781684</v>
      </c>
      <c r="I26" s="11">
        <f t="shared" si="3"/>
        <v>96961.480050732513</v>
      </c>
      <c r="J26" s="11">
        <f t="shared" ref="J26" si="10">I26/(1+$H$3)</f>
        <v>91473.094387483492</v>
      </c>
      <c r="K26" s="11">
        <f t="shared" si="5"/>
        <v>3402.3420638751882</v>
      </c>
      <c r="L26" s="11">
        <f>K26+L27/(1+$H$3)</f>
        <v>3402.3420638751882</v>
      </c>
      <c r="M26" s="11">
        <f>M25*(1+Parameters!$C$13)</f>
        <v>1057.3757245470665</v>
      </c>
      <c r="N26" s="5">
        <f t="shared" si="8"/>
        <v>1027.8725442705681</v>
      </c>
      <c r="O26" s="11">
        <f t="shared" si="9"/>
        <v>1027.8725442705681</v>
      </c>
      <c r="P26" s="11">
        <f t="shared" si="7"/>
        <v>89332863.738486692</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4.28515625" bestFit="1" customWidth="1"/>
  </cols>
  <sheetData>
    <row r="1" spans="1:16" x14ac:dyDescent="0.25">
      <c r="A1" s="1" t="s">
        <v>9</v>
      </c>
      <c r="B1" s="10">
        <v>30</v>
      </c>
    </row>
    <row r="2" spans="1:16" x14ac:dyDescent="0.25">
      <c r="A2" s="1" t="s">
        <v>37</v>
      </c>
      <c r="B2" s="10" t="s">
        <v>38</v>
      </c>
    </row>
    <row r="3" spans="1:16" x14ac:dyDescent="0.25">
      <c r="A3" s="1" t="s">
        <v>40</v>
      </c>
      <c r="B3">
        <v>1000</v>
      </c>
      <c r="G3" s="1" t="s">
        <v>11</v>
      </c>
      <c r="H3" s="6">
        <f>Assumptions!C7</f>
        <v>0.04</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f t="shared" ref="E7:E26" si="0">E6*(1-F7)</f>
        <v>0.99892860000000006</v>
      </c>
      <c r="F7">
        <f>IF($B$2="M",VLOOKUP($B$1+A6,'Mortality rates'!$B$6:$G$101,5,0),VLOOKUP($B$1+A6,'Mortality rates'!$B$6:$G$101,5,0))</f>
        <v>1.0713999999999999E-3</v>
      </c>
      <c r="G7" s="11">
        <f t="shared" ref="G7:G26" si="1">C7*F7*E6</f>
        <v>107.13999999999999</v>
      </c>
      <c r="H7" s="11">
        <f t="shared" ref="H7:H24" si="2">(G7+H8)/(1+$H$3)</f>
        <v>1952.4813443934265</v>
      </c>
      <c r="I7" s="11">
        <f t="shared" ref="I7:I26" si="3">E7*D7</f>
        <v>0</v>
      </c>
      <c r="J7" s="11">
        <f t="shared" ref="J7:J25" si="4">J8/(1+$H$3)</f>
        <v>44251.953779511321</v>
      </c>
      <c r="K7" s="11">
        <f t="shared" ref="K7:K26" si="5">B7*E6</f>
        <v>3500</v>
      </c>
      <c r="L7" s="11">
        <f t="shared" ref="L7:L24" si="6">K7+L8/(1+$H$3)</f>
        <v>48953.964037246638</v>
      </c>
      <c r="M7" s="11">
        <f>Parameters!C17</f>
        <v>550</v>
      </c>
      <c r="N7" s="5">
        <f>M7*E6</f>
        <v>550</v>
      </c>
      <c r="O7" s="11">
        <f>N7+(O8/(1+$H$3))</f>
        <v>10385.609723235799</v>
      </c>
      <c r="P7" s="11">
        <f t="shared" ref="P7:P26" si="7">(H7+J7+O7-L7)*$B$3</f>
        <v>7636080.8098939089</v>
      </c>
    </row>
    <row r="8" spans="1:16" x14ac:dyDescent="0.25">
      <c r="A8">
        <v>2</v>
      </c>
      <c r="B8" s="13">
        <f>Parameters!$C$7</f>
        <v>3500</v>
      </c>
      <c r="C8" s="13">
        <f>Parameters!$C$8</f>
        <v>100000</v>
      </c>
      <c r="D8" s="13">
        <f>IF(A8=20,Parameters!$C$9,0)</f>
        <v>0</v>
      </c>
      <c r="E8">
        <f t="shared" si="0"/>
        <v>0.99783856911168012</v>
      </c>
      <c r="F8">
        <f>IF($B$2="M",VLOOKUP($B$1+A7,'Mortality rates'!$B$6:$G$101,5,0),VLOOKUP($B$1+A7,'Mortality rates'!$B$6:$G$101,5,0))</f>
        <v>1.0911999999999999E-3</v>
      </c>
      <c r="G8" s="11">
        <f t="shared" si="1"/>
        <v>109.003088832</v>
      </c>
      <c r="H8" s="11">
        <f t="shared" si="2"/>
        <v>1923.4405981691636</v>
      </c>
      <c r="I8" s="11">
        <f t="shared" si="3"/>
        <v>0</v>
      </c>
      <c r="J8" s="11">
        <f t="shared" si="4"/>
        <v>46022.031930691774</v>
      </c>
      <c r="K8" s="11">
        <f t="shared" si="5"/>
        <v>3496.2501000000002</v>
      </c>
      <c r="L8" s="11">
        <f t="shared" si="6"/>
        <v>47272.122598736503</v>
      </c>
      <c r="M8" s="11">
        <f>M7*(1+Parameters!$C$13)</f>
        <v>569.25</v>
      </c>
      <c r="N8" s="5">
        <f t="shared" ref="N8:N26" si="8">M8*E7</f>
        <v>568.64010555000004</v>
      </c>
      <c r="O8" s="11">
        <f t="shared" ref="O8:O26" si="9">N8+(O9/(1+$H$3))</f>
        <v>10229.034112165231</v>
      </c>
      <c r="P8" s="11">
        <f t="shared" si="7"/>
        <v>10902384.042289669</v>
      </c>
    </row>
    <row r="9" spans="1:16" x14ac:dyDescent="0.25">
      <c r="A9">
        <v>3</v>
      </c>
      <c r="B9" s="13">
        <f>Parameters!$C$7</f>
        <v>3500</v>
      </c>
      <c r="C9" s="13">
        <f>Parameters!$C$8</f>
        <v>100000</v>
      </c>
      <c r="D9" s="13">
        <f>IF(A9=20,Parameters!$C$9,0)</f>
        <v>0</v>
      </c>
      <c r="E9">
        <f t="shared" si="0"/>
        <v>0.99671899423713683</v>
      </c>
      <c r="F9">
        <f>IF($B$2="M",VLOOKUP($B$1+A8,'Mortality rates'!$B$6:$G$101,5,0),VLOOKUP($B$1+A8,'Mortality rates'!$B$6:$G$101,5,0))</f>
        <v>1.122E-3</v>
      </c>
      <c r="G9" s="11">
        <f t="shared" si="1"/>
        <v>111.9574874543305</v>
      </c>
      <c r="H9" s="11">
        <f t="shared" si="2"/>
        <v>1891.3751332639304</v>
      </c>
      <c r="I9" s="11">
        <f t="shared" si="3"/>
        <v>0</v>
      </c>
      <c r="J9" s="11">
        <f t="shared" si="4"/>
        <v>47862.913207919446</v>
      </c>
      <c r="K9" s="11">
        <f t="shared" si="5"/>
        <v>3492.4349918908806</v>
      </c>
      <c r="L9" s="11">
        <f t="shared" si="6"/>
        <v>45526.907398685966</v>
      </c>
      <c r="M9" s="11">
        <f>M8*(1+Parameters!$C$13)</f>
        <v>589.17374999999993</v>
      </c>
      <c r="N9" s="5">
        <f t="shared" si="8"/>
        <v>587.9002916581627</v>
      </c>
      <c r="O9" s="11">
        <f t="shared" si="9"/>
        <v>10046.809766879842</v>
      </c>
      <c r="P9" s="11">
        <f t="shared" si="7"/>
        <v>14274190.709377253</v>
      </c>
    </row>
    <row r="10" spans="1:16" x14ac:dyDescent="0.25">
      <c r="A10">
        <v>4</v>
      </c>
      <c r="B10" s="13">
        <f>Parameters!$C$7</f>
        <v>3500</v>
      </c>
      <c r="C10" s="13">
        <f>Parameters!$C$8</f>
        <v>100000</v>
      </c>
      <c r="D10" s="13">
        <f>IF(A10=20,Parameters!$C$9,0)</f>
        <v>0</v>
      </c>
      <c r="E10">
        <f t="shared" si="0"/>
        <v>0.99556888018968659</v>
      </c>
      <c r="F10">
        <f>IF($B$2="M",VLOOKUP($B$1+A9,'Mortality rates'!$B$6:$G$101,5,0),VLOOKUP($B$1+A9,'Mortality rates'!$B$6:$G$101,5,0))</f>
        <v>1.1539E-3</v>
      </c>
      <c r="G10" s="11">
        <f t="shared" si="1"/>
        <v>115.01140474502321</v>
      </c>
      <c r="H10" s="11">
        <f t="shared" si="2"/>
        <v>1855.0726511401572</v>
      </c>
      <c r="I10" s="11">
        <f t="shared" si="3"/>
        <v>0</v>
      </c>
      <c r="J10" s="11">
        <f t="shared" si="4"/>
        <v>49777.429736236227</v>
      </c>
      <c r="K10" s="11">
        <f t="shared" si="5"/>
        <v>3488.5164798299788</v>
      </c>
      <c r="L10" s="11">
        <f t="shared" si="6"/>
        <v>43715.851303066891</v>
      </c>
      <c r="M10" s="11">
        <f>M9*(1+Parameters!$C$13)</f>
        <v>609.7948312499999</v>
      </c>
      <c r="N10" s="5">
        <f t="shared" si="8"/>
        <v>607.79409089450451</v>
      </c>
      <c r="O10" s="11">
        <f t="shared" si="9"/>
        <v>9837.2658542305471</v>
      </c>
      <c r="P10" s="11">
        <f t="shared" si="7"/>
        <v>17753916.938540038</v>
      </c>
    </row>
    <row r="11" spans="1:16" x14ac:dyDescent="0.25">
      <c r="A11">
        <v>5</v>
      </c>
      <c r="B11" s="13">
        <f>Parameters!$C$7</f>
        <v>3500</v>
      </c>
      <c r="C11" s="13">
        <f>Parameters!$C$8</f>
        <v>100000</v>
      </c>
      <c r="D11" s="13">
        <f>IF(A11=20,Parameters!$C$9,0)</f>
        <v>0</v>
      </c>
      <c r="E11">
        <f t="shared" si="0"/>
        <v>0.99438723948578944</v>
      </c>
      <c r="F11">
        <f>IF($B$2="M",VLOOKUP($B$1+A10,'Mortality rates'!$B$6:$G$101,5,0),VLOOKUP($B$1+A10,'Mortality rates'!$B$6:$G$101,5,0))</f>
        <v>1.1869000000000001E-3</v>
      </c>
      <c r="G11" s="11">
        <f t="shared" si="1"/>
        <v>118.16407038971391</v>
      </c>
      <c r="H11" s="11">
        <f t="shared" si="2"/>
        <v>1814.2641524407404</v>
      </c>
      <c r="I11" s="11">
        <f t="shared" si="3"/>
        <v>0</v>
      </c>
      <c r="J11" s="11">
        <f t="shared" si="4"/>
        <v>51768.526925685677</v>
      </c>
      <c r="K11" s="11">
        <f t="shared" si="5"/>
        <v>3484.4910806639032</v>
      </c>
      <c r="L11" s="11">
        <f t="shared" si="6"/>
        <v>41836.428216166387</v>
      </c>
      <c r="M11" s="11">
        <f>M10*(1+Parameters!$C$13)</f>
        <v>631.1376503437499</v>
      </c>
      <c r="N11" s="5">
        <f t="shared" si="8"/>
        <v>628.34100379827703</v>
      </c>
      <c r="O11" s="11">
        <f t="shared" si="9"/>
        <v>9598.6506338694853</v>
      </c>
      <c r="P11" s="11">
        <f t="shared" si="7"/>
        <v>21345013.495829508</v>
      </c>
    </row>
    <row r="12" spans="1:16" x14ac:dyDescent="0.25">
      <c r="A12">
        <v>6</v>
      </c>
      <c r="B12" s="13">
        <f>Parameters!$C$7</f>
        <v>3500</v>
      </c>
      <c r="C12" s="13">
        <f>Parameters!$C$8</f>
        <v>100000</v>
      </c>
      <c r="D12" s="13">
        <f>IF(A12=20,Parameters!$C$9,0)</f>
        <v>0</v>
      </c>
      <c r="E12">
        <f t="shared" si="0"/>
        <v>0.99317309266637721</v>
      </c>
      <c r="F12">
        <f>IF($B$2="M",VLOOKUP($B$1+A11,'Mortality rates'!$B$6:$G$101,5,0),VLOOKUP($B$1+A11,'Mortality rates'!$B$6:$G$101,5,0))</f>
        <v>1.2209999999999999E-3</v>
      </c>
      <c r="G12" s="11">
        <f t="shared" si="1"/>
        <v>121.41468194121487</v>
      </c>
      <c r="H12" s="11">
        <f t="shared" si="2"/>
        <v>1768.670648148656</v>
      </c>
      <c r="I12" s="11">
        <f t="shared" si="3"/>
        <v>0</v>
      </c>
      <c r="J12" s="11">
        <f t="shared" si="4"/>
        <v>53839.268002713106</v>
      </c>
      <c r="K12" s="11">
        <f t="shared" si="5"/>
        <v>3480.3553382002628</v>
      </c>
      <c r="L12" s="11">
        <f t="shared" si="6"/>
        <v>39886.014620922586</v>
      </c>
      <c r="M12" s="11">
        <f>M11*(1+Parameters!$C$13)</f>
        <v>653.2274681057811</v>
      </c>
      <c r="N12" s="5">
        <f t="shared" si="8"/>
        <v>649.56105876599929</v>
      </c>
      <c r="O12" s="11">
        <f t="shared" si="9"/>
        <v>9329.122015274057</v>
      </c>
      <c r="P12" s="11">
        <f t="shared" si="7"/>
        <v>25051046.045213234</v>
      </c>
    </row>
    <row r="13" spans="1:16" x14ac:dyDescent="0.25">
      <c r="A13">
        <v>7</v>
      </c>
      <c r="B13" s="13">
        <f>Parameters!$C$7</f>
        <v>3500</v>
      </c>
      <c r="C13" s="13">
        <f>Parameters!$C$8</f>
        <v>100000</v>
      </c>
      <c r="D13" s="13">
        <f>IF(A13=20,Parameters!$C$9,0)</f>
        <v>0</v>
      </c>
      <c r="E13">
        <f t="shared" si="0"/>
        <v>0.99192656111777167</v>
      </c>
      <c r="F13">
        <f>IF($B$2="M",VLOOKUP($B$1+A12,'Mortality rates'!$B$6:$G$101,5,0),VLOOKUP($B$1+A12,'Mortality rates'!$B$6:$G$101,5,0))</f>
        <v>1.2550999999999999E-3</v>
      </c>
      <c r="G13" s="11">
        <f t="shared" si="1"/>
        <v>124.653154860557</v>
      </c>
      <c r="H13" s="11">
        <f t="shared" si="2"/>
        <v>1718.0027921333874</v>
      </c>
      <c r="I13" s="11">
        <f t="shared" si="3"/>
        <v>0</v>
      </c>
      <c r="J13" s="11">
        <f t="shared" si="4"/>
        <v>55992.838722821631</v>
      </c>
      <c r="K13" s="11">
        <f t="shared" si="5"/>
        <v>3476.10582433232</v>
      </c>
      <c r="L13" s="11">
        <f t="shared" si="6"/>
        <v>37861.885654031212</v>
      </c>
      <c r="M13" s="11">
        <f>M12*(1+Parameters!$C$13)</f>
        <v>676.09042948948343</v>
      </c>
      <c r="N13" s="5">
        <f t="shared" si="8"/>
        <v>671.4748227782095</v>
      </c>
      <c r="O13" s="11">
        <f t="shared" si="9"/>
        <v>9026.7433947683803</v>
      </c>
      <c r="P13" s="11">
        <f t="shared" si="7"/>
        <v>28875699.255692191</v>
      </c>
    </row>
    <row r="14" spans="1:16" x14ac:dyDescent="0.25">
      <c r="A14">
        <v>8</v>
      </c>
      <c r="B14" s="13">
        <f>Parameters!$C$7</f>
        <v>3500</v>
      </c>
      <c r="C14" s="13">
        <f>Parameters!$C$8</f>
        <v>100000</v>
      </c>
      <c r="D14" s="13">
        <f>IF(A14=20,Parameters!$C$9,0)</f>
        <v>0</v>
      </c>
      <c r="E14">
        <f t="shared" si="0"/>
        <v>0.99064558715674411</v>
      </c>
      <c r="F14">
        <f>IF($B$2="M",VLOOKUP($B$1+A13,'Mortality rates'!$B$6:$G$101,5,0),VLOOKUP($B$1+A13,'Mortality rates'!$B$6:$G$101,5,0))</f>
        <v>1.2914000000000001E-3</v>
      </c>
      <c r="G14" s="11">
        <f t="shared" si="1"/>
        <v>128.09739610274906</v>
      </c>
      <c r="H14" s="11">
        <f t="shared" si="2"/>
        <v>1662.069748958166</v>
      </c>
      <c r="I14" s="11">
        <f t="shared" si="3"/>
        <v>0</v>
      </c>
      <c r="J14" s="11">
        <f t="shared" si="4"/>
        <v>58232.552271734501</v>
      </c>
      <c r="K14" s="11">
        <f t="shared" si="5"/>
        <v>3471.742963912201</v>
      </c>
      <c r="L14" s="11">
        <f t="shared" si="6"/>
        <v>35761.211022886848</v>
      </c>
      <c r="M14" s="11">
        <f>M13*(1+Parameters!$C$13)</f>
        <v>699.75359452161524</v>
      </c>
      <c r="N14" s="5">
        <f t="shared" si="8"/>
        <v>694.10417664362535</v>
      </c>
      <c r="O14" s="11">
        <f t="shared" si="9"/>
        <v>8689.479314869779</v>
      </c>
      <c r="P14" s="11">
        <f t="shared" si="7"/>
        <v>32822890.312675599</v>
      </c>
    </row>
    <row r="15" spans="1:16" x14ac:dyDescent="0.25">
      <c r="A15">
        <v>9</v>
      </c>
      <c r="B15" s="13">
        <f>Parameters!$C$7</f>
        <v>3500</v>
      </c>
      <c r="C15" s="13">
        <f>Parameters!$C$8</f>
        <v>100000</v>
      </c>
      <c r="D15" s="13">
        <f>IF(A15=20,Parameters!$C$9,0)</f>
        <v>0</v>
      </c>
      <c r="E15">
        <f t="shared" si="0"/>
        <v>0.98933030701067604</v>
      </c>
      <c r="F15">
        <f>IF($B$2="M",VLOOKUP($B$1+A14,'Mortality rates'!$B$6:$G$101,5,0),VLOOKUP($B$1+A14,'Mortality rates'!$B$6:$G$101,5,0))</f>
        <v>1.3277E-3</v>
      </c>
      <c r="G15" s="11">
        <f t="shared" si="1"/>
        <v>131.52801460680092</v>
      </c>
      <c r="H15" s="11">
        <f t="shared" si="2"/>
        <v>1600.4551428137436</v>
      </c>
      <c r="I15" s="11">
        <f t="shared" si="3"/>
        <v>0</v>
      </c>
      <c r="J15" s="11">
        <f t="shared" si="4"/>
        <v>60561.854362603881</v>
      </c>
      <c r="K15" s="11">
        <f t="shared" si="5"/>
        <v>3467.2595550486044</v>
      </c>
      <c r="L15" s="11">
        <f t="shared" si="6"/>
        <v>33581.046781333636</v>
      </c>
      <c r="M15" s="11">
        <f>M14*(1+Parameters!$C$13)</f>
        <v>724.24497032987176</v>
      </c>
      <c r="N15" s="5">
        <f t="shared" si="8"/>
        <v>717.47008387775452</v>
      </c>
      <c r="O15" s="11">
        <f t="shared" si="9"/>
        <v>8315.1901437552006</v>
      </c>
      <c r="P15" s="11">
        <f t="shared" si="7"/>
        <v>36896452.867839187</v>
      </c>
    </row>
    <row r="16" spans="1:16" x14ac:dyDescent="0.25">
      <c r="A16">
        <v>10</v>
      </c>
      <c r="B16" s="13">
        <f>Parameters!$C$7</f>
        <v>3500</v>
      </c>
      <c r="C16" s="13">
        <f>Parameters!$C$8</f>
        <v>100000</v>
      </c>
      <c r="D16" s="13">
        <f>IF(A16=20,Parameters!$C$9,0)</f>
        <v>0</v>
      </c>
      <c r="E16">
        <f t="shared" si="0"/>
        <v>0.98796562478518546</v>
      </c>
      <c r="F16">
        <f>IF($B$2="M",VLOOKUP($B$1+A15,'Mortality rates'!$B$6:$G$101,5,0),VLOOKUP($B$1+A15,'Mortality rates'!$B$6:$G$101,5,0))</f>
        <v>1.3794E-3</v>
      </c>
      <c r="G16" s="11">
        <f t="shared" si="1"/>
        <v>136.46822254905265</v>
      </c>
      <c r="H16" s="11">
        <f t="shared" si="2"/>
        <v>1532.9453339194924</v>
      </c>
      <c r="I16" s="11">
        <f t="shared" si="3"/>
        <v>0</v>
      </c>
      <c r="J16" s="11">
        <f t="shared" si="4"/>
        <v>62984.328537108035</v>
      </c>
      <c r="K16" s="11">
        <f t="shared" si="5"/>
        <v>3462.6560745373663</v>
      </c>
      <c r="L16" s="11">
        <f t="shared" si="6"/>
        <v>31318.338715336431</v>
      </c>
      <c r="M16" s="11">
        <f>M15*(1+Parameters!$C$13)</f>
        <v>749.59354429141717</v>
      </c>
      <c r="N16" s="5">
        <f t="shared" si="8"/>
        <v>741.59561130704856</v>
      </c>
      <c r="O16" s="11">
        <f t="shared" si="9"/>
        <v>7901.6288622725433</v>
      </c>
      <c r="P16" s="11">
        <f t="shared" si="7"/>
        <v>41100564.01796364</v>
      </c>
    </row>
    <row r="17" spans="1:16" x14ac:dyDescent="0.25">
      <c r="A17">
        <v>11</v>
      </c>
      <c r="B17" s="13">
        <f>Parameters!$C$7</f>
        <v>3500</v>
      </c>
      <c r="C17" s="13">
        <f>Parameters!$C$8</f>
        <v>100000</v>
      </c>
      <c r="D17" s="13">
        <f>IF(A17=20,Parameters!$C$9,0)</f>
        <v>0</v>
      </c>
      <c r="E17">
        <f t="shared" si="0"/>
        <v>0.98655935451486632</v>
      </c>
      <c r="F17">
        <f>IF($B$2="M",VLOOKUP($B$1+A16,'Mortality rates'!$B$6:$G$101,5,0),VLOOKUP($B$1+A16,'Mortality rates'!$B$6:$G$101,5,0))</f>
        <v>1.4234000000000002E-3</v>
      </c>
      <c r="G17" s="11">
        <f t="shared" si="1"/>
        <v>140.62702703192332</v>
      </c>
      <c r="H17" s="11">
        <f t="shared" si="2"/>
        <v>1457.7949247272195</v>
      </c>
      <c r="I17" s="11">
        <f t="shared" si="3"/>
        <v>0</v>
      </c>
      <c r="J17" s="11">
        <f t="shared" si="4"/>
        <v>65503.701678592355</v>
      </c>
      <c r="K17" s="11">
        <f t="shared" si="5"/>
        <v>3457.8796867481492</v>
      </c>
      <c r="L17" s="11">
        <f t="shared" si="6"/>
        <v>28969.909946431031</v>
      </c>
      <c r="M17" s="11">
        <f>M16*(1+Parameters!$C$13)</f>
        <v>775.82931834161673</v>
      </c>
      <c r="N17" s="5">
        <f t="shared" si="8"/>
        <v>766.49269722203996</v>
      </c>
      <c r="O17" s="11">
        <f t="shared" si="9"/>
        <v>7446.4345810041141</v>
      </c>
      <c r="P17" s="11">
        <f t="shared" si="7"/>
        <v>45438021.237892665</v>
      </c>
    </row>
    <row r="18" spans="1:16" x14ac:dyDescent="0.25">
      <c r="A18">
        <v>12</v>
      </c>
      <c r="B18" s="13">
        <f>Parameters!$C$7</f>
        <v>3500</v>
      </c>
      <c r="C18" s="13">
        <f>Parameters!$C$8</f>
        <v>100000</v>
      </c>
      <c r="D18" s="13">
        <f>IF(A18=20,Parameters!$C$9,0)</f>
        <v>0</v>
      </c>
      <c r="E18">
        <f t="shared" si="0"/>
        <v>0.98509973994986155</v>
      </c>
      <c r="F18">
        <f>IF($B$2="M",VLOOKUP($B$1+A17,'Mortality rates'!$B$6:$G$101,5,0),VLOOKUP($B$1+A17,'Mortality rates'!$B$6:$G$101,5,0))</f>
        <v>1.4795000000000001E-3</v>
      </c>
      <c r="G18" s="11">
        <f t="shared" si="1"/>
        <v>145.9614565004745</v>
      </c>
      <c r="H18" s="11">
        <f t="shared" si="2"/>
        <v>1375.4796946843851</v>
      </c>
      <c r="I18" s="11">
        <f t="shared" si="3"/>
        <v>0</v>
      </c>
      <c r="J18" s="11">
        <f t="shared" si="4"/>
        <v>68123.84974573605</v>
      </c>
      <c r="K18" s="11">
        <f t="shared" si="5"/>
        <v>3452.9577408020323</v>
      </c>
      <c r="L18" s="11">
        <f t="shared" si="6"/>
        <v>26532.511470070196</v>
      </c>
      <c r="M18" s="11">
        <f>M17*(1+Parameters!$C$13)</f>
        <v>802.98334448357321</v>
      </c>
      <c r="N18" s="5">
        <f t="shared" si="8"/>
        <v>792.1907300199025</v>
      </c>
      <c r="O18" s="11">
        <f t="shared" si="9"/>
        <v>6947.1395591333576</v>
      </c>
      <c r="P18" s="11">
        <f t="shared" si="7"/>
        <v>49913957.529483594</v>
      </c>
    </row>
    <row r="19" spans="1:16" x14ac:dyDescent="0.25">
      <c r="A19">
        <v>13</v>
      </c>
      <c r="B19" s="13">
        <f>Parameters!$C$7</f>
        <v>3500</v>
      </c>
      <c r="C19" s="13">
        <f>Parameters!$C$8</f>
        <v>100000</v>
      </c>
      <c r="D19" s="13">
        <f>IF(A19=20,Parameters!$C$9,0)</f>
        <v>0</v>
      </c>
      <c r="E19">
        <f t="shared" si="0"/>
        <v>0.98357293386291322</v>
      </c>
      <c r="F19">
        <f>IF($B$2="M",VLOOKUP($B$1+A18,'Mortality rates'!$B$6:$G$101,5,0),VLOOKUP($B$1+A18,'Mortality rates'!$B$6:$G$101,5,0))</f>
        <v>1.5498999999999999E-3</v>
      </c>
      <c r="G19" s="11">
        <f t="shared" si="1"/>
        <v>152.68060869482903</v>
      </c>
      <c r="H19" s="11">
        <f t="shared" si="2"/>
        <v>1284.537425971286</v>
      </c>
      <c r="I19" s="11">
        <f t="shared" si="3"/>
        <v>0</v>
      </c>
      <c r="J19" s="11">
        <f t="shared" si="4"/>
        <v>70848.803735565496</v>
      </c>
      <c r="K19" s="11">
        <f t="shared" si="5"/>
        <v>3447.8490898245154</v>
      </c>
      <c r="L19" s="11">
        <f t="shared" si="6"/>
        <v>24002.735878438893</v>
      </c>
      <c r="M19" s="11">
        <f>M18*(1+Parameters!$C$13)</f>
        <v>831.08776154049815</v>
      </c>
      <c r="N19" s="5">
        <f t="shared" si="8"/>
        <v>818.70433776905725</v>
      </c>
      <c r="O19" s="11">
        <f t="shared" si="9"/>
        <v>6401.1467822779932</v>
      </c>
      <c r="P19" s="11">
        <f t="shared" si="7"/>
        <v>54531752.065375887</v>
      </c>
    </row>
    <row r="20" spans="1:16" x14ac:dyDescent="0.25">
      <c r="A20">
        <v>14</v>
      </c>
      <c r="B20" s="13">
        <f>Parameters!$C$7</f>
        <v>3500</v>
      </c>
      <c r="C20" s="13">
        <f>Parameters!$C$8</f>
        <v>100000</v>
      </c>
      <c r="D20" s="13">
        <f>IF(A20=20,Parameters!$C$9,0)</f>
        <v>0</v>
      </c>
      <c r="E20">
        <f t="shared" si="0"/>
        <v>0.98196410361499364</v>
      </c>
      <c r="F20">
        <f>IF($B$2="M",VLOOKUP($B$1+A19,'Mortality rates'!$B$6:$G$101,5,0),VLOOKUP($B$1+A19,'Mortality rates'!$B$6:$G$101,5,0))</f>
        <v>1.6357000000000001E-3</v>
      </c>
      <c r="G20" s="11">
        <f t="shared" si="1"/>
        <v>160.88302479195673</v>
      </c>
      <c r="H20" s="11">
        <f t="shared" si="2"/>
        <v>1183.2383143153083</v>
      </c>
      <c r="I20" s="11">
        <f t="shared" si="3"/>
        <v>0</v>
      </c>
      <c r="J20" s="11">
        <f t="shared" si="4"/>
        <v>73682.755884988117</v>
      </c>
      <c r="K20" s="11">
        <f t="shared" si="5"/>
        <v>3442.5052685201963</v>
      </c>
      <c r="L20" s="11">
        <f t="shared" si="6"/>
        <v>21377.082260158953</v>
      </c>
      <c r="M20" s="11">
        <f>M19*(1+Parameters!$C$13)</f>
        <v>860.17583319441553</v>
      </c>
      <c r="N20" s="5">
        <f t="shared" si="8"/>
        <v>846.04566789300713</v>
      </c>
      <c r="O20" s="11">
        <f t="shared" si="9"/>
        <v>5805.7401422892935</v>
      </c>
      <c r="P20" s="11">
        <f t="shared" si="7"/>
        <v>59294652.081433766</v>
      </c>
    </row>
    <row r="21" spans="1:16" x14ac:dyDescent="0.25">
      <c r="A21">
        <v>15</v>
      </c>
      <c r="B21" s="13">
        <f>Parameters!$C$7</f>
        <v>3500</v>
      </c>
      <c r="C21" s="13">
        <f>Parameters!$C$8</f>
        <v>100000</v>
      </c>
      <c r="D21" s="13">
        <f>IF(A21=20,Parameters!$C$9,0)</f>
        <v>0</v>
      </c>
      <c r="E21">
        <f t="shared" si="0"/>
        <v>0.98025853016342468</v>
      </c>
      <c r="F21">
        <f>IF($B$2="M",VLOOKUP($B$1+A20,'Mortality rates'!$B$6:$G$101,5,0),VLOOKUP($B$1+A20,'Mortality rates'!$B$6:$G$101,5,0))</f>
        <v>1.7369E-3</v>
      </c>
      <c r="G21" s="11">
        <f t="shared" si="1"/>
        <v>170.55734515688823</v>
      </c>
      <c r="H21" s="11">
        <f t="shared" si="2"/>
        <v>1069.6848220959639</v>
      </c>
      <c r="I21" s="11">
        <f t="shared" si="3"/>
        <v>0</v>
      </c>
      <c r="J21" s="11">
        <f t="shared" si="4"/>
        <v>76630.066120387652</v>
      </c>
      <c r="K21" s="11">
        <f t="shared" si="5"/>
        <v>3436.8743626524779</v>
      </c>
      <c r="L21" s="11">
        <f t="shared" si="6"/>
        <v>18651.960071304307</v>
      </c>
      <c r="M21" s="11">
        <f>M20*(1+Parameters!$C$13)</f>
        <v>890.28198735622004</v>
      </c>
      <c r="N21" s="5">
        <f t="shared" si="8"/>
        <v>874.22495367882573</v>
      </c>
      <c r="O21" s="11">
        <f t="shared" si="9"/>
        <v>5158.0822533721384</v>
      </c>
      <c r="P21" s="11">
        <f t="shared" si="7"/>
        <v>64205873.124551453</v>
      </c>
    </row>
    <row r="22" spans="1:16" x14ac:dyDescent="0.25">
      <c r="A22">
        <v>16</v>
      </c>
      <c r="B22" s="13">
        <f>Parameters!$C$7</f>
        <v>3500</v>
      </c>
      <c r="C22" s="13">
        <f>Parameters!$C$8</f>
        <v>100000</v>
      </c>
      <c r="D22" s="13">
        <f>IF(A22=20,Parameters!$C$9,0)</f>
        <v>0</v>
      </c>
      <c r="E22">
        <f t="shared" si="0"/>
        <v>0.9784383861246172</v>
      </c>
      <c r="F22">
        <f>IF($B$2="M",VLOOKUP($B$1+A21,'Mortality rates'!$B$6:$G$101,5,0),VLOOKUP($B$1+A21,'Mortality rates'!$B$6:$G$101,5,0))</f>
        <v>1.8568000000000002E-3</v>
      </c>
      <c r="G22" s="11">
        <f t="shared" si="1"/>
        <v>182.01440388074474</v>
      </c>
      <c r="H22" s="11">
        <f t="shared" si="2"/>
        <v>941.91486982291417</v>
      </c>
      <c r="I22" s="11">
        <f t="shared" si="3"/>
        <v>0</v>
      </c>
      <c r="J22" s="11">
        <f t="shared" si="4"/>
        <v>79695.26876520316</v>
      </c>
      <c r="K22" s="11">
        <f t="shared" si="5"/>
        <v>3430.9048555719864</v>
      </c>
      <c r="L22" s="11">
        <f t="shared" si="6"/>
        <v>15823.689136997902</v>
      </c>
      <c r="M22" s="11">
        <f>M21*(1+Parameters!$C$13)</f>
        <v>921.44185691368773</v>
      </c>
      <c r="N22" s="5">
        <f t="shared" si="8"/>
        <v>903.25124028926825</v>
      </c>
      <c r="O22" s="11">
        <f t="shared" si="9"/>
        <v>4455.2115916810453</v>
      </c>
      <c r="P22" s="11">
        <f t="shared" si="7"/>
        <v>69268706.089709222</v>
      </c>
    </row>
    <row r="23" spans="1:16" x14ac:dyDescent="0.25">
      <c r="A23">
        <v>17</v>
      </c>
      <c r="B23" s="13">
        <f>Parameters!$C$7</f>
        <v>3500</v>
      </c>
      <c r="C23" s="13">
        <f>Parameters!$C$8</f>
        <v>100000</v>
      </c>
      <c r="D23" s="13">
        <f>IF(A23=20,Parameters!$C$9,0)</f>
        <v>0</v>
      </c>
      <c r="E23">
        <f t="shared" si="0"/>
        <v>0.97648601016894421</v>
      </c>
      <c r="F23">
        <f>IF($B$2="M",VLOOKUP($B$1+A22,'Mortality rates'!$B$6:$G$101,5,0),VLOOKUP($B$1+A22,'Mortality rates'!$B$6:$G$101,5,0))</f>
        <v>1.9954E-3</v>
      </c>
      <c r="G23" s="11">
        <f t="shared" si="1"/>
        <v>195.2375955673061</v>
      </c>
      <c r="H23" s="11">
        <f t="shared" si="2"/>
        <v>797.57706073508598</v>
      </c>
      <c r="I23" s="11">
        <f t="shared" si="3"/>
        <v>0</v>
      </c>
      <c r="J23" s="11">
        <f t="shared" si="4"/>
        <v>82883.079515811289</v>
      </c>
      <c r="K23" s="11">
        <f t="shared" si="5"/>
        <v>3424.5343514361603</v>
      </c>
      <c r="L23" s="11">
        <f t="shared" si="6"/>
        <v>12888.495652682952</v>
      </c>
      <c r="M23" s="11">
        <f>M22*(1+Parameters!$C$13)</f>
        <v>953.69232190566674</v>
      </c>
      <c r="N23" s="5">
        <f t="shared" si="8"/>
        <v>933.12917630481945</v>
      </c>
      <c r="O23" s="11">
        <f t="shared" si="9"/>
        <v>3694.038765447448</v>
      </c>
      <c r="P23" s="11">
        <f t="shared" si="7"/>
        <v>74486199.689310879</v>
      </c>
    </row>
    <row r="24" spans="1:16" x14ac:dyDescent="0.25">
      <c r="A24">
        <v>18</v>
      </c>
      <c r="B24" s="13">
        <f>Parameters!$C$7</f>
        <v>3500</v>
      </c>
      <c r="C24" s="13">
        <f>Parameters!$C$8</f>
        <v>100000</v>
      </c>
      <c r="D24" s="13">
        <f>IF(A24=20,Parameters!$C$9,0)</f>
        <v>0</v>
      </c>
      <c r="E24">
        <f t="shared" si="0"/>
        <v>0.97437963219640877</v>
      </c>
      <c r="F24">
        <f>IF($B$2="M",VLOOKUP($B$1+A23,'Mortality rates'!$B$6:$G$101,5,0),VLOOKUP($B$1+A23,'Mortality rates'!$B$6:$G$101,5,0))</f>
        <v>2.1571000000000003E-3</v>
      </c>
      <c r="G24" s="11">
        <f t="shared" si="1"/>
        <v>210.637797253543</v>
      </c>
      <c r="H24" s="11">
        <f t="shared" si="2"/>
        <v>634.24254759718326</v>
      </c>
      <c r="I24" s="11">
        <f t="shared" si="3"/>
        <v>0</v>
      </c>
      <c r="J24" s="11">
        <f t="shared" si="4"/>
        <v>86198.402696443751</v>
      </c>
      <c r="K24" s="11">
        <f t="shared" si="5"/>
        <v>3417.7010355913048</v>
      </c>
      <c r="L24" s="11">
        <f t="shared" si="6"/>
        <v>9842.5197532966631</v>
      </c>
      <c r="M24" s="11">
        <f>M23*(1+Parameters!$C$13)</f>
        <v>987.07155317236504</v>
      </c>
      <c r="N24" s="5">
        <f t="shared" si="8"/>
        <v>963.86156270854565</v>
      </c>
      <c r="O24" s="11">
        <f t="shared" si="9"/>
        <v>2871.3459727083341</v>
      </c>
      <c r="P24" s="11">
        <f t="shared" si="7"/>
        <v>79861471.463452622</v>
      </c>
    </row>
    <row r="25" spans="1:16" x14ac:dyDescent="0.25">
      <c r="A25">
        <v>19</v>
      </c>
      <c r="B25" s="13">
        <f>Parameters!$C$7</f>
        <v>3500</v>
      </c>
      <c r="C25" s="13">
        <f>Parameters!$C$8</f>
        <v>100000</v>
      </c>
      <c r="D25" s="13">
        <f>IF(A25=20,Parameters!$C$9,0)</f>
        <v>0</v>
      </c>
      <c r="E25">
        <f t="shared" si="0"/>
        <v>0.97209773253576803</v>
      </c>
      <c r="F25">
        <f>IF($B$2="M",VLOOKUP($B$1+A24,'Mortality rates'!$B$6:$G$101,5,0),VLOOKUP($B$1+A24,'Mortality rates'!$B$6:$G$101,5,0))</f>
        <v>2.3419000000000001E-3</v>
      </c>
      <c r="G25" s="11">
        <f t="shared" si="1"/>
        <v>228.18996606407697</v>
      </c>
      <c r="H25" s="11">
        <f>(G25+H26)/(1+$H$3)</f>
        <v>448.97445224752767</v>
      </c>
      <c r="I25" s="11">
        <f t="shared" si="3"/>
        <v>0</v>
      </c>
      <c r="J25" s="11">
        <f t="shared" si="4"/>
        <v>89646.3388043015</v>
      </c>
      <c r="K25" s="11">
        <f t="shared" si="5"/>
        <v>3410.3287126874307</v>
      </c>
      <c r="L25" s="11">
        <f>K25+L26/(1+$H$3)</f>
        <v>6681.8114664135728</v>
      </c>
      <c r="M25" s="11">
        <f>M24*(1+Parameters!$C$13)</f>
        <v>1021.6190575333977</v>
      </c>
      <c r="N25" s="5">
        <f t="shared" si="8"/>
        <v>995.44480152423387</v>
      </c>
      <c r="O25" s="11">
        <f t="shared" si="9"/>
        <v>1983.7837863997802</v>
      </c>
      <c r="P25" s="11">
        <f t="shared" si="7"/>
        <v>85397285.576535225</v>
      </c>
    </row>
    <row r="26" spans="1:16" x14ac:dyDescent="0.25">
      <c r="A26">
        <v>20</v>
      </c>
      <c r="B26" s="13">
        <f>Parameters!$C$7</f>
        <v>3500</v>
      </c>
      <c r="C26" s="13">
        <f>Parameters!$C$8</f>
        <v>100000</v>
      </c>
      <c r="D26" s="13">
        <f>IF(A26=20,Parameters!$C$9,0)</f>
        <v>100000</v>
      </c>
      <c r="E26">
        <f t="shared" si="0"/>
        <v>0.96961480050732518</v>
      </c>
      <c r="F26">
        <f>IF($B$2="M",VLOOKUP($B$1+A25,'Mortality rates'!$B$6:$G$101,5,0),VLOOKUP($B$1+A25,'Mortality rates'!$B$6:$G$101,5,0))</f>
        <v>2.5542E-3</v>
      </c>
      <c r="G26" s="11">
        <f t="shared" si="1"/>
        <v>248.29320284428587</v>
      </c>
      <c r="H26" s="11">
        <f>(G26+H27)/(1+$H$3)</f>
        <v>238.7434642733518</v>
      </c>
      <c r="I26" s="11">
        <f t="shared" si="3"/>
        <v>96961.480050732513</v>
      </c>
      <c r="J26" s="11">
        <f t="shared" ref="J26" si="10">I26/(1+$H$3)</f>
        <v>93232.192356473563</v>
      </c>
      <c r="K26" s="11">
        <f t="shared" si="5"/>
        <v>3402.3420638751882</v>
      </c>
      <c r="L26" s="11">
        <f>K26+L27/(1+$H$3)</f>
        <v>3402.3420638751882</v>
      </c>
      <c r="M26" s="11">
        <f>M25*(1+Parameters!$C$13)</f>
        <v>1057.3757245470665</v>
      </c>
      <c r="N26" s="5">
        <f t="shared" si="8"/>
        <v>1027.8725442705681</v>
      </c>
      <c r="O26" s="11">
        <f t="shared" si="9"/>
        <v>1027.8725442705681</v>
      </c>
      <c r="P26" s="11">
        <f t="shared" si="7"/>
        <v>91096466.30114229</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R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42578125" bestFit="1" customWidth="1"/>
    <col min="8" max="8" width="17.5703125" bestFit="1" customWidth="1"/>
    <col min="9" max="10" width="24.7109375" bestFit="1" customWidth="1"/>
    <col min="11" max="12" width="24.5703125" customWidth="1"/>
    <col min="13" max="13" width="12.7109375" bestFit="1" customWidth="1"/>
    <col min="14" max="14" width="13.42578125" bestFit="1" customWidth="1"/>
    <col min="15" max="15" width="22.5703125" bestFit="1" customWidth="1"/>
    <col min="16" max="18" width="14.28515625" bestFit="1" customWidth="1"/>
  </cols>
  <sheetData>
    <row r="1" spans="1:18" x14ac:dyDescent="0.25">
      <c r="A1" s="1" t="s">
        <v>9</v>
      </c>
      <c r="B1" s="10">
        <v>30</v>
      </c>
    </row>
    <row r="2" spans="1:18" x14ac:dyDescent="0.25">
      <c r="A2" s="1" t="s">
        <v>37</v>
      </c>
      <c r="B2" s="10" t="s">
        <v>38</v>
      </c>
    </row>
    <row r="3" spans="1:18" x14ac:dyDescent="0.25">
      <c r="A3" s="1" t="s">
        <v>40</v>
      </c>
      <c r="B3">
        <v>1000</v>
      </c>
      <c r="G3" s="1" t="s">
        <v>11</v>
      </c>
      <c r="H3" s="6">
        <f>Assumptions!C7</f>
        <v>0.04</v>
      </c>
    </row>
    <row r="5" spans="1:18" ht="45" x14ac:dyDescent="0.25">
      <c r="A5" s="7" t="s">
        <v>2</v>
      </c>
      <c r="B5" s="7" t="s">
        <v>3</v>
      </c>
      <c r="C5" s="7" t="s">
        <v>4</v>
      </c>
      <c r="D5" s="7" t="s">
        <v>12</v>
      </c>
      <c r="E5" s="7" t="s">
        <v>7</v>
      </c>
      <c r="F5" s="7" t="s">
        <v>5</v>
      </c>
      <c r="G5" s="7" t="s">
        <v>76</v>
      </c>
      <c r="H5" s="7" t="s">
        <v>10</v>
      </c>
      <c r="I5" s="7" t="s">
        <v>77</v>
      </c>
      <c r="J5" s="7" t="s">
        <v>15</v>
      </c>
      <c r="K5" s="7" t="s">
        <v>78</v>
      </c>
      <c r="L5" s="7" t="s">
        <v>14</v>
      </c>
      <c r="M5" s="7" t="s">
        <v>79</v>
      </c>
      <c r="N5" s="7" t="s">
        <v>80</v>
      </c>
      <c r="O5" s="7" t="s">
        <v>13</v>
      </c>
      <c r="P5" s="7" t="s">
        <v>0</v>
      </c>
      <c r="Q5" s="7" t="s">
        <v>1</v>
      </c>
      <c r="R5" s="1" t="s">
        <v>32</v>
      </c>
    </row>
    <row r="6" spans="1:18" x14ac:dyDescent="0.25">
      <c r="A6">
        <v>0</v>
      </c>
      <c r="E6">
        <v>1</v>
      </c>
    </row>
    <row r="7" spans="1:18" x14ac:dyDescent="0.25">
      <c r="A7">
        <v>1</v>
      </c>
      <c r="B7" s="13">
        <f>Parameters!$C$7</f>
        <v>3500</v>
      </c>
      <c r="C7" s="13">
        <f>Parameters!$C$8</f>
        <v>100000</v>
      </c>
      <c r="D7" s="13">
        <f>IF(A7=20,Parameters!$C$9,0)</f>
        <v>0</v>
      </c>
      <c r="E7">
        <f t="shared" ref="E7:E26" si="0">E6*(1-F7)</f>
        <v>0.99902599999999997</v>
      </c>
      <c r="F7">
        <f>IF($B$2="M",VLOOKUP($B$1+A6,'Mortality rates'!$B$6:$G$101,2,0),VLOOKUP($B$1+A6,'Mortality rates'!$B$6:$G$101,3,0))</f>
        <v>9.7399999999999993E-4</v>
      </c>
      <c r="G7" s="11">
        <f t="shared" ref="G7:G26" si="1">C7*F7*E6</f>
        <v>97.399999999999991</v>
      </c>
      <c r="H7" s="11">
        <f t="shared" ref="H7:H24" si="2">(G7+H8)/(1+$H$3)</f>
        <v>1777.0088050274537</v>
      </c>
      <c r="I7" s="11">
        <f t="shared" ref="I7:I26" si="3">E7*D7</f>
        <v>0</v>
      </c>
      <c r="J7" s="11">
        <f t="shared" ref="J7:J25" si="4">J8/(1+$H$3)</f>
        <v>44376.354391418281</v>
      </c>
      <c r="K7" s="11">
        <f t="shared" ref="K7:K26" si="5">B7*E6</f>
        <v>3500</v>
      </c>
      <c r="L7" s="11">
        <f t="shared" ref="L7:L24" si="6">K7+L8/(1+$H$3)</f>
        <v>49000.439491234312</v>
      </c>
      <c r="M7" s="11">
        <f>Parameters!C16</f>
        <v>500</v>
      </c>
      <c r="N7" s="5">
        <f>M7*E6</f>
        <v>500</v>
      </c>
      <c r="O7" s="11">
        <f>N7+(O8/(1+$H$3))</f>
        <v>9039.2645003962552</v>
      </c>
      <c r="P7" s="11">
        <f t="shared" ref="P7:P26" si="7">(H7+J7+O7-L7)*$B$3</f>
        <v>6192188.2056076797</v>
      </c>
      <c r="Q7" s="11">
        <f>ABS(P7*5%)</f>
        <v>309609.41028038401</v>
      </c>
      <c r="R7" s="11">
        <f>Q7+P7</f>
        <v>6501797.6158880638</v>
      </c>
    </row>
    <row r="8" spans="1:18" x14ac:dyDescent="0.25">
      <c r="A8">
        <v>2</v>
      </c>
      <c r="B8" s="13">
        <f>Parameters!$C$7</f>
        <v>3500</v>
      </c>
      <c r="C8" s="13">
        <f>Parameters!$C$8</f>
        <v>100000</v>
      </c>
      <c r="D8" s="13">
        <f>IF(A8=20,Parameters!$C$9,0)</f>
        <v>0</v>
      </c>
      <c r="E8">
        <f t="shared" si="0"/>
        <v>0.99803496620800003</v>
      </c>
      <c r="F8">
        <f>IF($B$2="M",VLOOKUP($B$1+A7,'Mortality rates'!$B$6:$G$101,2,0),VLOOKUP($B$1+A7,'Mortality rates'!$B$6:$G$101,3,0))</f>
        <v>9.9199999999999983E-4</v>
      </c>
      <c r="G8" s="11">
        <f t="shared" si="1"/>
        <v>99.103379199999992</v>
      </c>
      <c r="H8" s="11">
        <f t="shared" si="2"/>
        <v>1750.6891572285517</v>
      </c>
      <c r="I8" s="11">
        <f t="shared" si="3"/>
        <v>0</v>
      </c>
      <c r="J8" s="11">
        <f t="shared" si="4"/>
        <v>46151.408567075014</v>
      </c>
      <c r="K8" s="11">
        <f t="shared" si="5"/>
        <v>3496.5909999999999</v>
      </c>
      <c r="L8" s="11">
        <f t="shared" si="6"/>
        <v>47320.457070883684</v>
      </c>
      <c r="M8" s="11">
        <f>M7*(1+Parameters!$C$12)</f>
        <v>515</v>
      </c>
      <c r="N8" s="5">
        <f t="shared" ref="N8:N26" si="8">M8*E7</f>
        <v>514.49838999999997</v>
      </c>
      <c r="O8" s="11">
        <f t="shared" ref="O8:O26" si="9">N8+(O9/(1+$H$3))</f>
        <v>8880.8350804121055</v>
      </c>
      <c r="P8" s="11">
        <f t="shared" si="7"/>
        <v>9462475.7338319905</v>
      </c>
      <c r="Q8" s="11">
        <f t="shared" ref="Q8:Q26" si="10">ABS(P8*5%)</f>
        <v>473123.78669159953</v>
      </c>
      <c r="R8" s="11">
        <f t="shared" ref="R8:R26" si="11">Q8+P8</f>
        <v>9935599.5205235891</v>
      </c>
    </row>
    <row r="9" spans="1:18" x14ac:dyDescent="0.25">
      <c r="A9">
        <v>3</v>
      </c>
      <c r="B9" s="13">
        <f>Parameters!$C$7</f>
        <v>3500</v>
      </c>
      <c r="C9" s="13">
        <f>Parameters!$C$8</f>
        <v>100000</v>
      </c>
      <c r="D9" s="13">
        <f>IF(A9=20,Parameters!$C$9,0)</f>
        <v>0</v>
      </c>
      <c r="E9">
        <f t="shared" si="0"/>
        <v>0.99701697054246785</v>
      </c>
      <c r="F9">
        <f>IF($B$2="M",VLOOKUP($B$1+A8,'Mortality rates'!$B$6:$G$101,2,0),VLOOKUP($B$1+A8,'Mortality rates'!$B$6:$G$101,3,0))</f>
        <v>1.0199999999999999E-3</v>
      </c>
      <c r="G9" s="11">
        <f t="shared" si="1"/>
        <v>101.79956655321598</v>
      </c>
      <c r="H9" s="11">
        <f t="shared" si="2"/>
        <v>1721.6133443176939</v>
      </c>
      <c r="I9" s="11">
        <f t="shared" si="3"/>
        <v>0</v>
      </c>
      <c r="J9" s="11">
        <f t="shared" si="4"/>
        <v>47997.464909758019</v>
      </c>
      <c r="K9" s="11">
        <f t="shared" si="5"/>
        <v>3493.1223817280002</v>
      </c>
      <c r="L9" s="11">
        <f t="shared" si="6"/>
        <v>45576.820713719033</v>
      </c>
      <c r="M9" s="11">
        <f>M8*(1+Parameters!$C$12)</f>
        <v>530.45000000000005</v>
      </c>
      <c r="N9" s="5">
        <f t="shared" si="8"/>
        <v>529.40764782503368</v>
      </c>
      <c r="O9" s="11">
        <f t="shared" si="9"/>
        <v>8700.9901580285896</v>
      </c>
      <c r="P9" s="11">
        <f t="shared" si="7"/>
        <v>12843247.698385268</v>
      </c>
      <c r="Q9" s="11">
        <f t="shared" si="10"/>
        <v>642162.38491926342</v>
      </c>
      <c r="R9" s="11">
        <f t="shared" si="11"/>
        <v>13485410.083304532</v>
      </c>
    </row>
    <row r="10" spans="1:18" x14ac:dyDescent="0.25">
      <c r="A10">
        <v>4</v>
      </c>
      <c r="B10" s="13">
        <f>Parameters!$C$7</f>
        <v>3500</v>
      </c>
      <c r="C10" s="13">
        <f>Parameters!$C$8</f>
        <v>100000</v>
      </c>
      <c r="D10" s="13">
        <f>IF(A10=20,Parameters!$C$9,0)</f>
        <v>0</v>
      </c>
      <c r="E10">
        <f t="shared" si="0"/>
        <v>0.99597109974036879</v>
      </c>
      <c r="F10">
        <f>IF($B$2="M",VLOOKUP($B$1+A9,'Mortality rates'!$B$6:$G$101,2,0),VLOOKUP($B$1+A9,'Mortality rates'!$B$6:$G$101,3,0))</f>
        <v>1.049E-3</v>
      </c>
      <c r="G10" s="11">
        <f t="shared" si="1"/>
        <v>104.58708020990488</v>
      </c>
      <c r="H10" s="11">
        <f t="shared" si="2"/>
        <v>1688.6783115371857</v>
      </c>
      <c r="I10" s="11">
        <f t="shared" si="3"/>
        <v>0</v>
      </c>
      <c r="J10" s="11">
        <f t="shared" si="4"/>
        <v>49917.363506148344</v>
      </c>
      <c r="K10" s="11">
        <f t="shared" si="5"/>
        <v>3489.5593968986373</v>
      </c>
      <c r="L10" s="11">
        <f t="shared" si="6"/>
        <v>43767.046265270677</v>
      </c>
      <c r="M10" s="11">
        <f>M9*(1+Parameters!$C$12)</f>
        <v>546.36350000000004</v>
      </c>
      <c r="N10" s="5">
        <f t="shared" si="8"/>
        <v>544.73368158497965</v>
      </c>
      <c r="O10" s="11">
        <f t="shared" si="9"/>
        <v>8498.4458106116981</v>
      </c>
      <c r="P10" s="11">
        <f t="shared" si="7"/>
        <v>16337441.363026548</v>
      </c>
      <c r="Q10" s="11">
        <f t="shared" si="10"/>
        <v>816872.06815132743</v>
      </c>
      <c r="R10" s="11">
        <f t="shared" si="11"/>
        <v>17154313.431177877</v>
      </c>
    </row>
    <row r="11" spans="1:18" x14ac:dyDescent="0.25">
      <c r="A11">
        <v>5</v>
      </c>
      <c r="B11" s="13">
        <f>Parameters!$C$7</f>
        <v>3500</v>
      </c>
      <c r="C11" s="13">
        <f>Parameters!$C$8</f>
        <v>100000</v>
      </c>
      <c r="D11" s="13">
        <f>IF(A11=20,Parameters!$C$9,0)</f>
        <v>0</v>
      </c>
      <c r="E11">
        <f t="shared" si="0"/>
        <v>0.9948964469237489</v>
      </c>
      <c r="F11">
        <f>IF($B$2="M",VLOOKUP($B$1+A10,'Mortality rates'!$B$6:$G$101,2,0),VLOOKUP($B$1+A10,'Mortality rates'!$B$6:$G$101,3,0))</f>
        <v>1.0789999999999999E-3</v>
      </c>
      <c r="G11" s="11">
        <f t="shared" si="1"/>
        <v>107.46528166198578</v>
      </c>
      <c r="H11" s="11">
        <f t="shared" si="2"/>
        <v>1651.6383637887684</v>
      </c>
      <c r="I11" s="11">
        <f t="shared" si="3"/>
        <v>0</v>
      </c>
      <c r="J11" s="11">
        <f t="shared" si="4"/>
        <v>51914.058046394282</v>
      </c>
      <c r="K11" s="11">
        <f t="shared" si="5"/>
        <v>3485.8988490912907</v>
      </c>
      <c r="L11" s="11">
        <f t="shared" si="6"/>
        <v>41888.586343106923</v>
      </c>
      <c r="M11" s="11">
        <f>M10*(1+Parameters!$C$12)</f>
        <v>562.75440500000002</v>
      </c>
      <c r="N11" s="5">
        <f t="shared" si="8"/>
        <v>560.48712363158688</v>
      </c>
      <c r="O11" s="11">
        <f t="shared" si="9"/>
        <v>8271.8606141877881</v>
      </c>
      <c r="P11" s="11">
        <f t="shared" si="7"/>
        <v>19948970.68126392</v>
      </c>
      <c r="Q11" s="11">
        <f t="shared" si="10"/>
        <v>997448.53406319604</v>
      </c>
      <c r="R11" s="11">
        <f t="shared" si="11"/>
        <v>20946419.215327118</v>
      </c>
    </row>
    <row r="12" spans="1:18" x14ac:dyDescent="0.25">
      <c r="A12">
        <v>6</v>
      </c>
      <c r="B12" s="13">
        <f>Parameters!$C$7</f>
        <v>3500</v>
      </c>
      <c r="C12" s="13">
        <f>Parameters!$C$8</f>
        <v>100000</v>
      </c>
      <c r="D12" s="13">
        <f>IF(A12=20,Parameters!$C$9,0)</f>
        <v>0</v>
      </c>
      <c r="E12">
        <f t="shared" si="0"/>
        <v>0.99379211186766359</v>
      </c>
      <c r="F12">
        <f>IF($B$2="M",VLOOKUP($B$1+A11,'Mortality rates'!$B$6:$G$101,2,0),VLOOKUP($B$1+A11,'Mortality rates'!$B$6:$G$101,3,0))</f>
        <v>1.1099999999999999E-3</v>
      </c>
      <c r="G12" s="11">
        <f t="shared" si="1"/>
        <v>110.43350560853611</v>
      </c>
      <c r="H12" s="11">
        <f t="shared" si="2"/>
        <v>1610.2386166783335</v>
      </c>
      <c r="I12" s="11">
        <f t="shared" si="3"/>
        <v>0</v>
      </c>
      <c r="J12" s="11">
        <f t="shared" si="4"/>
        <v>53990.620368250056</v>
      </c>
      <c r="K12" s="11">
        <f t="shared" si="5"/>
        <v>3482.1375642331213</v>
      </c>
      <c r="L12" s="11">
        <f t="shared" si="6"/>
        <v>39938.794993776261</v>
      </c>
      <c r="M12" s="11">
        <f>M11*(1+Parameters!$C$12)</f>
        <v>579.63703715000008</v>
      </c>
      <c r="N12" s="5">
        <f t="shared" si="8"/>
        <v>576.6788287659441</v>
      </c>
      <c r="O12" s="11">
        <f t="shared" si="9"/>
        <v>8019.8284301784497</v>
      </c>
      <c r="P12" s="11">
        <f t="shared" si="7"/>
        <v>23681892.421330579</v>
      </c>
      <c r="Q12" s="11">
        <f t="shared" si="10"/>
        <v>1184094.6210665291</v>
      </c>
      <c r="R12" s="11">
        <f t="shared" si="11"/>
        <v>24865987.042397108</v>
      </c>
    </row>
    <row r="13" spans="1:18" x14ac:dyDescent="0.25">
      <c r="A13">
        <v>7</v>
      </c>
      <c r="B13" s="13">
        <f>Parameters!$C$7</f>
        <v>3500</v>
      </c>
      <c r="C13" s="13">
        <f>Parameters!$C$8</f>
        <v>100000</v>
      </c>
      <c r="D13" s="13">
        <f>IF(A13=20,Parameters!$C$9,0)</f>
        <v>0</v>
      </c>
      <c r="E13">
        <f t="shared" si="0"/>
        <v>0.99265819506802266</v>
      </c>
      <c r="F13">
        <f>IF($B$2="M",VLOOKUP($B$1+A12,'Mortality rates'!$B$6:$G$101,2,0),VLOOKUP($B$1+A12,'Mortality rates'!$B$6:$G$101,3,0))</f>
        <v>1.1409999999999999E-3</v>
      </c>
      <c r="G13" s="11">
        <f t="shared" si="1"/>
        <v>113.39167996410039</v>
      </c>
      <c r="H13" s="11">
        <f t="shared" si="2"/>
        <v>1564.2146557369308</v>
      </c>
      <c r="I13" s="11">
        <f t="shared" si="3"/>
        <v>0</v>
      </c>
      <c r="J13" s="11">
        <f t="shared" si="4"/>
        <v>56150.245182980063</v>
      </c>
      <c r="K13" s="11">
        <f t="shared" si="5"/>
        <v>3478.2723915368224</v>
      </c>
      <c r="L13" s="11">
        <f t="shared" si="6"/>
        <v>37914.923726724868</v>
      </c>
      <c r="M13" s="11">
        <f>M12*(1+Parameters!$C$12)</f>
        <v>597.02614826450008</v>
      </c>
      <c r="N13" s="5">
        <f t="shared" si="8"/>
        <v>593.31987672399441</v>
      </c>
      <c r="O13" s="11">
        <f t="shared" si="9"/>
        <v>7740.8755854690062</v>
      </c>
      <c r="P13" s="11">
        <f t="shared" si="7"/>
        <v>27540411.697461139</v>
      </c>
      <c r="Q13" s="11">
        <f t="shared" si="10"/>
        <v>1377020.584873057</v>
      </c>
      <c r="R13" s="11">
        <f t="shared" si="11"/>
        <v>28917432.282334197</v>
      </c>
    </row>
    <row r="14" spans="1:18" x14ac:dyDescent="0.25">
      <c r="A14">
        <v>8</v>
      </c>
      <c r="B14" s="13">
        <f>Parameters!$C$7</f>
        <v>3500</v>
      </c>
      <c r="C14" s="13">
        <f>Parameters!$C$8</f>
        <v>100000</v>
      </c>
      <c r="D14" s="13">
        <f>IF(A14=20,Parameters!$C$9,0)</f>
        <v>0</v>
      </c>
      <c r="E14">
        <f t="shared" si="0"/>
        <v>0.99149281434701275</v>
      </c>
      <c r="F14">
        <f>IF($B$2="M",VLOOKUP($B$1+A13,'Mortality rates'!$B$6:$G$101,2,0),VLOOKUP($B$1+A13,'Mortality rates'!$B$6:$G$101,3,0))</f>
        <v>1.1739999999999999E-3</v>
      </c>
      <c r="G14" s="11">
        <f t="shared" si="1"/>
        <v>116.53807210098586</v>
      </c>
      <c r="H14" s="11">
        <f t="shared" si="2"/>
        <v>1513.3915620023076</v>
      </c>
      <c r="I14" s="11">
        <f t="shared" si="3"/>
        <v>0</v>
      </c>
      <c r="J14" s="11">
        <f t="shared" si="4"/>
        <v>58396.254990299269</v>
      </c>
      <c r="K14" s="11">
        <f t="shared" si="5"/>
        <v>3474.3036827380793</v>
      </c>
      <c r="L14" s="11">
        <f t="shared" si="6"/>
        <v>35814.117388595572</v>
      </c>
      <c r="M14" s="11">
        <f>M13*(1+Parameters!$C$12)</f>
        <v>614.93693271243512</v>
      </c>
      <c r="N14" s="5">
        <f t="shared" si="8"/>
        <v>610.42218570699197</v>
      </c>
      <c r="O14" s="11">
        <f t="shared" si="9"/>
        <v>7433.4579370948122</v>
      </c>
      <c r="P14" s="11">
        <f t="shared" si="7"/>
        <v>31528987.100800812</v>
      </c>
      <c r="Q14" s="11">
        <f t="shared" si="10"/>
        <v>1576449.3550400408</v>
      </c>
      <c r="R14" s="11">
        <f t="shared" si="11"/>
        <v>33105436.455840852</v>
      </c>
    </row>
    <row r="15" spans="1:18" x14ac:dyDescent="0.25">
      <c r="A15">
        <v>9</v>
      </c>
      <c r="B15" s="13">
        <f>Parameters!$C$7</f>
        <v>3500</v>
      </c>
      <c r="C15" s="13">
        <f>Parameters!$C$8</f>
        <v>100000</v>
      </c>
      <c r="D15" s="13">
        <f>IF(A15=20,Parameters!$C$9,0)</f>
        <v>0</v>
      </c>
      <c r="E15">
        <f t="shared" si="0"/>
        <v>0.99029608252009593</v>
      </c>
      <c r="F15">
        <f>IF($B$2="M",VLOOKUP($B$1+A14,'Mortality rates'!$B$6:$G$101,2,0),VLOOKUP($B$1+A14,'Mortality rates'!$B$6:$G$101,3,0))</f>
        <v>1.207E-3</v>
      </c>
      <c r="G15" s="11">
        <f t="shared" si="1"/>
        <v>119.67318269168443</v>
      </c>
      <c r="H15" s="11">
        <f t="shared" si="2"/>
        <v>1457.3891523814141</v>
      </c>
      <c r="I15" s="11">
        <f t="shared" si="3"/>
        <v>0</v>
      </c>
      <c r="J15" s="11">
        <f t="shared" si="4"/>
        <v>60732.105189911243</v>
      </c>
      <c r="K15" s="11">
        <f t="shared" si="5"/>
        <v>3470.2248502145449</v>
      </c>
      <c r="L15" s="11">
        <f t="shared" si="6"/>
        <v>33633.406254091795</v>
      </c>
      <c r="M15" s="11">
        <f>M14*(1+Parameters!$C$12)</f>
        <v>633.38504069380815</v>
      </c>
      <c r="N15" s="5">
        <f t="shared" si="8"/>
        <v>627.996716562801</v>
      </c>
      <c r="O15" s="11">
        <f t="shared" si="9"/>
        <v>7095.957181443333</v>
      </c>
      <c r="P15" s="11">
        <f t="shared" si="7"/>
        <v>35652045.269644193</v>
      </c>
      <c r="Q15" s="11">
        <f t="shared" si="10"/>
        <v>1782602.2634822098</v>
      </c>
      <c r="R15" s="11">
        <f t="shared" si="11"/>
        <v>37434647.533126406</v>
      </c>
    </row>
    <row r="16" spans="1:18" x14ac:dyDescent="0.25">
      <c r="A16">
        <v>10</v>
      </c>
      <c r="B16" s="13">
        <f>Parameters!$C$7</f>
        <v>3500</v>
      </c>
      <c r="C16" s="13">
        <f>Parameters!$C$8</f>
        <v>100000</v>
      </c>
      <c r="D16" s="13">
        <f>IF(A16=20,Parameters!$C$9,0)</f>
        <v>0</v>
      </c>
      <c r="E16">
        <f t="shared" si="0"/>
        <v>0.9890542512326157</v>
      </c>
      <c r="F16">
        <f>IF($B$2="M",VLOOKUP($B$1+A15,'Mortality rates'!$B$6:$G$101,2,0),VLOOKUP($B$1+A15,'Mortality rates'!$B$6:$G$101,3,0))</f>
        <v>1.2539999999999999E-3</v>
      </c>
      <c r="G16" s="11">
        <f t="shared" si="1"/>
        <v>124.18312874802002</v>
      </c>
      <c r="H16" s="11">
        <f t="shared" si="2"/>
        <v>1396.0115357849863</v>
      </c>
      <c r="I16" s="11">
        <f t="shared" si="3"/>
        <v>0</v>
      </c>
      <c r="J16" s="11">
        <f t="shared" si="4"/>
        <v>63161.389397507694</v>
      </c>
      <c r="K16" s="11">
        <f t="shared" si="5"/>
        <v>3466.0362888203358</v>
      </c>
      <c r="L16" s="11">
        <f t="shared" si="6"/>
        <v>31369.708660032342</v>
      </c>
      <c r="M16" s="11">
        <f>M15*(1+Parameters!$C$12)</f>
        <v>652.38659191462239</v>
      </c>
      <c r="N16" s="5">
        <f t="shared" si="8"/>
        <v>646.05588626168708</v>
      </c>
      <c r="O16" s="11">
        <f t="shared" si="9"/>
        <v>6726.6788834757535</v>
      </c>
      <c r="P16" s="11">
        <f t="shared" si="7"/>
        <v>39914371.156736106</v>
      </c>
      <c r="Q16" s="11">
        <f t="shared" si="10"/>
        <v>1995718.5578368055</v>
      </c>
      <c r="R16" s="11">
        <f t="shared" si="11"/>
        <v>41910089.714572914</v>
      </c>
    </row>
    <row r="17" spans="1:18" x14ac:dyDescent="0.25">
      <c r="A17">
        <v>11</v>
      </c>
      <c r="B17" s="13">
        <f>Parameters!$C$7</f>
        <v>3500</v>
      </c>
      <c r="C17" s="13">
        <f>Parameters!$C$8</f>
        <v>100000</v>
      </c>
      <c r="D17" s="13">
        <f>IF(A17=20,Parameters!$C$9,0)</f>
        <v>0</v>
      </c>
      <c r="E17">
        <f t="shared" si="0"/>
        <v>0.98777441503152064</v>
      </c>
      <c r="F17">
        <f>IF($B$2="M",VLOOKUP($B$1+A16,'Mortality rates'!$B$6:$G$101,2,0),VLOOKUP($B$1+A16,'Mortality rates'!$B$6:$G$101,3,0))</f>
        <v>1.294E-3</v>
      </c>
      <c r="G17" s="11">
        <f t="shared" si="1"/>
        <v>127.98362010950048</v>
      </c>
      <c r="H17" s="11">
        <f t="shared" si="2"/>
        <v>1327.6688684683659</v>
      </c>
      <c r="I17" s="11">
        <f t="shared" si="3"/>
        <v>0</v>
      </c>
      <c r="J17" s="11">
        <f t="shared" si="4"/>
        <v>65687.844973408006</v>
      </c>
      <c r="K17" s="11">
        <f t="shared" si="5"/>
        <v>3461.689879314155</v>
      </c>
      <c r="L17" s="11">
        <f t="shared" si="6"/>
        <v>29019.819266060487</v>
      </c>
      <c r="M17" s="11">
        <f>M16*(1+Parameters!$C$12)</f>
        <v>671.95818967206105</v>
      </c>
      <c r="N17" s="5">
        <f t="shared" si="8"/>
        <v>664.60310414572427</v>
      </c>
      <c r="O17" s="11">
        <f t="shared" si="9"/>
        <v>6323.8479171026293</v>
      </c>
      <c r="P17" s="11">
        <f t="shared" si="7"/>
        <v>44319542.492918514</v>
      </c>
      <c r="Q17" s="11">
        <f t="shared" si="10"/>
        <v>2215977.1246459256</v>
      </c>
      <c r="R17" s="11">
        <f t="shared" si="11"/>
        <v>46535519.61756444</v>
      </c>
    </row>
    <row r="18" spans="1:18" x14ac:dyDescent="0.25">
      <c r="A18">
        <v>12</v>
      </c>
      <c r="B18" s="13">
        <f>Parameters!$C$7</f>
        <v>3500</v>
      </c>
      <c r="C18" s="13">
        <f>Parameters!$C$8</f>
        <v>100000</v>
      </c>
      <c r="D18" s="13">
        <f>IF(A18=20,Parameters!$C$9,0)</f>
        <v>0</v>
      </c>
      <c r="E18">
        <f t="shared" si="0"/>
        <v>0.98644585844330324</v>
      </c>
      <c r="F18">
        <f>IF($B$2="M",VLOOKUP($B$1+A17,'Mortality rates'!$B$6:$G$101,2,0),VLOOKUP($B$1+A17,'Mortality rates'!$B$6:$G$101,3,0))</f>
        <v>1.3450000000000001E-3</v>
      </c>
      <c r="G18" s="11">
        <f t="shared" si="1"/>
        <v>132.85565882173952</v>
      </c>
      <c r="H18" s="11">
        <f t="shared" si="2"/>
        <v>1252.7920030976002</v>
      </c>
      <c r="I18" s="11">
        <f t="shared" si="3"/>
        <v>0</v>
      </c>
      <c r="J18" s="11">
        <f t="shared" si="4"/>
        <v>68315.358772344334</v>
      </c>
      <c r="K18" s="11">
        <f t="shared" si="5"/>
        <v>3457.2104526103221</v>
      </c>
      <c r="L18" s="11">
        <f t="shared" si="6"/>
        <v>26580.454562216186</v>
      </c>
      <c r="M18" s="11">
        <f>M17*(1+Parameters!$C$12)</f>
        <v>692.11693536222288</v>
      </c>
      <c r="N18" s="5">
        <f t="shared" si="8"/>
        <v>683.6554009608285</v>
      </c>
      <c r="O18" s="11">
        <f t="shared" si="9"/>
        <v>5885.6146054751807</v>
      </c>
      <c r="P18" s="11">
        <f t="shared" si="7"/>
        <v>48873310.818700932</v>
      </c>
      <c r="Q18" s="11">
        <f t="shared" si="10"/>
        <v>2443665.5409350465</v>
      </c>
      <c r="R18" s="11">
        <f t="shared" si="11"/>
        <v>51316976.359635979</v>
      </c>
    </row>
    <row r="19" spans="1:18" x14ac:dyDescent="0.25">
      <c r="A19">
        <v>13</v>
      </c>
      <c r="B19" s="13">
        <f>Parameters!$C$7</f>
        <v>3500</v>
      </c>
      <c r="C19" s="13">
        <f>Parameters!$C$8</f>
        <v>100000</v>
      </c>
      <c r="D19" s="13">
        <f>IF(A19=20,Parameters!$C$9,0)</f>
        <v>0</v>
      </c>
      <c r="E19">
        <f t="shared" si="0"/>
        <v>0.98505595622875664</v>
      </c>
      <c r="F19">
        <f>IF($B$2="M",VLOOKUP($B$1+A18,'Mortality rates'!$B$6:$G$101,2,0),VLOOKUP($B$1+A18,'Mortality rates'!$B$6:$G$101,3,0))</f>
        <v>1.4089999999999999E-3</v>
      </c>
      <c r="G19" s="11">
        <f t="shared" si="1"/>
        <v>138.99022145466139</v>
      </c>
      <c r="H19" s="11">
        <f t="shared" si="2"/>
        <v>1170.0480243997647</v>
      </c>
      <c r="I19" s="11">
        <f t="shared" si="3"/>
        <v>0</v>
      </c>
      <c r="J19" s="11">
        <f t="shared" si="4"/>
        <v>71047.973123238116</v>
      </c>
      <c r="K19" s="11">
        <f t="shared" si="5"/>
        <v>3452.5605045515613</v>
      </c>
      <c r="L19" s="11">
        <f t="shared" si="6"/>
        <v>24048.173873990101</v>
      </c>
      <c r="M19" s="11">
        <f>M18*(1+Parameters!$C$12)</f>
        <v>712.88044342308956</v>
      </c>
      <c r="N19" s="5">
        <f t="shared" si="8"/>
        <v>703.21796097993229</v>
      </c>
      <c r="O19" s="11">
        <f t="shared" si="9"/>
        <v>5410.0375726949269</v>
      </c>
      <c r="P19" s="11">
        <f t="shared" si="7"/>
        <v>53579884.846342698</v>
      </c>
      <c r="Q19" s="11">
        <f t="shared" si="10"/>
        <v>2678994.242317135</v>
      </c>
      <c r="R19" s="11">
        <f t="shared" si="11"/>
        <v>56258879.08865983</v>
      </c>
    </row>
    <row r="20" spans="1:18" x14ac:dyDescent="0.25">
      <c r="A20">
        <v>14</v>
      </c>
      <c r="B20" s="13">
        <f>Parameters!$C$7</f>
        <v>3500</v>
      </c>
      <c r="C20" s="13">
        <f>Parameters!$C$8</f>
        <v>100000</v>
      </c>
      <c r="D20" s="13">
        <f>IF(A20=20,Parameters!$C$9,0)</f>
        <v>0</v>
      </c>
      <c r="E20">
        <f t="shared" si="0"/>
        <v>0.98359117802184448</v>
      </c>
      <c r="F20">
        <f>IF($B$2="M",VLOOKUP($B$1+A19,'Mortality rates'!$B$6:$G$101,2,0),VLOOKUP($B$1+A19,'Mortality rates'!$B$6:$G$101,3,0))</f>
        <v>1.487E-3</v>
      </c>
      <c r="G20" s="11">
        <f t="shared" si="1"/>
        <v>146.47782069121612</v>
      </c>
      <c r="H20" s="11">
        <f t="shared" si="2"/>
        <v>1077.859723921094</v>
      </c>
      <c r="I20" s="11">
        <f t="shared" si="3"/>
        <v>0</v>
      </c>
      <c r="J20" s="11">
        <f t="shared" si="4"/>
        <v>73889.892048167647</v>
      </c>
      <c r="K20" s="11">
        <f t="shared" si="5"/>
        <v>3447.6958468006483</v>
      </c>
      <c r="L20" s="11">
        <f t="shared" si="6"/>
        <v>21419.43790421608</v>
      </c>
      <c r="M20" s="11">
        <f>M19*(1+Parameters!$C$12)</f>
        <v>734.2668567257823</v>
      </c>
      <c r="N20" s="5">
        <f t="shared" si="8"/>
        <v>723.29394067909891</v>
      </c>
      <c r="O20" s="11">
        <f t="shared" si="9"/>
        <v>4895.0923961835942</v>
      </c>
      <c r="P20" s="11">
        <f t="shared" si="7"/>
        <v>58443406.264056258</v>
      </c>
      <c r="Q20" s="11">
        <f t="shared" si="10"/>
        <v>2922170.3132028133</v>
      </c>
      <c r="R20" s="11">
        <f t="shared" si="11"/>
        <v>61365576.577259071</v>
      </c>
    </row>
    <row r="21" spans="1:18" x14ac:dyDescent="0.25">
      <c r="A21">
        <v>15</v>
      </c>
      <c r="B21" s="13">
        <f>Parameters!$C$7</f>
        <v>3500</v>
      </c>
      <c r="C21" s="13">
        <f>Parameters!$C$8</f>
        <v>100000</v>
      </c>
      <c r="D21" s="13">
        <f>IF(A21=20,Parameters!$C$9,0)</f>
        <v>0</v>
      </c>
      <c r="E21">
        <f t="shared" si="0"/>
        <v>0.98203808755174804</v>
      </c>
      <c r="F21">
        <f>IF($B$2="M",VLOOKUP($B$1+A20,'Mortality rates'!$B$6:$G$101,2,0),VLOOKUP($B$1+A20,'Mortality rates'!$B$6:$G$101,3,0))</f>
        <v>1.5789999999999999E-3</v>
      </c>
      <c r="G21" s="11">
        <f t="shared" si="1"/>
        <v>155.30904700964922</v>
      </c>
      <c r="H21" s="11">
        <f t="shared" si="2"/>
        <v>974.49629218672169</v>
      </c>
      <c r="I21" s="11">
        <f t="shared" si="3"/>
        <v>0</v>
      </c>
      <c r="J21" s="11">
        <f t="shared" si="4"/>
        <v>76845.487730094348</v>
      </c>
      <c r="K21" s="11">
        <f t="shared" si="5"/>
        <v>3442.5691230764555</v>
      </c>
      <c r="L21" s="11">
        <f t="shared" si="6"/>
        <v>18690.611739712051</v>
      </c>
      <c r="M21" s="11">
        <f>M20*(1+Parameters!$C$12)</f>
        <v>756.29486242755581</v>
      </c>
      <c r="N21" s="5">
        <f t="shared" si="8"/>
        <v>743.88495466698839</v>
      </c>
      <c r="O21" s="11">
        <f t="shared" si="9"/>
        <v>4338.6703937246748</v>
      </c>
      <c r="P21" s="11">
        <f t="shared" si="7"/>
        <v>63468042.676293701</v>
      </c>
      <c r="Q21" s="11">
        <f t="shared" si="10"/>
        <v>3173402.133814685</v>
      </c>
      <c r="R21" s="11">
        <f t="shared" si="11"/>
        <v>66641444.810108386</v>
      </c>
    </row>
    <row r="22" spans="1:18" x14ac:dyDescent="0.25">
      <c r="A22">
        <v>16</v>
      </c>
      <c r="B22" s="13">
        <f>Parameters!$C$7</f>
        <v>3500</v>
      </c>
      <c r="C22" s="13">
        <f>Parameters!$C$8</f>
        <v>100000</v>
      </c>
      <c r="D22" s="13">
        <f>IF(A22=20,Parameters!$C$9,0)</f>
        <v>0</v>
      </c>
      <c r="E22">
        <f t="shared" si="0"/>
        <v>0.98038040725996067</v>
      </c>
      <c r="F22">
        <f>IF($B$2="M",VLOOKUP($B$1+A21,'Mortality rates'!$B$6:$G$101,2,0),VLOOKUP($B$1+A21,'Mortality rates'!$B$6:$G$101,3,0))</f>
        <v>1.688E-3</v>
      </c>
      <c r="G22" s="11">
        <f t="shared" si="1"/>
        <v>165.76802917873508</v>
      </c>
      <c r="H22" s="11">
        <f t="shared" si="2"/>
        <v>858.16709686454135</v>
      </c>
      <c r="I22" s="11">
        <f t="shared" si="3"/>
        <v>0</v>
      </c>
      <c r="J22" s="11">
        <f t="shared" si="4"/>
        <v>79919.307239298127</v>
      </c>
      <c r="K22" s="11">
        <f t="shared" si="5"/>
        <v>3437.1333064311179</v>
      </c>
      <c r="L22" s="11">
        <f t="shared" si="6"/>
        <v>15857.964321301019</v>
      </c>
      <c r="M22" s="11">
        <f>M21*(1+Parameters!$C$12)</f>
        <v>778.98370830038255</v>
      </c>
      <c r="N22" s="5">
        <f t="shared" si="8"/>
        <v>764.99167113327644</v>
      </c>
      <c r="O22" s="11">
        <f t="shared" si="9"/>
        <v>3738.576856619994</v>
      </c>
      <c r="P22" s="11">
        <f t="shared" si="7"/>
        <v>68658086.871481657</v>
      </c>
      <c r="Q22" s="11">
        <f t="shared" si="10"/>
        <v>3432904.3435740829</v>
      </c>
      <c r="R22" s="11">
        <f t="shared" si="11"/>
        <v>72090991.215055734</v>
      </c>
    </row>
    <row r="23" spans="1:18" x14ac:dyDescent="0.25">
      <c r="A23">
        <v>17</v>
      </c>
      <c r="B23" s="13">
        <f>Parameters!$C$7</f>
        <v>3500</v>
      </c>
      <c r="C23" s="13">
        <f>Parameters!$C$8</f>
        <v>100000</v>
      </c>
      <c r="D23" s="13">
        <f>IF(A23=20,Parameters!$C$9,0)</f>
        <v>0</v>
      </c>
      <c r="E23">
        <f t="shared" si="0"/>
        <v>0.97860199720119112</v>
      </c>
      <c r="F23">
        <f>IF($B$2="M",VLOOKUP($B$1+A22,'Mortality rates'!$B$6:$G$101,2,0),VLOOKUP($B$1+A22,'Mortality rates'!$B$6:$G$101,3,0))</f>
        <v>1.8140000000000001E-3</v>
      </c>
      <c r="G23" s="11">
        <f t="shared" si="1"/>
        <v>177.84100587695687</v>
      </c>
      <c r="H23" s="11">
        <f t="shared" si="2"/>
        <v>726.72575156038795</v>
      </c>
      <c r="I23" s="11">
        <f t="shared" si="3"/>
        <v>0</v>
      </c>
      <c r="J23" s="11">
        <f t="shared" si="4"/>
        <v>83116.079528870061</v>
      </c>
      <c r="K23" s="11">
        <f t="shared" si="5"/>
        <v>3431.3314254098623</v>
      </c>
      <c r="L23" s="11">
        <f t="shared" si="6"/>
        <v>12917.664255464697</v>
      </c>
      <c r="M23" s="11">
        <f>M22*(1+Parameters!$C$12)</f>
        <v>802.353219549394</v>
      </c>
      <c r="N23" s="5">
        <f t="shared" si="8"/>
        <v>786.61137614817551</v>
      </c>
      <c r="O23" s="11">
        <f t="shared" si="9"/>
        <v>3092.5285929061861</v>
      </c>
      <c r="P23" s="11">
        <f t="shared" si="7"/>
        <v>74017669.617871925</v>
      </c>
      <c r="Q23" s="11">
        <f t="shared" si="10"/>
        <v>3700883.4808935965</v>
      </c>
      <c r="R23" s="11">
        <f t="shared" si="11"/>
        <v>77718553.098765522</v>
      </c>
    </row>
    <row r="24" spans="1:18" x14ac:dyDescent="0.25">
      <c r="A24">
        <v>18</v>
      </c>
      <c r="B24" s="13">
        <f>Parameters!$C$7</f>
        <v>3500</v>
      </c>
      <c r="C24" s="13">
        <f>Parameters!$C$8</f>
        <v>100000</v>
      </c>
      <c r="D24" s="13">
        <f>IF(A24=20,Parameters!$C$9,0)</f>
        <v>0</v>
      </c>
      <c r="E24">
        <f t="shared" si="0"/>
        <v>0.97668295868467958</v>
      </c>
      <c r="F24">
        <f>IF($B$2="M",VLOOKUP($B$1+A23,'Mortality rates'!$B$6:$G$101,2,0),VLOOKUP($B$1+A23,'Mortality rates'!$B$6:$G$101,3,0))</f>
        <v>1.9610000000000001E-3</v>
      </c>
      <c r="G24" s="11">
        <f t="shared" si="1"/>
        <v>191.90385165115356</v>
      </c>
      <c r="H24" s="11">
        <f t="shared" si="2"/>
        <v>577.95377574584666</v>
      </c>
      <c r="I24" s="11">
        <f t="shared" si="3"/>
        <v>0</v>
      </c>
      <c r="J24" s="11">
        <f t="shared" si="4"/>
        <v>86440.722710024871</v>
      </c>
      <c r="K24" s="11">
        <f t="shared" si="5"/>
        <v>3425.1069902041691</v>
      </c>
      <c r="L24" s="11">
        <f t="shared" si="6"/>
        <v>9865.786143257028</v>
      </c>
      <c r="M24" s="11">
        <f>M23*(1+Parameters!$C$12)</f>
        <v>826.42381613587588</v>
      </c>
      <c r="N24" s="5">
        <f t="shared" si="8"/>
        <v>808.73999700519812</v>
      </c>
      <c r="O24" s="11">
        <f t="shared" si="9"/>
        <v>2398.1539054283307</v>
      </c>
      <c r="P24" s="11">
        <f t="shared" si="7"/>
        <v>79551044.247942016</v>
      </c>
      <c r="Q24" s="11">
        <f t="shared" si="10"/>
        <v>3977552.2123971009</v>
      </c>
      <c r="R24" s="11">
        <f t="shared" si="11"/>
        <v>83528596.460339114</v>
      </c>
    </row>
    <row r="25" spans="1:18" x14ac:dyDescent="0.25">
      <c r="A25">
        <v>19</v>
      </c>
      <c r="B25" s="13">
        <f>Parameters!$C$7</f>
        <v>3500</v>
      </c>
      <c r="C25" s="13">
        <f>Parameters!$C$8</f>
        <v>100000</v>
      </c>
      <c r="D25" s="13">
        <f>IF(A25=20,Parameters!$C$9,0)</f>
        <v>0</v>
      </c>
      <c r="E25">
        <f t="shared" si="0"/>
        <v>0.97460360066563989</v>
      </c>
      <c r="F25">
        <f>IF($B$2="M",VLOOKUP($B$1+A24,'Mortality rates'!$B$6:$G$101,2,0),VLOOKUP($B$1+A24,'Mortality rates'!$B$6:$G$101,3,0))</f>
        <v>2.1289999999999998E-3</v>
      </c>
      <c r="G25" s="11">
        <f t="shared" si="1"/>
        <v>207.93580190396827</v>
      </c>
      <c r="H25" s="11">
        <f>(G25+H26)/(1+$H$3)</f>
        <v>409.16807512452709</v>
      </c>
      <c r="I25" s="11">
        <f t="shared" si="3"/>
        <v>0</v>
      </c>
      <c r="J25" s="11">
        <f t="shared" si="4"/>
        <v>89898.351618425862</v>
      </c>
      <c r="K25" s="11">
        <f t="shared" si="5"/>
        <v>3418.3903553963787</v>
      </c>
      <c r="L25" s="11">
        <f>K25+L26/(1+$H$3)</f>
        <v>6698.3063191749743</v>
      </c>
      <c r="M25" s="11">
        <f>M24*(1+Parameters!$C$12)</f>
        <v>851.21653061995221</v>
      </c>
      <c r="N25" s="5">
        <f t="shared" si="8"/>
        <v>831.36867960720303</v>
      </c>
      <c r="O25" s="11">
        <f t="shared" si="9"/>
        <v>1652.9904647600579</v>
      </c>
      <c r="P25" s="11">
        <f t="shared" si="7"/>
        <v>85262203.839135483</v>
      </c>
      <c r="Q25" s="11">
        <f t="shared" si="10"/>
        <v>4263110.1919567743</v>
      </c>
      <c r="R25" s="11">
        <f t="shared" si="11"/>
        <v>89525314.031092256</v>
      </c>
    </row>
    <row r="26" spans="1:18" x14ac:dyDescent="0.25">
      <c r="A26">
        <v>20</v>
      </c>
      <c r="B26" s="13">
        <f>Parameters!$C$7</f>
        <v>3500</v>
      </c>
      <c r="C26" s="13">
        <f>Parameters!$C$8</f>
        <v>100000</v>
      </c>
      <c r="D26" s="13">
        <f>IF(A26=20,Parameters!$C$9,0)</f>
        <v>100000</v>
      </c>
      <c r="E26">
        <f t="shared" si="0"/>
        <v>0.97234057110489425</v>
      </c>
      <c r="F26">
        <f>IF($B$2="M",VLOOKUP($B$1+A25,'Mortality rates'!$B$6:$G$101,2,0),VLOOKUP($B$1+A25,'Mortality rates'!$B$6:$G$101,3,0))</f>
        <v>2.3219999999999998E-3</v>
      </c>
      <c r="G26" s="11">
        <f t="shared" si="1"/>
        <v>226.30295607456156</v>
      </c>
      <c r="H26" s="11">
        <f>(G26+H27)/(1+$H$3)</f>
        <v>217.59899622553996</v>
      </c>
      <c r="I26" s="11">
        <f t="shared" si="3"/>
        <v>97234.057110489419</v>
      </c>
      <c r="J26" s="11">
        <f t="shared" ref="J26" si="12">I26/(1+$H$3)</f>
        <v>93494.285683162903</v>
      </c>
      <c r="K26" s="11">
        <f t="shared" si="5"/>
        <v>3411.1126023297397</v>
      </c>
      <c r="L26" s="11">
        <f>K26+L27/(1+$H$3)</f>
        <v>3411.1126023297397</v>
      </c>
      <c r="M26" s="11">
        <f>M25*(1+Parameters!$C$12)</f>
        <v>876.75302653855078</v>
      </c>
      <c r="N26" s="5">
        <f t="shared" si="8"/>
        <v>854.48665655896889</v>
      </c>
      <c r="O26" s="11">
        <f t="shared" si="9"/>
        <v>854.48665655896889</v>
      </c>
      <c r="P26" s="11">
        <f t="shared" si="7"/>
        <v>91155258.733617663</v>
      </c>
      <c r="Q26" s="11">
        <f t="shared" si="10"/>
        <v>4557762.9366808832</v>
      </c>
      <c r="R26" s="11">
        <f t="shared" si="11"/>
        <v>95713021.670298547</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4.28515625" bestFit="1" customWidth="1"/>
  </cols>
  <sheetData>
    <row r="1" spans="1:16" x14ac:dyDescent="0.25">
      <c r="A1" s="1" t="s">
        <v>9</v>
      </c>
      <c r="B1" s="10">
        <v>30</v>
      </c>
      <c r="L1" s="19"/>
    </row>
    <row r="2" spans="1:16" x14ac:dyDescent="0.25">
      <c r="A2" s="1" t="s">
        <v>37</v>
      </c>
      <c r="B2" s="10" t="s">
        <v>38</v>
      </c>
    </row>
    <row r="3" spans="1:16" x14ac:dyDescent="0.25">
      <c r="A3" s="1" t="s">
        <v>40</v>
      </c>
      <c r="B3">
        <v>1000</v>
      </c>
      <c r="G3" s="1" t="s">
        <v>11</v>
      </c>
      <c r="H3" s="6">
        <f>Assumptions!C7</f>
        <v>0.04</v>
      </c>
      <c r="L3" s="1" t="s">
        <v>53</v>
      </c>
      <c r="M3" s="6">
        <v>0.7</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f t="shared" ref="E7:E26" si="0">E6*(1-F7)</f>
        <v>0.99892860000000006</v>
      </c>
      <c r="F7">
        <f>IF($B$2="M",VLOOKUP($B$1+A6,'Mortality rates'!$B$6:$G$101,5,0),VLOOKUP($B$1+A6,'Mortality rates'!$B$6:$G$101,5,0))</f>
        <v>1.0713999999999999E-3</v>
      </c>
      <c r="G7" s="11">
        <f t="shared" ref="G7:G26" si="1">C7*F7*E6</f>
        <v>107.13999999999999</v>
      </c>
      <c r="H7" s="11">
        <f t="shared" ref="H7:H24" si="2">(G7+H8)/(1+$H$3)</f>
        <v>1952.4813443934265</v>
      </c>
      <c r="I7" s="11">
        <f t="shared" ref="I7:I26" si="3">E7*D7</f>
        <v>0</v>
      </c>
      <c r="J7" s="11">
        <f t="shared" ref="J7:J25" si="4">J8/(1+$H$3)</f>
        <v>44251.953779511321</v>
      </c>
      <c r="K7" s="11">
        <f t="shared" ref="K7:K26" si="5">B7*E6</f>
        <v>3500</v>
      </c>
      <c r="L7" s="11">
        <f t="shared" ref="L7:L24" si="6">K7+L8/(1+$H$3)</f>
        <v>48953.964037246638</v>
      </c>
      <c r="M7" s="11">
        <f>Parameters!C17*$M$3</f>
        <v>385</v>
      </c>
      <c r="N7" s="5">
        <f>M7*E6</f>
        <v>385</v>
      </c>
      <c r="O7" s="11">
        <f>N7+(O8/(1+$H$3))</f>
        <v>7269.9268062650599</v>
      </c>
      <c r="P7" s="11">
        <f t="shared" ref="P7:P26" si="7">(H7+J7+O7-L7)*$B$3</f>
        <v>4520397.892923167</v>
      </c>
    </row>
    <row r="8" spans="1:16" x14ac:dyDescent="0.25">
      <c r="A8">
        <v>2</v>
      </c>
      <c r="B8" s="13">
        <f>Parameters!$C$7</f>
        <v>3500</v>
      </c>
      <c r="C8" s="13">
        <f>Parameters!$C$8</f>
        <v>100000</v>
      </c>
      <c r="D8" s="13">
        <f>IF(A8=20,Parameters!$C$9,0)</f>
        <v>0</v>
      </c>
      <c r="E8">
        <f t="shared" si="0"/>
        <v>0.99783856911168012</v>
      </c>
      <c r="F8">
        <f>IF($B$2="M",VLOOKUP($B$1+A7,'Mortality rates'!$B$6:$G$101,5,0),VLOOKUP($B$1+A7,'Mortality rates'!$B$6:$G$101,5,0))</f>
        <v>1.0911999999999999E-3</v>
      </c>
      <c r="G8" s="11">
        <f t="shared" si="1"/>
        <v>109.003088832</v>
      </c>
      <c r="H8" s="11">
        <f t="shared" si="2"/>
        <v>1923.4405981691636</v>
      </c>
      <c r="I8" s="11">
        <f t="shared" si="3"/>
        <v>0</v>
      </c>
      <c r="J8" s="11">
        <f t="shared" si="4"/>
        <v>46022.031930691774</v>
      </c>
      <c r="K8" s="11">
        <f t="shared" si="5"/>
        <v>3496.2501000000002</v>
      </c>
      <c r="L8" s="11">
        <f t="shared" si="6"/>
        <v>47272.122598736503</v>
      </c>
      <c r="M8" s="11">
        <f>M7*(1+Parameters!$C$13)</f>
        <v>398.47499999999997</v>
      </c>
      <c r="N8" s="5">
        <f t="shared" ref="N8:N26" si="8">M8*E7</f>
        <v>398.04807388500001</v>
      </c>
      <c r="O8" s="11">
        <f t="shared" ref="O8:O26" si="9">N8+(O9/(1+$H$3))</f>
        <v>7160.3238785156627</v>
      </c>
      <c r="P8" s="11">
        <f t="shared" si="7"/>
        <v>7833673.8086401019</v>
      </c>
    </row>
    <row r="9" spans="1:16" x14ac:dyDescent="0.25">
      <c r="A9">
        <v>3</v>
      </c>
      <c r="B9" s="13">
        <f>Parameters!$C$7</f>
        <v>3500</v>
      </c>
      <c r="C9" s="13">
        <f>Parameters!$C$8</f>
        <v>100000</v>
      </c>
      <c r="D9" s="13">
        <f>IF(A9=20,Parameters!$C$9,0)</f>
        <v>0</v>
      </c>
      <c r="E9">
        <f t="shared" si="0"/>
        <v>0.99671899423713683</v>
      </c>
      <c r="F9">
        <f>IF($B$2="M",VLOOKUP($B$1+A8,'Mortality rates'!$B$6:$G$101,5,0),VLOOKUP($B$1+A8,'Mortality rates'!$B$6:$G$101,5,0))</f>
        <v>1.122E-3</v>
      </c>
      <c r="G9" s="11">
        <f t="shared" si="1"/>
        <v>111.9574874543305</v>
      </c>
      <c r="H9" s="11">
        <f t="shared" si="2"/>
        <v>1891.3751332639304</v>
      </c>
      <c r="I9" s="11">
        <f t="shared" si="3"/>
        <v>0</v>
      </c>
      <c r="J9" s="11">
        <f t="shared" si="4"/>
        <v>47862.913207919446</v>
      </c>
      <c r="K9" s="11">
        <f t="shared" si="5"/>
        <v>3492.4349918908806</v>
      </c>
      <c r="L9" s="11">
        <f t="shared" si="6"/>
        <v>45526.907398685966</v>
      </c>
      <c r="M9" s="11">
        <f>M8*(1+Parameters!$C$13)</f>
        <v>412.42162499999995</v>
      </c>
      <c r="N9" s="5">
        <f t="shared" si="8"/>
        <v>411.53020416071388</v>
      </c>
      <c r="O9" s="11">
        <f t="shared" si="9"/>
        <v>7032.7668368158893</v>
      </c>
      <c r="P9" s="11">
        <f t="shared" si="7"/>
        <v>11260147.779313302</v>
      </c>
    </row>
    <row r="10" spans="1:16" x14ac:dyDescent="0.25">
      <c r="A10">
        <v>4</v>
      </c>
      <c r="B10" s="13">
        <f>Parameters!$C$7</f>
        <v>3500</v>
      </c>
      <c r="C10" s="13">
        <f>Parameters!$C$8</f>
        <v>100000</v>
      </c>
      <c r="D10" s="13">
        <f>IF(A10=20,Parameters!$C$9,0)</f>
        <v>0</v>
      </c>
      <c r="E10">
        <f t="shared" si="0"/>
        <v>0.99556888018968659</v>
      </c>
      <c r="F10">
        <f>IF($B$2="M",VLOOKUP($B$1+A9,'Mortality rates'!$B$6:$G$101,5,0),VLOOKUP($B$1+A9,'Mortality rates'!$B$6:$G$101,5,0))</f>
        <v>1.1539E-3</v>
      </c>
      <c r="G10" s="11">
        <f t="shared" si="1"/>
        <v>115.01140474502321</v>
      </c>
      <c r="H10" s="11">
        <f t="shared" si="2"/>
        <v>1855.0726511401572</v>
      </c>
      <c r="I10" s="11">
        <f t="shared" si="3"/>
        <v>0</v>
      </c>
      <c r="J10" s="11">
        <f t="shared" si="4"/>
        <v>49777.429736236227</v>
      </c>
      <c r="K10" s="11">
        <f t="shared" si="5"/>
        <v>3488.5164798299788</v>
      </c>
      <c r="L10" s="11">
        <f t="shared" si="6"/>
        <v>43715.851303066891</v>
      </c>
      <c r="M10" s="11">
        <f>M9*(1+Parameters!$C$13)</f>
        <v>426.8563818749999</v>
      </c>
      <c r="N10" s="5">
        <f t="shared" si="8"/>
        <v>425.45586362615308</v>
      </c>
      <c r="O10" s="11">
        <f t="shared" si="9"/>
        <v>6886.0860979613826</v>
      </c>
      <c r="P10" s="11">
        <f t="shared" si="7"/>
        <v>14802737.182270873</v>
      </c>
    </row>
    <row r="11" spans="1:16" x14ac:dyDescent="0.25">
      <c r="A11">
        <v>5</v>
      </c>
      <c r="B11" s="13">
        <f>Parameters!$C$7</f>
        <v>3500</v>
      </c>
      <c r="C11" s="13">
        <f>Parameters!$C$8</f>
        <v>100000</v>
      </c>
      <c r="D11" s="13">
        <f>IF(A11=20,Parameters!$C$9,0)</f>
        <v>0</v>
      </c>
      <c r="E11">
        <f t="shared" si="0"/>
        <v>0.99438723948578944</v>
      </c>
      <c r="F11">
        <f>IF($B$2="M",VLOOKUP($B$1+A10,'Mortality rates'!$B$6:$G$101,5,0),VLOOKUP($B$1+A10,'Mortality rates'!$B$6:$G$101,5,0))</f>
        <v>1.1869000000000001E-3</v>
      </c>
      <c r="G11" s="11">
        <f t="shared" si="1"/>
        <v>118.16407038971391</v>
      </c>
      <c r="H11" s="11">
        <f t="shared" si="2"/>
        <v>1814.2641524407404</v>
      </c>
      <c r="I11" s="11">
        <f t="shared" si="3"/>
        <v>0</v>
      </c>
      <c r="J11" s="11">
        <f t="shared" si="4"/>
        <v>51768.526925685677</v>
      </c>
      <c r="K11" s="11">
        <f t="shared" si="5"/>
        <v>3484.4910806639032</v>
      </c>
      <c r="L11" s="11">
        <f t="shared" si="6"/>
        <v>41836.428216166387</v>
      </c>
      <c r="M11" s="11">
        <f>M10*(1+Parameters!$C$13)</f>
        <v>441.79635524062485</v>
      </c>
      <c r="N11" s="5">
        <f t="shared" si="8"/>
        <v>439.83870265879386</v>
      </c>
      <c r="O11" s="11">
        <f t="shared" si="9"/>
        <v>6719.0554437086394</v>
      </c>
      <c r="P11" s="11">
        <f t="shared" si="7"/>
        <v>18465418.305668667</v>
      </c>
    </row>
    <row r="12" spans="1:16" x14ac:dyDescent="0.25">
      <c r="A12">
        <v>6</v>
      </c>
      <c r="B12" s="13">
        <f>Parameters!$C$7</f>
        <v>3500</v>
      </c>
      <c r="C12" s="13">
        <f>Parameters!$C$8</f>
        <v>100000</v>
      </c>
      <c r="D12" s="13">
        <f>IF(A12=20,Parameters!$C$9,0)</f>
        <v>0</v>
      </c>
      <c r="E12">
        <f t="shared" si="0"/>
        <v>0.99317309266637721</v>
      </c>
      <c r="F12">
        <f>IF($B$2="M",VLOOKUP($B$1+A11,'Mortality rates'!$B$6:$G$101,5,0),VLOOKUP($B$1+A11,'Mortality rates'!$B$6:$G$101,5,0))</f>
        <v>1.2209999999999999E-3</v>
      </c>
      <c r="G12" s="11">
        <f t="shared" si="1"/>
        <v>121.41468194121487</v>
      </c>
      <c r="H12" s="11">
        <f t="shared" si="2"/>
        <v>1768.670648148656</v>
      </c>
      <c r="I12" s="11">
        <f t="shared" si="3"/>
        <v>0</v>
      </c>
      <c r="J12" s="11">
        <f t="shared" si="4"/>
        <v>53839.268002713106</v>
      </c>
      <c r="K12" s="11">
        <f t="shared" si="5"/>
        <v>3480.3553382002628</v>
      </c>
      <c r="L12" s="11">
        <f t="shared" si="6"/>
        <v>39886.014620922586</v>
      </c>
      <c r="M12" s="11">
        <f>M11*(1+Parameters!$C$13)</f>
        <v>457.25922767404666</v>
      </c>
      <c r="N12" s="5">
        <f t="shared" si="8"/>
        <v>454.69274113619934</v>
      </c>
      <c r="O12" s="11">
        <f t="shared" si="9"/>
        <v>6530.3854106918388</v>
      </c>
      <c r="P12" s="11">
        <f t="shared" si="7"/>
        <v>22252309.440631013</v>
      </c>
    </row>
    <row r="13" spans="1:16" x14ac:dyDescent="0.25">
      <c r="A13">
        <v>7</v>
      </c>
      <c r="B13" s="13">
        <f>Parameters!$C$7</f>
        <v>3500</v>
      </c>
      <c r="C13" s="13">
        <f>Parameters!$C$8</f>
        <v>100000</v>
      </c>
      <c r="D13" s="13">
        <f>IF(A13=20,Parameters!$C$9,0)</f>
        <v>0</v>
      </c>
      <c r="E13">
        <f t="shared" si="0"/>
        <v>0.99192656111777167</v>
      </c>
      <c r="F13">
        <f>IF($B$2="M",VLOOKUP($B$1+A12,'Mortality rates'!$B$6:$G$101,5,0),VLOOKUP($B$1+A12,'Mortality rates'!$B$6:$G$101,5,0))</f>
        <v>1.2550999999999999E-3</v>
      </c>
      <c r="G13" s="11">
        <f t="shared" si="1"/>
        <v>124.653154860557</v>
      </c>
      <c r="H13" s="11">
        <f t="shared" si="2"/>
        <v>1718.0027921333874</v>
      </c>
      <c r="I13" s="11">
        <f t="shared" si="3"/>
        <v>0</v>
      </c>
      <c r="J13" s="11">
        <f t="shared" si="4"/>
        <v>55992.838722821631</v>
      </c>
      <c r="K13" s="11">
        <f t="shared" si="5"/>
        <v>3476.10582433232</v>
      </c>
      <c r="L13" s="11">
        <f t="shared" si="6"/>
        <v>37861.885654031212</v>
      </c>
      <c r="M13" s="11">
        <f>M12*(1+Parameters!$C$13)</f>
        <v>473.26330064263823</v>
      </c>
      <c r="N13" s="5">
        <f t="shared" si="8"/>
        <v>470.03237594474649</v>
      </c>
      <c r="O13" s="11">
        <f t="shared" si="9"/>
        <v>6318.7203763378648</v>
      </c>
      <c r="P13" s="11">
        <f t="shared" si="7"/>
        <v>26167676.237261672</v>
      </c>
    </row>
    <row r="14" spans="1:16" x14ac:dyDescent="0.25">
      <c r="A14">
        <v>8</v>
      </c>
      <c r="B14" s="13">
        <f>Parameters!$C$7</f>
        <v>3500</v>
      </c>
      <c r="C14" s="13">
        <f>Parameters!$C$8</f>
        <v>100000</v>
      </c>
      <c r="D14" s="13">
        <f>IF(A14=20,Parameters!$C$9,0)</f>
        <v>0</v>
      </c>
      <c r="E14">
        <f t="shared" si="0"/>
        <v>0.99064558715674411</v>
      </c>
      <c r="F14">
        <f>IF($B$2="M",VLOOKUP($B$1+A13,'Mortality rates'!$B$6:$G$101,5,0),VLOOKUP($B$1+A13,'Mortality rates'!$B$6:$G$101,5,0))</f>
        <v>1.2914000000000001E-3</v>
      </c>
      <c r="G14" s="11">
        <f t="shared" si="1"/>
        <v>128.09739610274906</v>
      </c>
      <c r="H14" s="11">
        <f t="shared" si="2"/>
        <v>1662.069748958166</v>
      </c>
      <c r="I14" s="11">
        <f t="shared" si="3"/>
        <v>0</v>
      </c>
      <c r="J14" s="11">
        <f t="shared" si="4"/>
        <v>58232.552271734501</v>
      </c>
      <c r="K14" s="11">
        <f t="shared" si="5"/>
        <v>3471.742963912201</v>
      </c>
      <c r="L14" s="11">
        <f t="shared" si="6"/>
        <v>35761.211022886848</v>
      </c>
      <c r="M14" s="11">
        <f>M13*(1+Parameters!$C$13)</f>
        <v>489.82751616513053</v>
      </c>
      <c r="N14" s="5">
        <f t="shared" si="8"/>
        <v>485.87292365053764</v>
      </c>
      <c r="O14" s="11">
        <f t="shared" si="9"/>
        <v>6082.6355204088431</v>
      </c>
      <c r="P14" s="11">
        <f t="shared" si="7"/>
        <v>30216046.518214665</v>
      </c>
    </row>
    <row r="15" spans="1:16" x14ac:dyDescent="0.25">
      <c r="A15">
        <v>9</v>
      </c>
      <c r="B15" s="13">
        <f>Parameters!$C$7</f>
        <v>3500</v>
      </c>
      <c r="C15" s="13">
        <f>Parameters!$C$8</f>
        <v>100000</v>
      </c>
      <c r="D15" s="13">
        <f>IF(A15=20,Parameters!$C$9,0)</f>
        <v>0</v>
      </c>
      <c r="E15">
        <f t="shared" si="0"/>
        <v>0.98933030701067604</v>
      </c>
      <c r="F15">
        <f>IF($B$2="M",VLOOKUP($B$1+A14,'Mortality rates'!$B$6:$G$101,5,0),VLOOKUP($B$1+A14,'Mortality rates'!$B$6:$G$101,5,0))</f>
        <v>1.3277E-3</v>
      </c>
      <c r="G15" s="11">
        <f t="shared" si="1"/>
        <v>131.52801460680092</v>
      </c>
      <c r="H15" s="11">
        <f t="shared" si="2"/>
        <v>1600.4551428137436</v>
      </c>
      <c r="I15" s="11">
        <f t="shared" si="3"/>
        <v>0</v>
      </c>
      <c r="J15" s="11">
        <f t="shared" si="4"/>
        <v>60561.854362603881</v>
      </c>
      <c r="K15" s="11">
        <f t="shared" si="5"/>
        <v>3467.2595550486044</v>
      </c>
      <c r="L15" s="11">
        <f t="shared" si="6"/>
        <v>33581.046781333636</v>
      </c>
      <c r="M15" s="11">
        <f>M14*(1+Parameters!$C$13)</f>
        <v>506.97147923091006</v>
      </c>
      <c r="N15" s="5">
        <f t="shared" si="8"/>
        <v>502.22905871442799</v>
      </c>
      <c r="O15" s="11">
        <f t="shared" si="9"/>
        <v>5820.6331006286373</v>
      </c>
      <c r="P15" s="11">
        <f t="shared" si="7"/>
        <v>34401895.824712619</v>
      </c>
    </row>
    <row r="16" spans="1:16" x14ac:dyDescent="0.25">
      <c r="A16">
        <v>10</v>
      </c>
      <c r="B16" s="13">
        <f>Parameters!$C$7</f>
        <v>3500</v>
      </c>
      <c r="C16" s="13">
        <f>Parameters!$C$8</f>
        <v>100000</v>
      </c>
      <c r="D16" s="13">
        <f>IF(A16=20,Parameters!$C$9,0)</f>
        <v>0</v>
      </c>
      <c r="E16">
        <f t="shared" si="0"/>
        <v>0.98796562478518546</v>
      </c>
      <c r="F16">
        <f>IF($B$2="M",VLOOKUP($B$1+A15,'Mortality rates'!$B$6:$G$101,5,0),VLOOKUP($B$1+A15,'Mortality rates'!$B$6:$G$101,5,0))</f>
        <v>1.3794E-3</v>
      </c>
      <c r="G16" s="11">
        <f t="shared" si="1"/>
        <v>136.46822254905265</v>
      </c>
      <c r="H16" s="11">
        <f t="shared" si="2"/>
        <v>1532.9453339194924</v>
      </c>
      <c r="I16" s="11">
        <f t="shared" si="3"/>
        <v>0</v>
      </c>
      <c r="J16" s="11">
        <f t="shared" si="4"/>
        <v>62984.328537108035</v>
      </c>
      <c r="K16" s="11">
        <f t="shared" si="5"/>
        <v>3462.6560745373663</v>
      </c>
      <c r="L16" s="11">
        <f t="shared" si="6"/>
        <v>31318.338715336431</v>
      </c>
      <c r="M16" s="11">
        <f>M15*(1+Parameters!$C$13)</f>
        <v>524.71548100399184</v>
      </c>
      <c r="N16" s="5">
        <f t="shared" si="8"/>
        <v>519.11692791493374</v>
      </c>
      <c r="O16" s="11">
        <f t="shared" si="9"/>
        <v>5531.1402035907777</v>
      </c>
      <c r="P16" s="11">
        <f t="shared" si="7"/>
        <v>38730075.359281883</v>
      </c>
    </row>
    <row r="17" spans="1:16" x14ac:dyDescent="0.25">
      <c r="A17">
        <v>11</v>
      </c>
      <c r="B17" s="13">
        <f>Parameters!$C$7</f>
        <v>3500</v>
      </c>
      <c r="C17" s="13">
        <f>Parameters!$C$8</f>
        <v>100000</v>
      </c>
      <c r="D17" s="13">
        <f>IF(A17=20,Parameters!$C$9,0)</f>
        <v>0</v>
      </c>
      <c r="E17">
        <f t="shared" si="0"/>
        <v>0.98655935451486632</v>
      </c>
      <c r="F17">
        <f>IF($B$2="M",VLOOKUP($B$1+A16,'Mortality rates'!$B$6:$G$101,5,0),VLOOKUP($B$1+A16,'Mortality rates'!$B$6:$G$101,5,0))</f>
        <v>1.4234000000000002E-3</v>
      </c>
      <c r="G17" s="11">
        <f t="shared" si="1"/>
        <v>140.62702703192332</v>
      </c>
      <c r="H17" s="11">
        <f t="shared" si="2"/>
        <v>1457.7949247272195</v>
      </c>
      <c r="I17" s="11">
        <f t="shared" si="3"/>
        <v>0</v>
      </c>
      <c r="J17" s="11">
        <f t="shared" si="4"/>
        <v>65503.701678592355</v>
      </c>
      <c r="K17" s="11">
        <f t="shared" si="5"/>
        <v>3457.8796867481492</v>
      </c>
      <c r="L17" s="11">
        <f t="shared" si="6"/>
        <v>28969.909946431031</v>
      </c>
      <c r="M17" s="11">
        <f>M16*(1+Parameters!$C$13)</f>
        <v>543.0805228391315</v>
      </c>
      <c r="N17" s="5">
        <f t="shared" si="8"/>
        <v>536.54488805542769</v>
      </c>
      <c r="O17" s="11">
        <f t="shared" si="9"/>
        <v>5212.504206702878</v>
      </c>
      <c r="P17" s="11">
        <f t="shared" si="7"/>
        <v>43204090.86359144</v>
      </c>
    </row>
    <row r="18" spans="1:16" x14ac:dyDescent="0.25">
      <c r="A18">
        <v>12</v>
      </c>
      <c r="B18" s="13">
        <f>Parameters!$C$7</f>
        <v>3500</v>
      </c>
      <c r="C18" s="13">
        <f>Parameters!$C$8</f>
        <v>100000</v>
      </c>
      <c r="D18" s="13">
        <f>IF(A18=20,Parameters!$C$9,0)</f>
        <v>0</v>
      </c>
      <c r="E18">
        <f t="shared" si="0"/>
        <v>0.98509973994986155</v>
      </c>
      <c r="F18">
        <f>IF($B$2="M",VLOOKUP($B$1+A17,'Mortality rates'!$B$6:$G$101,5,0),VLOOKUP($B$1+A17,'Mortality rates'!$B$6:$G$101,5,0))</f>
        <v>1.4795000000000001E-3</v>
      </c>
      <c r="G18" s="11">
        <f t="shared" si="1"/>
        <v>145.9614565004745</v>
      </c>
      <c r="H18" s="11">
        <f t="shared" si="2"/>
        <v>1375.4796946843851</v>
      </c>
      <c r="I18" s="11">
        <f t="shared" si="3"/>
        <v>0</v>
      </c>
      <c r="J18" s="11">
        <f t="shared" si="4"/>
        <v>68123.84974573605</v>
      </c>
      <c r="K18" s="11">
        <f t="shared" si="5"/>
        <v>3452.9577408020323</v>
      </c>
      <c r="L18" s="11">
        <f t="shared" si="6"/>
        <v>26532.511470070196</v>
      </c>
      <c r="M18" s="11">
        <f>M17*(1+Parameters!$C$13)</f>
        <v>562.08834113850105</v>
      </c>
      <c r="N18" s="5">
        <f t="shared" si="8"/>
        <v>554.53351101393162</v>
      </c>
      <c r="O18" s="11">
        <f t="shared" si="9"/>
        <v>4862.9976913933488</v>
      </c>
      <c r="P18" s="11">
        <f t="shared" si="7"/>
        <v>47829815.661743589</v>
      </c>
    </row>
    <row r="19" spans="1:16" x14ac:dyDescent="0.25">
      <c r="A19">
        <v>13</v>
      </c>
      <c r="B19" s="13">
        <f>Parameters!$C$7</f>
        <v>3500</v>
      </c>
      <c r="C19" s="13">
        <f>Parameters!$C$8</f>
        <v>100000</v>
      </c>
      <c r="D19" s="13">
        <f>IF(A19=20,Parameters!$C$9,0)</f>
        <v>0</v>
      </c>
      <c r="E19">
        <f t="shared" si="0"/>
        <v>0.98357293386291322</v>
      </c>
      <c r="F19">
        <f>IF($B$2="M",VLOOKUP($B$1+A18,'Mortality rates'!$B$6:$G$101,5,0),VLOOKUP($B$1+A18,'Mortality rates'!$B$6:$G$101,5,0))</f>
        <v>1.5498999999999999E-3</v>
      </c>
      <c r="G19" s="11">
        <f t="shared" si="1"/>
        <v>152.68060869482903</v>
      </c>
      <c r="H19" s="11">
        <f t="shared" si="2"/>
        <v>1284.537425971286</v>
      </c>
      <c r="I19" s="11">
        <f t="shared" si="3"/>
        <v>0</v>
      </c>
      <c r="J19" s="11">
        <f t="shared" si="4"/>
        <v>70848.803735565496</v>
      </c>
      <c r="K19" s="11">
        <f t="shared" si="5"/>
        <v>3447.8490898245154</v>
      </c>
      <c r="L19" s="11">
        <f t="shared" si="6"/>
        <v>24002.735878438893</v>
      </c>
      <c r="M19" s="11">
        <f>M18*(1+Parameters!$C$13)</f>
        <v>581.76143307834855</v>
      </c>
      <c r="N19" s="5">
        <f t="shared" si="8"/>
        <v>573.09303643833994</v>
      </c>
      <c r="O19" s="11">
        <f t="shared" si="9"/>
        <v>4480.8027475945946</v>
      </c>
      <c r="P19" s="11">
        <f t="shared" si="7"/>
        <v>52611408.030692488</v>
      </c>
    </row>
    <row r="20" spans="1:16" x14ac:dyDescent="0.25">
      <c r="A20">
        <v>14</v>
      </c>
      <c r="B20" s="13">
        <f>Parameters!$C$7</f>
        <v>3500</v>
      </c>
      <c r="C20" s="13">
        <f>Parameters!$C$8</f>
        <v>100000</v>
      </c>
      <c r="D20" s="13">
        <f>IF(A20=20,Parameters!$C$9,0)</f>
        <v>0</v>
      </c>
      <c r="E20">
        <f t="shared" si="0"/>
        <v>0.98196410361499364</v>
      </c>
      <c r="F20">
        <f>IF($B$2="M",VLOOKUP($B$1+A19,'Mortality rates'!$B$6:$G$101,5,0),VLOOKUP($B$1+A19,'Mortality rates'!$B$6:$G$101,5,0))</f>
        <v>1.6357000000000001E-3</v>
      </c>
      <c r="G20" s="11">
        <f t="shared" si="1"/>
        <v>160.88302479195673</v>
      </c>
      <c r="H20" s="11">
        <f t="shared" si="2"/>
        <v>1183.2383143153083</v>
      </c>
      <c r="I20" s="11">
        <f t="shared" si="3"/>
        <v>0</v>
      </c>
      <c r="J20" s="11">
        <f t="shared" si="4"/>
        <v>73682.755884988117</v>
      </c>
      <c r="K20" s="11">
        <f t="shared" si="5"/>
        <v>3442.5052685201963</v>
      </c>
      <c r="L20" s="11">
        <f t="shared" si="6"/>
        <v>21377.082260158953</v>
      </c>
      <c r="M20" s="11">
        <f>M19*(1+Parameters!$C$13)</f>
        <v>602.12308323609068</v>
      </c>
      <c r="N20" s="5">
        <f t="shared" si="8"/>
        <v>592.23196752510478</v>
      </c>
      <c r="O20" s="11">
        <f t="shared" si="9"/>
        <v>4064.0180996025047</v>
      </c>
      <c r="P20" s="11">
        <f t="shared" si="7"/>
        <v>57552930.038746975</v>
      </c>
    </row>
    <row r="21" spans="1:16" x14ac:dyDescent="0.25">
      <c r="A21">
        <v>15</v>
      </c>
      <c r="B21" s="13">
        <f>Parameters!$C$7</f>
        <v>3500</v>
      </c>
      <c r="C21" s="13">
        <f>Parameters!$C$8</f>
        <v>100000</v>
      </c>
      <c r="D21" s="13">
        <f>IF(A21=20,Parameters!$C$9,0)</f>
        <v>0</v>
      </c>
      <c r="E21">
        <f t="shared" si="0"/>
        <v>0.98025853016342468</v>
      </c>
      <c r="F21">
        <f>IF($B$2="M",VLOOKUP($B$1+A20,'Mortality rates'!$B$6:$G$101,5,0),VLOOKUP($B$1+A20,'Mortality rates'!$B$6:$G$101,5,0))</f>
        <v>1.7369E-3</v>
      </c>
      <c r="G21" s="11">
        <f t="shared" si="1"/>
        <v>170.55734515688823</v>
      </c>
      <c r="H21" s="11">
        <f t="shared" si="2"/>
        <v>1069.6848220959639</v>
      </c>
      <c r="I21" s="11">
        <f t="shared" si="3"/>
        <v>0</v>
      </c>
      <c r="J21" s="11">
        <f t="shared" si="4"/>
        <v>76630.066120387652</v>
      </c>
      <c r="K21" s="11">
        <f t="shared" si="5"/>
        <v>3436.8743626524779</v>
      </c>
      <c r="L21" s="11">
        <f t="shared" si="6"/>
        <v>18651.960071304307</v>
      </c>
      <c r="M21" s="11">
        <f>M20*(1+Parameters!$C$13)</f>
        <v>623.19739114935385</v>
      </c>
      <c r="N21" s="5">
        <f t="shared" si="8"/>
        <v>611.95746757517782</v>
      </c>
      <c r="O21" s="11">
        <f t="shared" si="9"/>
        <v>3610.6575773604959</v>
      </c>
      <c r="P21" s="11">
        <f t="shared" si="7"/>
        <v>62658448.448539816</v>
      </c>
    </row>
    <row r="22" spans="1:16" x14ac:dyDescent="0.25">
      <c r="A22">
        <v>16</v>
      </c>
      <c r="B22" s="13">
        <f>Parameters!$C$7</f>
        <v>3500</v>
      </c>
      <c r="C22" s="13">
        <f>Parameters!$C$8</f>
        <v>100000</v>
      </c>
      <c r="D22" s="13">
        <f>IF(A22=20,Parameters!$C$9,0)</f>
        <v>0</v>
      </c>
      <c r="E22">
        <f t="shared" si="0"/>
        <v>0.9784383861246172</v>
      </c>
      <c r="F22">
        <f>IF($B$2="M",VLOOKUP($B$1+A21,'Mortality rates'!$B$6:$G$101,5,0),VLOOKUP($B$1+A21,'Mortality rates'!$B$6:$G$101,5,0))</f>
        <v>1.8568000000000002E-3</v>
      </c>
      <c r="G22" s="11">
        <f t="shared" si="1"/>
        <v>182.01440388074474</v>
      </c>
      <c r="H22" s="11">
        <f t="shared" si="2"/>
        <v>941.91486982291417</v>
      </c>
      <c r="I22" s="11">
        <f t="shared" si="3"/>
        <v>0</v>
      </c>
      <c r="J22" s="11">
        <f t="shared" si="4"/>
        <v>79695.26876520316</v>
      </c>
      <c r="K22" s="11">
        <f t="shared" si="5"/>
        <v>3430.9048555719864</v>
      </c>
      <c r="L22" s="11">
        <f t="shared" si="6"/>
        <v>15823.689136997902</v>
      </c>
      <c r="M22" s="11">
        <f>M21*(1+Parameters!$C$13)</f>
        <v>645.00929983958122</v>
      </c>
      <c r="N22" s="5">
        <f t="shared" si="8"/>
        <v>632.27586820248757</v>
      </c>
      <c r="O22" s="11">
        <f t="shared" si="9"/>
        <v>3118.6481141767308</v>
      </c>
      <c r="P22" s="11">
        <f t="shared" si="7"/>
        <v>67932142.612204894</v>
      </c>
    </row>
    <row r="23" spans="1:16" x14ac:dyDescent="0.25">
      <c r="A23">
        <v>17</v>
      </c>
      <c r="B23" s="13">
        <f>Parameters!$C$7</f>
        <v>3500</v>
      </c>
      <c r="C23" s="13">
        <f>Parameters!$C$8</f>
        <v>100000</v>
      </c>
      <c r="D23" s="13">
        <f>IF(A23=20,Parameters!$C$9,0)</f>
        <v>0</v>
      </c>
      <c r="E23">
        <f t="shared" si="0"/>
        <v>0.97648601016894421</v>
      </c>
      <c r="F23">
        <f>IF($B$2="M",VLOOKUP($B$1+A22,'Mortality rates'!$B$6:$G$101,5,0),VLOOKUP($B$1+A22,'Mortality rates'!$B$6:$G$101,5,0))</f>
        <v>1.9954E-3</v>
      </c>
      <c r="G23" s="11">
        <f t="shared" si="1"/>
        <v>195.2375955673061</v>
      </c>
      <c r="H23" s="11">
        <f t="shared" si="2"/>
        <v>797.57706073508598</v>
      </c>
      <c r="I23" s="11">
        <f t="shared" si="3"/>
        <v>0</v>
      </c>
      <c r="J23" s="11">
        <f t="shared" si="4"/>
        <v>82883.079515811289</v>
      </c>
      <c r="K23" s="11">
        <f t="shared" si="5"/>
        <v>3424.5343514361603</v>
      </c>
      <c r="L23" s="11">
        <f t="shared" si="6"/>
        <v>12888.495652682952</v>
      </c>
      <c r="M23" s="11">
        <f>M22*(1+Parameters!$C$13)</f>
        <v>667.58462533396653</v>
      </c>
      <c r="N23" s="5">
        <f t="shared" si="8"/>
        <v>653.19042341337342</v>
      </c>
      <c r="O23" s="11">
        <f t="shared" si="9"/>
        <v>2585.8271358132133</v>
      </c>
      <c r="P23" s="11">
        <f t="shared" si="7"/>
        <v>73377988.059676647</v>
      </c>
    </row>
    <row r="24" spans="1:16" x14ac:dyDescent="0.25">
      <c r="A24">
        <v>18</v>
      </c>
      <c r="B24" s="13">
        <f>Parameters!$C$7</f>
        <v>3500</v>
      </c>
      <c r="C24" s="13">
        <f>Parameters!$C$8</f>
        <v>100000</v>
      </c>
      <c r="D24" s="13">
        <f>IF(A24=20,Parameters!$C$9,0)</f>
        <v>0</v>
      </c>
      <c r="E24">
        <f t="shared" si="0"/>
        <v>0.97437963219640877</v>
      </c>
      <c r="F24">
        <f>IF($B$2="M",VLOOKUP($B$1+A23,'Mortality rates'!$B$6:$G$101,5,0),VLOOKUP($B$1+A23,'Mortality rates'!$B$6:$G$101,5,0))</f>
        <v>2.1571000000000003E-3</v>
      </c>
      <c r="G24" s="11">
        <f t="shared" si="1"/>
        <v>210.637797253543</v>
      </c>
      <c r="H24" s="11">
        <f t="shared" si="2"/>
        <v>634.24254759718326</v>
      </c>
      <c r="I24" s="11">
        <f t="shared" si="3"/>
        <v>0</v>
      </c>
      <c r="J24" s="11">
        <f t="shared" si="4"/>
        <v>86198.402696443751</v>
      </c>
      <c r="K24" s="11">
        <f t="shared" si="5"/>
        <v>3417.7010355913048</v>
      </c>
      <c r="L24" s="11">
        <f t="shared" si="6"/>
        <v>9842.5197532966631</v>
      </c>
      <c r="M24" s="11">
        <f>M23*(1+Parameters!$C$13)</f>
        <v>690.95008722065529</v>
      </c>
      <c r="N24" s="5">
        <f t="shared" si="8"/>
        <v>674.70309389598174</v>
      </c>
      <c r="O24" s="11">
        <f t="shared" si="9"/>
        <v>2009.9421808958334</v>
      </c>
      <c r="P24" s="11">
        <f t="shared" si="7"/>
        <v>79000067.671640113</v>
      </c>
    </row>
    <row r="25" spans="1:16" x14ac:dyDescent="0.25">
      <c r="A25">
        <v>19</v>
      </c>
      <c r="B25" s="13">
        <f>Parameters!$C$7</f>
        <v>3500</v>
      </c>
      <c r="C25" s="13">
        <f>Parameters!$C$8</f>
        <v>100000</v>
      </c>
      <c r="D25" s="13">
        <f>IF(A25=20,Parameters!$C$9,0)</f>
        <v>0</v>
      </c>
      <c r="E25">
        <f t="shared" si="0"/>
        <v>0.97209773253576803</v>
      </c>
      <c r="F25">
        <f>IF($B$2="M",VLOOKUP($B$1+A24,'Mortality rates'!$B$6:$G$101,5,0),VLOOKUP($B$1+A24,'Mortality rates'!$B$6:$G$101,5,0))</f>
        <v>2.3419000000000001E-3</v>
      </c>
      <c r="G25" s="11">
        <f t="shared" si="1"/>
        <v>228.18996606407697</v>
      </c>
      <c r="H25" s="11">
        <f>(G25+H26)/(1+$H$3)</f>
        <v>448.97445224752767</v>
      </c>
      <c r="I25" s="11">
        <f t="shared" si="3"/>
        <v>0</v>
      </c>
      <c r="J25" s="11">
        <f t="shared" si="4"/>
        <v>89646.3388043015</v>
      </c>
      <c r="K25" s="11">
        <f t="shared" si="5"/>
        <v>3410.3287126874307</v>
      </c>
      <c r="L25" s="11">
        <f>K25+L26/(1+$H$3)</f>
        <v>6681.8114664135728</v>
      </c>
      <c r="M25" s="11">
        <f>M24*(1+Parameters!$C$13)</f>
        <v>715.13334027337817</v>
      </c>
      <c r="N25" s="5">
        <f t="shared" si="8"/>
        <v>696.81136106696351</v>
      </c>
      <c r="O25" s="11">
        <f t="shared" si="9"/>
        <v>1388.6486504798459</v>
      </c>
      <c r="P25" s="11">
        <f t="shared" si="7"/>
        <v>84802150.440615296</v>
      </c>
    </row>
    <row r="26" spans="1:16" x14ac:dyDescent="0.25">
      <c r="A26">
        <v>20</v>
      </c>
      <c r="B26" s="13">
        <f>Parameters!$C$7</f>
        <v>3500</v>
      </c>
      <c r="C26" s="13">
        <f>Parameters!$C$8</f>
        <v>100000</v>
      </c>
      <c r="D26" s="13">
        <f>IF(A26=20,Parameters!$C$9,0)</f>
        <v>100000</v>
      </c>
      <c r="E26">
        <f t="shared" si="0"/>
        <v>0.96961480050732518</v>
      </c>
      <c r="F26">
        <f>IF($B$2="M",VLOOKUP($B$1+A25,'Mortality rates'!$B$6:$G$101,5,0),VLOOKUP($B$1+A25,'Mortality rates'!$B$6:$G$101,5,0))</f>
        <v>2.5542E-3</v>
      </c>
      <c r="G26" s="11">
        <f t="shared" si="1"/>
        <v>248.29320284428587</v>
      </c>
      <c r="H26" s="11">
        <f>(G26+H27)/(1+$H$3)</f>
        <v>238.7434642733518</v>
      </c>
      <c r="I26" s="11">
        <f t="shared" si="3"/>
        <v>96961.480050732513</v>
      </c>
      <c r="J26" s="11">
        <f t="shared" ref="J26" si="10">I26/(1+$H$3)</f>
        <v>93232.192356473563</v>
      </c>
      <c r="K26" s="11">
        <f t="shared" si="5"/>
        <v>3402.3420638751882</v>
      </c>
      <c r="L26" s="11">
        <f>K26+L27/(1+$H$3)</f>
        <v>3402.3420638751882</v>
      </c>
      <c r="M26" s="11">
        <f>M25*(1+Parameters!$C$13)</f>
        <v>740.16300718294633</v>
      </c>
      <c r="N26" s="5">
        <f t="shared" si="8"/>
        <v>719.51078098939752</v>
      </c>
      <c r="O26" s="11">
        <f t="shared" si="9"/>
        <v>719.51078098939752</v>
      </c>
      <c r="P26" s="11">
        <f t="shared" si="7"/>
        <v>90788104.537861124</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P26"/>
  <sheetViews>
    <sheetView workbookViewId="0"/>
  </sheetViews>
  <sheetFormatPr defaultRowHeight="15" x14ac:dyDescent="0.25"/>
  <cols>
    <col min="1" max="1" width="18.140625" bestFit="1" customWidth="1"/>
    <col min="2" max="2" width="10" bestFit="1" customWidth="1"/>
    <col min="3" max="3" width="12.42578125" bestFit="1" customWidth="1"/>
    <col min="4" max="4" width="12.42578125" customWidth="1"/>
    <col min="7" max="7" width="22.28515625" bestFit="1" customWidth="1"/>
    <col min="8" max="8" width="17.42578125" bestFit="1" customWidth="1"/>
    <col min="9" max="10" width="24.5703125" bestFit="1" customWidth="1"/>
    <col min="11" max="12" width="24.5703125" customWidth="1"/>
    <col min="13" max="13" width="12.5703125" bestFit="1" customWidth="1"/>
    <col min="14" max="14" width="13.28515625" bestFit="1" customWidth="1"/>
    <col min="15" max="15" width="22.42578125" bestFit="1" customWidth="1"/>
    <col min="16" max="16" width="14.28515625" bestFit="1" customWidth="1"/>
  </cols>
  <sheetData>
    <row r="1" spans="1:16" x14ac:dyDescent="0.25">
      <c r="A1" s="1" t="s">
        <v>9</v>
      </c>
      <c r="B1" s="10">
        <v>30</v>
      </c>
      <c r="H1" s="19"/>
    </row>
    <row r="2" spans="1:16" x14ac:dyDescent="0.25">
      <c r="A2" s="1" t="s">
        <v>37</v>
      </c>
      <c r="B2" s="10" t="s">
        <v>38</v>
      </c>
    </row>
    <row r="3" spans="1:16" x14ac:dyDescent="0.25">
      <c r="A3" s="1" t="s">
        <v>40</v>
      </c>
      <c r="B3">
        <v>1000</v>
      </c>
      <c r="G3" s="1" t="s">
        <v>11</v>
      </c>
      <c r="H3" s="9">
        <f>Assumptions!C7+1%</f>
        <v>0.05</v>
      </c>
    </row>
    <row r="5" spans="1:16" ht="45" x14ac:dyDescent="0.25">
      <c r="A5" s="7" t="s">
        <v>2</v>
      </c>
      <c r="B5" s="7" t="s">
        <v>52</v>
      </c>
      <c r="C5" s="7" t="s">
        <v>4</v>
      </c>
      <c r="D5" s="7" t="s">
        <v>12</v>
      </c>
      <c r="E5" s="7" t="s">
        <v>7</v>
      </c>
      <c r="F5" s="7" t="s">
        <v>5</v>
      </c>
      <c r="G5" s="7" t="s">
        <v>76</v>
      </c>
      <c r="H5" s="7" t="s">
        <v>10</v>
      </c>
      <c r="I5" s="7" t="s">
        <v>77</v>
      </c>
      <c r="J5" s="7" t="s">
        <v>15</v>
      </c>
      <c r="K5" s="7" t="s">
        <v>78</v>
      </c>
      <c r="L5" s="7" t="s">
        <v>14</v>
      </c>
      <c r="M5" s="7" t="s">
        <v>79</v>
      </c>
      <c r="N5" s="7" t="s">
        <v>80</v>
      </c>
      <c r="O5" s="7" t="s">
        <v>13</v>
      </c>
      <c r="P5" s="7" t="s">
        <v>31</v>
      </c>
    </row>
    <row r="6" spans="1:16" x14ac:dyDescent="0.25">
      <c r="A6">
        <v>0</v>
      </c>
      <c r="E6">
        <v>1</v>
      </c>
    </row>
    <row r="7" spans="1:16" x14ac:dyDescent="0.25">
      <c r="A7">
        <v>1</v>
      </c>
      <c r="B7" s="13">
        <f>Parameters!$C$7</f>
        <v>3500</v>
      </c>
      <c r="C7" s="13">
        <f>Parameters!$C$8</f>
        <v>100000</v>
      </c>
      <c r="D7" s="13">
        <f>IF(A7=20,Parameters!$C$9,0)</f>
        <v>0</v>
      </c>
      <c r="E7">
        <f t="shared" ref="E7:E26" si="0">E6*(1-F7)</f>
        <v>0.99892860000000006</v>
      </c>
      <c r="F7">
        <f>IF($B$2="M",VLOOKUP($B$1+A6,'Mortality rates'!$B$6:$G$101,5,0),VLOOKUP($B$1+A6,'Mortality rates'!$B$6:$G$101,5,0))</f>
        <v>1.0713999999999999E-3</v>
      </c>
      <c r="G7" s="11">
        <f t="shared" ref="G7:G26" si="1">C7*F7*E6</f>
        <v>107.13999999999999</v>
      </c>
      <c r="H7" s="11">
        <f t="shared" ref="H7:H24" si="2">(G7+H8)/(1+$H$3)</f>
        <v>1767.0168607674436</v>
      </c>
      <c r="I7" s="11">
        <f t="shared" ref="I7:I26" si="3">E7*D7</f>
        <v>0</v>
      </c>
      <c r="J7" s="11">
        <f t="shared" ref="J7:J25" si="4">J8/(1+$H$3)</f>
        <v>36543.762074921309</v>
      </c>
      <c r="K7" s="11">
        <f t="shared" ref="K7:K26" si="5">B7*E6</f>
        <v>3500</v>
      </c>
      <c r="L7" s="11">
        <f t="shared" ref="L7:L24" si="6">K7+L8/(1+$H$3)</f>
        <v>45341.577482268709</v>
      </c>
      <c r="M7" s="11">
        <f>Parameters!C17</f>
        <v>550</v>
      </c>
      <c r="N7" s="5">
        <f>M7*E6</f>
        <v>550</v>
      </c>
      <c r="O7" s="11">
        <f>N7+(O8/(1+$H$3))</f>
        <v>9516.4488480748696</v>
      </c>
      <c r="P7" s="11">
        <f t="shared" ref="P7:P26" si="7">(H7+J7+O7-L7)*$B$3</f>
        <v>2485650.3014949122</v>
      </c>
    </row>
    <row r="8" spans="1:16" x14ac:dyDescent="0.25">
      <c r="A8">
        <v>2</v>
      </c>
      <c r="B8" s="13">
        <f>Parameters!$C$7</f>
        <v>3500</v>
      </c>
      <c r="C8" s="13">
        <f>Parameters!$C$8</f>
        <v>100000</v>
      </c>
      <c r="D8" s="13">
        <f>IF(A8=20,Parameters!$C$9,0)</f>
        <v>0</v>
      </c>
      <c r="E8">
        <f t="shared" si="0"/>
        <v>0.99783856911168012</v>
      </c>
      <c r="F8">
        <f>IF($B$2="M",VLOOKUP($B$1+A7,'Mortality rates'!$B$6:$G$101,5,0),VLOOKUP($B$1+A7,'Mortality rates'!$B$6:$G$101,5,0))</f>
        <v>1.0911999999999999E-3</v>
      </c>
      <c r="G8" s="11">
        <f t="shared" si="1"/>
        <v>109.003088832</v>
      </c>
      <c r="H8" s="11">
        <f t="shared" si="2"/>
        <v>1748.227703805816</v>
      </c>
      <c r="I8" s="11">
        <f t="shared" si="3"/>
        <v>0</v>
      </c>
      <c r="J8" s="11">
        <f t="shared" si="4"/>
        <v>38370.950178667379</v>
      </c>
      <c r="K8" s="11">
        <f t="shared" si="5"/>
        <v>3496.2501000000002</v>
      </c>
      <c r="L8" s="11">
        <f t="shared" si="6"/>
        <v>43933.656356382147</v>
      </c>
      <c r="M8" s="11">
        <f>M7*(1+Parameters!$C$13)</f>
        <v>569.25</v>
      </c>
      <c r="N8" s="5">
        <f t="shared" ref="N8:N26" si="8">M8*E7</f>
        <v>568.64010555000004</v>
      </c>
      <c r="O8" s="11">
        <f t="shared" ref="O8:O26" si="9">N8+(O9/(1+$H$3))</f>
        <v>9414.7712904786131</v>
      </c>
      <c r="P8" s="11">
        <f t="shared" si="7"/>
        <v>5600292.816569658</v>
      </c>
    </row>
    <row r="9" spans="1:16" x14ac:dyDescent="0.25">
      <c r="A9">
        <v>3</v>
      </c>
      <c r="B9" s="13">
        <f>Parameters!$C$7</f>
        <v>3500</v>
      </c>
      <c r="C9" s="13">
        <f>Parameters!$C$8</f>
        <v>100000</v>
      </c>
      <c r="D9" s="13">
        <f>IF(A9=20,Parameters!$C$9,0)</f>
        <v>0</v>
      </c>
      <c r="E9">
        <f t="shared" si="0"/>
        <v>0.99671899423713683</v>
      </c>
      <c r="F9">
        <f>IF($B$2="M",VLOOKUP($B$1+A8,'Mortality rates'!$B$6:$G$101,5,0),VLOOKUP($B$1+A8,'Mortality rates'!$B$6:$G$101,5,0))</f>
        <v>1.122E-3</v>
      </c>
      <c r="G9" s="11">
        <f t="shared" si="1"/>
        <v>111.9574874543305</v>
      </c>
      <c r="H9" s="11">
        <f t="shared" si="2"/>
        <v>1726.6360001641069</v>
      </c>
      <c r="I9" s="11">
        <f t="shared" si="3"/>
        <v>0</v>
      </c>
      <c r="J9" s="11">
        <f t="shared" si="4"/>
        <v>40289.497687600749</v>
      </c>
      <c r="K9" s="11">
        <f t="shared" si="5"/>
        <v>3492.4349918908806</v>
      </c>
      <c r="L9" s="11">
        <f t="shared" si="6"/>
        <v>42459.276569201262</v>
      </c>
      <c r="M9" s="11">
        <f>M8*(1+Parameters!$C$13)</f>
        <v>589.17374999999993</v>
      </c>
      <c r="N9" s="5">
        <f t="shared" si="8"/>
        <v>587.9002916581627</v>
      </c>
      <c r="O9" s="11">
        <f t="shared" si="9"/>
        <v>9288.4377441750439</v>
      </c>
      <c r="P9" s="11">
        <f t="shared" si="7"/>
        <v>8845294.8627386354</v>
      </c>
    </row>
    <row r="10" spans="1:16" x14ac:dyDescent="0.25">
      <c r="A10">
        <v>4</v>
      </c>
      <c r="B10" s="13">
        <f>Parameters!$C$7</f>
        <v>3500</v>
      </c>
      <c r="C10" s="13">
        <f>Parameters!$C$8</f>
        <v>100000</v>
      </c>
      <c r="D10" s="13">
        <f>IF(A10=20,Parameters!$C$9,0)</f>
        <v>0</v>
      </c>
      <c r="E10">
        <f t="shared" si="0"/>
        <v>0.99556888018968659</v>
      </c>
      <c r="F10">
        <f>IF($B$2="M",VLOOKUP($B$1+A9,'Mortality rates'!$B$6:$G$101,5,0),VLOOKUP($B$1+A9,'Mortality rates'!$B$6:$G$101,5,0))</f>
        <v>1.1539E-3</v>
      </c>
      <c r="G10" s="11">
        <f t="shared" si="1"/>
        <v>115.01140474502321</v>
      </c>
      <c r="H10" s="11">
        <f t="shared" si="2"/>
        <v>1701.0103127179818</v>
      </c>
      <c r="I10" s="11">
        <f t="shared" si="3"/>
        <v>0</v>
      </c>
      <c r="J10" s="11">
        <f t="shared" si="4"/>
        <v>42303.97257198079</v>
      </c>
      <c r="K10" s="11">
        <f t="shared" si="5"/>
        <v>3488.5164798299788</v>
      </c>
      <c r="L10" s="11">
        <f t="shared" si="6"/>
        <v>40915.183656175905</v>
      </c>
      <c r="M10" s="11">
        <f>M9*(1+Parameters!$C$13)</f>
        <v>609.7948312499999</v>
      </c>
      <c r="N10" s="5">
        <f t="shared" si="8"/>
        <v>607.79409089450451</v>
      </c>
      <c r="O10" s="11">
        <f t="shared" si="9"/>
        <v>9135.5643251427246</v>
      </c>
      <c r="P10" s="11">
        <f t="shared" si="7"/>
        <v>12225363.553665593</v>
      </c>
    </row>
    <row r="11" spans="1:16" x14ac:dyDescent="0.25">
      <c r="A11">
        <v>5</v>
      </c>
      <c r="B11" s="13">
        <f>Parameters!$C$7</f>
        <v>3500</v>
      </c>
      <c r="C11" s="13">
        <f>Parameters!$C$8</f>
        <v>100000</v>
      </c>
      <c r="D11" s="13">
        <f>IF(A11=20,Parameters!$C$9,0)</f>
        <v>0</v>
      </c>
      <c r="E11">
        <f t="shared" si="0"/>
        <v>0.99438723948578944</v>
      </c>
      <c r="F11">
        <f>IF($B$2="M",VLOOKUP($B$1+A10,'Mortality rates'!$B$6:$G$101,5,0),VLOOKUP($B$1+A10,'Mortality rates'!$B$6:$G$101,5,0))</f>
        <v>1.1869000000000001E-3</v>
      </c>
      <c r="G11" s="11">
        <f t="shared" si="1"/>
        <v>118.16407038971391</v>
      </c>
      <c r="H11" s="11">
        <f t="shared" si="2"/>
        <v>1671.049423608858</v>
      </c>
      <c r="I11" s="11">
        <f t="shared" si="3"/>
        <v>0</v>
      </c>
      <c r="J11" s="11">
        <f t="shared" si="4"/>
        <v>44419.171200579833</v>
      </c>
      <c r="K11" s="11">
        <f t="shared" si="5"/>
        <v>3484.4910806639032</v>
      </c>
      <c r="L11" s="11">
        <f t="shared" si="6"/>
        <v>39298.000535163221</v>
      </c>
      <c r="M11" s="11">
        <f>M10*(1+Parameters!$C$13)</f>
        <v>631.1376503437499</v>
      </c>
      <c r="N11" s="5">
        <f t="shared" si="8"/>
        <v>628.34100379827703</v>
      </c>
      <c r="O11" s="11">
        <f t="shared" si="9"/>
        <v>8954.1587459606326</v>
      </c>
      <c r="P11" s="11">
        <f t="shared" si="7"/>
        <v>15746378.834986098</v>
      </c>
    </row>
    <row r="12" spans="1:16" x14ac:dyDescent="0.25">
      <c r="A12">
        <v>6</v>
      </c>
      <c r="B12" s="13">
        <f>Parameters!$C$7</f>
        <v>3500</v>
      </c>
      <c r="C12" s="13">
        <f>Parameters!$C$8</f>
        <v>100000</v>
      </c>
      <c r="D12" s="13">
        <f>IF(A12=20,Parameters!$C$9,0)</f>
        <v>0</v>
      </c>
      <c r="E12">
        <f t="shared" si="0"/>
        <v>0.99317309266637721</v>
      </c>
      <c r="F12">
        <f>IF($B$2="M",VLOOKUP($B$1+A11,'Mortality rates'!$B$6:$G$101,5,0),VLOOKUP($B$1+A11,'Mortality rates'!$B$6:$G$101,5,0))</f>
        <v>1.2209999999999999E-3</v>
      </c>
      <c r="G12" s="11">
        <f t="shared" si="1"/>
        <v>121.41468194121487</v>
      </c>
      <c r="H12" s="11">
        <f t="shared" si="2"/>
        <v>1636.437824399587</v>
      </c>
      <c r="I12" s="11">
        <f t="shared" si="3"/>
        <v>0</v>
      </c>
      <c r="J12" s="11">
        <f t="shared" si="4"/>
        <v>46640.129760608826</v>
      </c>
      <c r="K12" s="11">
        <f t="shared" si="5"/>
        <v>3480.3553382002628</v>
      </c>
      <c r="L12" s="11">
        <f t="shared" si="6"/>
        <v>37604.184927224283</v>
      </c>
      <c r="M12" s="11">
        <f>M11*(1+Parameters!$C$13)</f>
        <v>653.2274681057811</v>
      </c>
      <c r="N12" s="5">
        <f t="shared" si="8"/>
        <v>649.56105876599929</v>
      </c>
      <c r="O12" s="11">
        <f t="shared" si="9"/>
        <v>8742.1086292704731</v>
      </c>
      <c r="P12" s="11">
        <f t="shared" si="7"/>
        <v>19414491.287054602</v>
      </c>
    </row>
    <row r="13" spans="1:16" x14ac:dyDescent="0.25">
      <c r="A13">
        <v>7</v>
      </c>
      <c r="B13" s="13">
        <f>Parameters!$C$7</f>
        <v>3500</v>
      </c>
      <c r="C13" s="13">
        <f>Parameters!$C$8</f>
        <v>100000</v>
      </c>
      <c r="D13" s="13">
        <f>IF(A13=20,Parameters!$C$9,0)</f>
        <v>0</v>
      </c>
      <c r="E13">
        <f t="shared" si="0"/>
        <v>0.99192656111777167</v>
      </c>
      <c r="F13">
        <f>IF($B$2="M",VLOOKUP($B$1+A12,'Mortality rates'!$B$6:$G$101,5,0),VLOOKUP($B$1+A12,'Mortality rates'!$B$6:$G$101,5,0))</f>
        <v>1.2550999999999999E-3</v>
      </c>
      <c r="G13" s="11">
        <f t="shared" si="1"/>
        <v>124.653154860557</v>
      </c>
      <c r="H13" s="11">
        <f t="shared" si="2"/>
        <v>1596.8450336783517</v>
      </c>
      <c r="I13" s="11">
        <f t="shared" si="3"/>
        <v>0</v>
      </c>
      <c r="J13" s="11">
        <f t="shared" si="4"/>
        <v>48972.136248639268</v>
      </c>
      <c r="K13" s="11">
        <f t="shared" si="5"/>
        <v>3476.10582433232</v>
      </c>
      <c r="L13" s="11">
        <f t="shared" si="6"/>
        <v>35830.021068475224</v>
      </c>
      <c r="M13" s="11">
        <f>M12*(1+Parameters!$C$13)</f>
        <v>676.09042948948343</v>
      </c>
      <c r="N13" s="5">
        <f t="shared" si="8"/>
        <v>671.4748227782095</v>
      </c>
      <c r="O13" s="11">
        <f t="shared" si="9"/>
        <v>8497.1749490296988</v>
      </c>
      <c r="P13" s="11">
        <f t="shared" si="7"/>
        <v>23236135.162872095</v>
      </c>
    </row>
    <row r="14" spans="1:16" x14ac:dyDescent="0.25">
      <c r="A14">
        <v>8</v>
      </c>
      <c r="B14" s="13">
        <f>Parameters!$C$7</f>
        <v>3500</v>
      </c>
      <c r="C14" s="13">
        <f>Parameters!$C$8</f>
        <v>100000</v>
      </c>
      <c r="D14" s="13">
        <f>IF(A14=20,Parameters!$C$9,0)</f>
        <v>0</v>
      </c>
      <c r="E14">
        <f t="shared" si="0"/>
        <v>0.99064558715674411</v>
      </c>
      <c r="F14">
        <f>IF($B$2="M",VLOOKUP($B$1+A13,'Mortality rates'!$B$6:$G$101,5,0),VLOOKUP($B$1+A13,'Mortality rates'!$B$6:$G$101,5,0))</f>
        <v>1.2914000000000001E-3</v>
      </c>
      <c r="G14" s="11">
        <f t="shared" si="1"/>
        <v>128.09739610274906</v>
      </c>
      <c r="H14" s="11">
        <f t="shared" si="2"/>
        <v>1552.0341305017123</v>
      </c>
      <c r="I14" s="11">
        <f t="shared" si="3"/>
        <v>0</v>
      </c>
      <c r="J14" s="11">
        <f t="shared" si="4"/>
        <v>51420.743061071233</v>
      </c>
      <c r="K14" s="11">
        <f t="shared" si="5"/>
        <v>3471.742963912201</v>
      </c>
      <c r="L14" s="11">
        <f t="shared" si="6"/>
        <v>33971.611006350053</v>
      </c>
      <c r="M14" s="11">
        <f>M13*(1+Parameters!$C$13)</f>
        <v>699.75359452161524</v>
      </c>
      <c r="N14" s="5">
        <f t="shared" si="8"/>
        <v>694.10417664362535</v>
      </c>
      <c r="O14" s="11">
        <f t="shared" si="9"/>
        <v>8216.9851325640648</v>
      </c>
      <c r="P14" s="11">
        <f t="shared" si="7"/>
        <v>27218151.317786958</v>
      </c>
    </row>
    <row r="15" spans="1:16" x14ac:dyDescent="0.25">
      <c r="A15">
        <v>9</v>
      </c>
      <c r="B15" s="13">
        <f>Parameters!$C$7</f>
        <v>3500</v>
      </c>
      <c r="C15" s="13">
        <f>Parameters!$C$8</f>
        <v>100000</v>
      </c>
      <c r="D15" s="13">
        <f>IF(A15=20,Parameters!$C$9,0)</f>
        <v>0</v>
      </c>
      <c r="E15">
        <f t="shared" si="0"/>
        <v>0.98933030701067604</v>
      </c>
      <c r="F15">
        <f>IF($B$2="M",VLOOKUP($B$1+A14,'Mortality rates'!$B$6:$G$101,5,0),VLOOKUP($B$1+A14,'Mortality rates'!$B$6:$G$101,5,0))</f>
        <v>1.3277E-3</v>
      </c>
      <c r="G15" s="11">
        <f t="shared" si="1"/>
        <v>131.52801460680092</v>
      </c>
      <c r="H15" s="11">
        <f t="shared" si="2"/>
        <v>1501.5384409240489</v>
      </c>
      <c r="I15" s="11">
        <f t="shared" si="3"/>
        <v>0</v>
      </c>
      <c r="J15" s="11">
        <f t="shared" si="4"/>
        <v>53991.780214124796</v>
      </c>
      <c r="K15" s="11">
        <f t="shared" si="5"/>
        <v>3467.2595550486044</v>
      </c>
      <c r="L15" s="11">
        <f t="shared" si="6"/>
        <v>32024.861444559745</v>
      </c>
      <c r="M15" s="11">
        <f>M14*(1+Parameters!$C$13)</f>
        <v>724.24497032987176</v>
      </c>
      <c r="N15" s="5">
        <f t="shared" si="8"/>
        <v>717.47008387775452</v>
      </c>
      <c r="O15" s="11">
        <f t="shared" si="9"/>
        <v>7899.0250037164615</v>
      </c>
      <c r="P15" s="11">
        <f t="shared" si="7"/>
        <v>31367482.214205559</v>
      </c>
    </row>
    <row r="16" spans="1:16" x14ac:dyDescent="0.25">
      <c r="A16">
        <v>10</v>
      </c>
      <c r="B16" s="13">
        <f>Parameters!$C$7</f>
        <v>3500</v>
      </c>
      <c r="C16" s="13">
        <f>Parameters!$C$8</f>
        <v>100000</v>
      </c>
      <c r="D16" s="13">
        <f>IF(A16=20,Parameters!$C$9,0)</f>
        <v>0</v>
      </c>
      <c r="E16">
        <f t="shared" si="0"/>
        <v>0.98796562478518546</v>
      </c>
      <c r="F16">
        <f>IF($B$2="M",VLOOKUP($B$1+A15,'Mortality rates'!$B$6:$G$101,5,0),VLOOKUP($B$1+A15,'Mortality rates'!$B$6:$G$101,5,0))</f>
        <v>1.3794E-3</v>
      </c>
      <c r="G16" s="11">
        <f t="shared" si="1"/>
        <v>136.46822254905265</v>
      </c>
      <c r="H16" s="11">
        <f t="shared" si="2"/>
        <v>1445.0873483634505</v>
      </c>
      <c r="I16" s="11">
        <f t="shared" si="3"/>
        <v>0</v>
      </c>
      <c r="J16" s="11">
        <f t="shared" si="4"/>
        <v>56691.36922483104</v>
      </c>
      <c r="K16" s="11">
        <f t="shared" si="5"/>
        <v>3462.6560745373663</v>
      </c>
      <c r="L16" s="11">
        <f t="shared" si="6"/>
        <v>29985.481983986698</v>
      </c>
      <c r="M16" s="11">
        <f>M15*(1+Parameters!$C$13)</f>
        <v>749.59354429141717</v>
      </c>
      <c r="N16" s="5">
        <f t="shared" si="8"/>
        <v>741.59561130704856</v>
      </c>
      <c r="O16" s="11">
        <f t="shared" si="9"/>
        <v>7540.6326658306425</v>
      </c>
      <c r="P16" s="11">
        <f t="shared" si="7"/>
        <v>35691607.25503844</v>
      </c>
    </row>
    <row r="17" spans="1:16" x14ac:dyDescent="0.25">
      <c r="A17">
        <v>11</v>
      </c>
      <c r="B17" s="13">
        <f>Parameters!$C$7</f>
        <v>3500</v>
      </c>
      <c r="C17" s="13">
        <f>Parameters!$C$8</f>
        <v>100000</v>
      </c>
      <c r="D17" s="13">
        <f>IF(A17=20,Parameters!$C$9,0)</f>
        <v>0</v>
      </c>
      <c r="E17">
        <f t="shared" si="0"/>
        <v>0.98655935451486632</v>
      </c>
      <c r="F17">
        <f>IF($B$2="M",VLOOKUP($B$1+A16,'Mortality rates'!$B$6:$G$101,5,0),VLOOKUP($B$1+A16,'Mortality rates'!$B$6:$G$101,5,0))</f>
        <v>1.4234000000000002E-3</v>
      </c>
      <c r="G17" s="11">
        <f t="shared" si="1"/>
        <v>140.62702703192332</v>
      </c>
      <c r="H17" s="11">
        <f t="shared" si="2"/>
        <v>1380.8734932325706</v>
      </c>
      <c r="I17" s="11">
        <f t="shared" si="3"/>
        <v>0</v>
      </c>
      <c r="J17" s="11">
        <f t="shared" si="4"/>
        <v>59525.937686072597</v>
      </c>
      <c r="K17" s="11">
        <f t="shared" si="5"/>
        <v>3457.8796867481492</v>
      </c>
      <c r="L17" s="11">
        <f t="shared" si="6"/>
        <v>27848.967204921802</v>
      </c>
      <c r="M17" s="11">
        <f>M16*(1+Parameters!$C$13)</f>
        <v>775.82931834161673</v>
      </c>
      <c r="N17" s="5">
        <f t="shared" si="8"/>
        <v>766.49269722203996</v>
      </c>
      <c r="O17" s="11">
        <f t="shared" si="9"/>
        <v>7138.9889072497735</v>
      </c>
      <c r="P17" s="11">
        <f t="shared" si="7"/>
        <v>40196832.881633133</v>
      </c>
    </row>
    <row r="18" spans="1:16" x14ac:dyDescent="0.25">
      <c r="A18">
        <v>12</v>
      </c>
      <c r="B18" s="13">
        <f>Parameters!$C$7</f>
        <v>3500</v>
      </c>
      <c r="C18" s="13">
        <f>Parameters!$C$8</f>
        <v>100000</v>
      </c>
      <c r="D18" s="13">
        <f>IF(A18=20,Parameters!$C$9,0)</f>
        <v>0</v>
      </c>
      <c r="E18">
        <f t="shared" si="0"/>
        <v>0.98509973994986155</v>
      </c>
      <c r="F18">
        <f>IF($B$2="M",VLOOKUP($B$1+A17,'Mortality rates'!$B$6:$G$101,5,0),VLOOKUP($B$1+A17,'Mortality rates'!$B$6:$G$101,5,0))</f>
        <v>1.4795000000000001E-3</v>
      </c>
      <c r="G18" s="11">
        <f t="shared" si="1"/>
        <v>145.9614565004745</v>
      </c>
      <c r="H18" s="11">
        <f t="shared" si="2"/>
        <v>1309.2901408622758</v>
      </c>
      <c r="I18" s="11">
        <f t="shared" si="3"/>
        <v>0</v>
      </c>
      <c r="J18" s="11">
        <f t="shared" si="4"/>
        <v>62502.234570376233</v>
      </c>
      <c r="K18" s="11">
        <f t="shared" si="5"/>
        <v>3452.9577408020323</v>
      </c>
      <c r="L18" s="11">
        <f t="shared" si="6"/>
        <v>25610.641894082335</v>
      </c>
      <c r="M18" s="11">
        <f>M17*(1+Parameters!$C$13)</f>
        <v>802.98334448357321</v>
      </c>
      <c r="N18" s="5">
        <f t="shared" si="8"/>
        <v>792.1907300199025</v>
      </c>
      <c r="O18" s="11">
        <f t="shared" si="9"/>
        <v>6691.1210205291209</v>
      </c>
      <c r="P18" s="11">
        <f t="shared" si="7"/>
        <v>44892003.837685302</v>
      </c>
    </row>
    <row r="19" spans="1:16" x14ac:dyDescent="0.25">
      <c r="A19">
        <v>13</v>
      </c>
      <c r="B19" s="13">
        <f>Parameters!$C$7</f>
        <v>3500</v>
      </c>
      <c r="C19" s="13">
        <f>Parameters!$C$8</f>
        <v>100000</v>
      </c>
      <c r="D19" s="13">
        <f>IF(A19=20,Parameters!$C$9,0)</f>
        <v>0</v>
      </c>
      <c r="E19">
        <f t="shared" si="0"/>
        <v>0.98357293386291322</v>
      </c>
      <c r="F19">
        <f>IF($B$2="M",VLOOKUP($B$1+A18,'Mortality rates'!$B$6:$G$101,5,0),VLOOKUP($B$1+A18,'Mortality rates'!$B$6:$G$101,5,0))</f>
        <v>1.5498999999999999E-3</v>
      </c>
      <c r="G19" s="11">
        <f t="shared" si="1"/>
        <v>152.68060869482903</v>
      </c>
      <c r="H19" s="11">
        <f t="shared" si="2"/>
        <v>1228.7931914049152</v>
      </c>
      <c r="I19" s="11">
        <f t="shared" si="3"/>
        <v>0</v>
      </c>
      <c r="J19" s="11">
        <f t="shared" si="4"/>
        <v>65627.346298895049</v>
      </c>
      <c r="K19" s="11">
        <f t="shared" si="5"/>
        <v>3447.8490898245154</v>
      </c>
      <c r="L19" s="11">
        <f t="shared" si="6"/>
        <v>23265.568360944319</v>
      </c>
      <c r="M19" s="11">
        <f>M18*(1+Parameters!$C$13)</f>
        <v>831.08776154049815</v>
      </c>
      <c r="N19" s="5">
        <f t="shared" si="8"/>
        <v>818.70433776905725</v>
      </c>
      <c r="O19" s="11">
        <f t="shared" si="9"/>
        <v>6193.8768050346789</v>
      </c>
      <c r="P19" s="11">
        <f t="shared" si="7"/>
        <v>49784447.934390321</v>
      </c>
    </row>
    <row r="20" spans="1:16" x14ac:dyDescent="0.25">
      <c r="A20">
        <v>14</v>
      </c>
      <c r="B20" s="13">
        <f>Parameters!$C$7</f>
        <v>3500</v>
      </c>
      <c r="C20" s="13">
        <f>Parameters!$C$8</f>
        <v>100000</v>
      </c>
      <c r="D20" s="13">
        <f>IF(A20=20,Parameters!$C$9,0)</f>
        <v>0</v>
      </c>
      <c r="E20">
        <f t="shared" si="0"/>
        <v>0.98196410361499364</v>
      </c>
      <c r="F20">
        <f>IF($B$2="M",VLOOKUP($B$1+A19,'Mortality rates'!$B$6:$G$101,5,0),VLOOKUP($B$1+A19,'Mortality rates'!$B$6:$G$101,5,0))</f>
        <v>1.6357000000000001E-3</v>
      </c>
      <c r="G20" s="11">
        <f t="shared" si="1"/>
        <v>160.88302479195673</v>
      </c>
      <c r="H20" s="11">
        <f t="shared" si="2"/>
        <v>1137.5522422803319</v>
      </c>
      <c r="I20" s="11">
        <f t="shared" si="3"/>
        <v>0</v>
      </c>
      <c r="J20" s="11">
        <f t="shared" si="4"/>
        <v>68908.713613839805</v>
      </c>
      <c r="K20" s="11">
        <f t="shared" si="5"/>
        <v>3442.5052685201963</v>
      </c>
      <c r="L20" s="11">
        <f t="shared" si="6"/>
        <v>20808.605234675797</v>
      </c>
      <c r="M20" s="11">
        <f>M19*(1+Parameters!$C$13)</f>
        <v>860.17583319441553</v>
      </c>
      <c r="N20" s="5">
        <f t="shared" si="8"/>
        <v>846.04566789300713</v>
      </c>
      <c r="O20" s="11">
        <f t="shared" si="9"/>
        <v>5643.9310906289029</v>
      </c>
      <c r="P20" s="11">
        <f t="shared" si="7"/>
        <v>54881591.712073252</v>
      </c>
    </row>
    <row r="21" spans="1:16" x14ac:dyDescent="0.25">
      <c r="A21">
        <v>15</v>
      </c>
      <c r="B21" s="13">
        <f>Parameters!$C$7</f>
        <v>3500</v>
      </c>
      <c r="C21" s="13">
        <f>Parameters!$C$8</f>
        <v>100000</v>
      </c>
      <c r="D21" s="13">
        <f>IF(A21=20,Parameters!$C$9,0)</f>
        <v>0</v>
      </c>
      <c r="E21">
        <f t="shared" si="0"/>
        <v>0.98025853016342468</v>
      </c>
      <c r="F21">
        <f>IF($B$2="M",VLOOKUP($B$1+A20,'Mortality rates'!$B$6:$G$101,5,0),VLOOKUP($B$1+A20,'Mortality rates'!$B$6:$G$101,5,0))</f>
        <v>1.7369E-3</v>
      </c>
      <c r="G21" s="11">
        <f t="shared" si="1"/>
        <v>170.55734515688823</v>
      </c>
      <c r="H21" s="11">
        <f t="shared" si="2"/>
        <v>1033.5468296023919</v>
      </c>
      <c r="I21" s="11">
        <f t="shared" si="3"/>
        <v>0</v>
      </c>
      <c r="J21" s="11">
        <f t="shared" si="4"/>
        <v>72354.149294531802</v>
      </c>
      <c r="K21" s="11">
        <f t="shared" si="5"/>
        <v>3436.8743626524779</v>
      </c>
      <c r="L21" s="11">
        <f t="shared" si="6"/>
        <v>18234.404964463381</v>
      </c>
      <c r="M21" s="11">
        <f>M20*(1+Parameters!$C$13)</f>
        <v>890.28198735622004</v>
      </c>
      <c r="N21" s="5">
        <f t="shared" si="8"/>
        <v>874.22495367882573</v>
      </c>
      <c r="O21" s="11">
        <f t="shared" si="9"/>
        <v>5037.7796938726915</v>
      </c>
      <c r="P21" s="11">
        <f t="shared" si="7"/>
        <v>60191070.853543513</v>
      </c>
    </row>
    <row r="22" spans="1:16" x14ac:dyDescent="0.25">
      <c r="A22">
        <v>16</v>
      </c>
      <c r="B22" s="13">
        <f>Parameters!$C$7</f>
        <v>3500</v>
      </c>
      <c r="C22" s="13">
        <f>Parameters!$C$8</f>
        <v>100000</v>
      </c>
      <c r="D22" s="13">
        <f>IF(A22=20,Parameters!$C$9,0)</f>
        <v>0</v>
      </c>
      <c r="E22">
        <f t="shared" si="0"/>
        <v>0.9784383861246172</v>
      </c>
      <c r="F22">
        <f>IF($B$2="M",VLOOKUP($B$1+A21,'Mortality rates'!$B$6:$G$101,5,0),VLOOKUP($B$1+A21,'Mortality rates'!$B$6:$G$101,5,0))</f>
        <v>1.8568000000000002E-3</v>
      </c>
      <c r="G22" s="11">
        <f t="shared" si="1"/>
        <v>182.01440388074474</v>
      </c>
      <c r="H22" s="11">
        <f t="shared" si="2"/>
        <v>914.66682592562324</v>
      </c>
      <c r="I22" s="11">
        <f t="shared" si="3"/>
        <v>0</v>
      </c>
      <c r="J22" s="11">
        <f t="shared" si="4"/>
        <v>75971.8567592584</v>
      </c>
      <c r="K22" s="11">
        <f t="shared" si="5"/>
        <v>3430.9048555719864</v>
      </c>
      <c r="L22" s="11">
        <f t="shared" si="6"/>
        <v>15537.407131901447</v>
      </c>
      <c r="M22" s="11">
        <f>M21*(1+Parameters!$C$13)</f>
        <v>921.44185691368773</v>
      </c>
      <c r="N22" s="5">
        <f t="shared" si="8"/>
        <v>903.25124028926825</v>
      </c>
      <c r="O22" s="11">
        <f t="shared" si="9"/>
        <v>4371.732477203559</v>
      </c>
      <c r="P22" s="11">
        <f t="shared" si="7"/>
        <v>65720848.930486143</v>
      </c>
    </row>
    <row r="23" spans="1:16" x14ac:dyDescent="0.25">
      <c r="A23">
        <v>17</v>
      </c>
      <c r="B23" s="13">
        <f>Parameters!$C$7</f>
        <v>3500</v>
      </c>
      <c r="C23" s="13">
        <f>Parameters!$C$8</f>
        <v>100000</v>
      </c>
      <c r="D23" s="13">
        <f>IF(A23=20,Parameters!$C$9,0)</f>
        <v>0</v>
      </c>
      <c r="E23">
        <f t="shared" si="0"/>
        <v>0.97648601016894421</v>
      </c>
      <c r="F23">
        <f>IF($B$2="M",VLOOKUP($B$1+A22,'Mortality rates'!$B$6:$G$101,5,0),VLOOKUP($B$1+A22,'Mortality rates'!$B$6:$G$101,5,0))</f>
        <v>1.9954E-3</v>
      </c>
      <c r="G23" s="11">
        <f t="shared" si="1"/>
        <v>195.2375955673061</v>
      </c>
      <c r="H23" s="11">
        <f t="shared" si="2"/>
        <v>778.38576334115976</v>
      </c>
      <c r="I23" s="11">
        <f t="shared" si="3"/>
        <v>0</v>
      </c>
      <c r="J23" s="11">
        <f t="shared" si="4"/>
        <v>79770.449597221319</v>
      </c>
      <c r="K23" s="11">
        <f t="shared" si="5"/>
        <v>3424.5343514361603</v>
      </c>
      <c r="L23" s="11">
        <f t="shared" si="6"/>
        <v>12711.827390145936</v>
      </c>
      <c r="M23" s="11">
        <f>M22*(1+Parameters!$C$13)</f>
        <v>953.69232190566674</v>
      </c>
      <c r="N23" s="5">
        <f t="shared" si="8"/>
        <v>933.12917630481945</v>
      </c>
      <c r="O23" s="11">
        <f t="shared" si="9"/>
        <v>3641.9052987600057</v>
      </c>
      <c r="P23" s="11">
        <f t="shared" si="7"/>
        <v>71478913.269176543</v>
      </c>
    </row>
    <row r="24" spans="1:16" x14ac:dyDescent="0.25">
      <c r="A24">
        <v>18</v>
      </c>
      <c r="B24" s="13">
        <f>Parameters!$C$7</f>
        <v>3500</v>
      </c>
      <c r="C24" s="13">
        <f>Parameters!$C$8</f>
        <v>100000</v>
      </c>
      <c r="D24" s="13">
        <f>IF(A24=20,Parameters!$C$9,0)</f>
        <v>0</v>
      </c>
      <c r="E24">
        <f t="shared" si="0"/>
        <v>0.97437963219640877</v>
      </c>
      <c r="F24">
        <f>IF($B$2="M",VLOOKUP($B$1+A23,'Mortality rates'!$B$6:$G$101,5,0),VLOOKUP($B$1+A23,'Mortality rates'!$B$6:$G$101,5,0))</f>
        <v>2.1571000000000003E-3</v>
      </c>
      <c r="G24" s="11">
        <f t="shared" si="1"/>
        <v>210.637797253543</v>
      </c>
      <c r="H24" s="11">
        <f t="shared" si="2"/>
        <v>622.0674559409116</v>
      </c>
      <c r="I24" s="11">
        <f t="shared" si="3"/>
        <v>0</v>
      </c>
      <c r="J24" s="11">
        <f t="shared" si="4"/>
        <v>83758.972077082391</v>
      </c>
      <c r="K24" s="11">
        <f t="shared" si="5"/>
        <v>3417.7010355913048</v>
      </c>
      <c r="L24" s="11">
        <f t="shared" si="6"/>
        <v>9751.6576906452647</v>
      </c>
      <c r="M24" s="11">
        <f>M23*(1+Parameters!$C$13)</f>
        <v>987.07155317236504</v>
      </c>
      <c r="N24" s="5">
        <f t="shared" si="8"/>
        <v>963.86156270854565</v>
      </c>
      <c r="O24" s="11">
        <f t="shared" si="9"/>
        <v>2844.214928577946</v>
      </c>
      <c r="P24" s="11">
        <f t="shared" si="7"/>
        <v>77473596.77095598</v>
      </c>
    </row>
    <row r="25" spans="1:16" x14ac:dyDescent="0.25">
      <c r="A25">
        <v>19</v>
      </c>
      <c r="B25" s="13">
        <f>Parameters!$C$7</f>
        <v>3500</v>
      </c>
      <c r="C25" s="13">
        <f>Parameters!$C$8</f>
        <v>100000</v>
      </c>
      <c r="D25" s="13">
        <f>IF(A25=20,Parameters!$C$9,0)</f>
        <v>0</v>
      </c>
      <c r="E25">
        <f t="shared" si="0"/>
        <v>0.97209773253576803</v>
      </c>
      <c r="F25">
        <f>IF($B$2="M",VLOOKUP($B$1+A24,'Mortality rates'!$B$6:$G$101,5,0),VLOOKUP($B$1+A24,'Mortality rates'!$B$6:$G$101,5,0))</f>
        <v>2.3419000000000001E-3</v>
      </c>
      <c r="G25" s="11">
        <f t="shared" si="1"/>
        <v>228.18996606407697</v>
      </c>
      <c r="H25" s="11">
        <f>(G25+H26)/(1+$H$3)</f>
        <v>442.53303148441421</v>
      </c>
      <c r="I25" s="11">
        <f t="shared" si="3"/>
        <v>0</v>
      </c>
      <c r="J25" s="11">
        <f t="shared" si="4"/>
        <v>87946.920680936513</v>
      </c>
      <c r="K25" s="11">
        <f t="shared" si="5"/>
        <v>3410.3287126874307</v>
      </c>
      <c r="L25" s="11">
        <f>K25+L26/(1+$H$3)</f>
        <v>6650.6544878066579</v>
      </c>
      <c r="M25" s="11">
        <f>M24*(1+Parameters!$C$13)</f>
        <v>1021.6190575333977</v>
      </c>
      <c r="N25" s="5">
        <f t="shared" si="8"/>
        <v>995.44480152423387</v>
      </c>
      <c r="O25" s="11">
        <f t="shared" si="9"/>
        <v>1974.3710341628703</v>
      </c>
      <c r="P25" s="11">
        <f t="shared" si="7"/>
        <v>83713170.258777142</v>
      </c>
    </row>
    <row r="26" spans="1:16" x14ac:dyDescent="0.25">
      <c r="A26">
        <v>20</v>
      </c>
      <c r="B26" s="13">
        <f>Parameters!$C$7</f>
        <v>3500</v>
      </c>
      <c r="C26" s="13">
        <f>Parameters!$C$8</f>
        <v>100000</v>
      </c>
      <c r="D26" s="13">
        <f>IF(A26=20,Parameters!$C$9,0)</f>
        <v>100000</v>
      </c>
      <c r="E26">
        <f t="shared" si="0"/>
        <v>0.96961480050732518</v>
      </c>
      <c r="F26">
        <f>IF($B$2="M",VLOOKUP($B$1+A25,'Mortality rates'!$B$6:$G$101,5,0),VLOOKUP($B$1+A25,'Mortality rates'!$B$6:$G$101,5,0))</f>
        <v>2.5542E-3</v>
      </c>
      <c r="G26" s="11">
        <f t="shared" si="1"/>
        <v>248.29320284428587</v>
      </c>
      <c r="H26" s="11">
        <f>(G26+H27)/(1+$H$3)</f>
        <v>236.46971699455796</v>
      </c>
      <c r="I26" s="11">
        <f t="shared" si="3"/>
        <v>96961.480050732513</v>
      </c>
      <c r="J26" s="11">
        <f t="shared" ref="J26" si="10">I26/(1+$H$3)</f>
        <v>92344.266714983343</v>
      </c>
      <c r="K26" s="11">
        <f t="shared" si="5"/>
        <v>3402.3420638751882</v>
      </c>
      <c r="L26" s="11">
        <f>K26+L27/(1+$H$3)</f>
        <v>3402.3420638751882</v>
      </c>
      <c r="M26" s="11">
        <f>M25*(1+Parameters!$C$13)</f>
        <v>1057.3757245470665</v>
      </c>
      <c r="N26" s="5">
        <f t="shared" si="8"/>
        <v>1027.8725442705681</v>
      </c>
      <c r="O26" s="11">
        <f t="shared" si="9"/>
        <v>1027.8725442705681</v>
      </c>
      <c r="P26" s="11">
        <f t="shared" si="7"/>
        <v>90206266.912373275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Examiner Report</vt:lpstr>
      <vt:lpstr>Summary_Sol</vt:lpstr>
      <vt:lpstr>Parameters</vt:lpstr>
      <vt:lpstr>Mortality rates</vt:lpstr>
      <vt:lpstr>Assumptions</vt:lpstr>
      <vt:lpstr>Calculation_Old Regime</vt:lpstr>
      <vt:lpstr>Calculation_New Regime</vt:lpstr>
      <vt:lpstr>Calculation_Scenario 1</vt:lpstr>
      <vt:lpstr>Calculation_Scenario 2</vt:lpstr>
      <vt:lpstr>Summary</vt:lpstr>
      <vt:lpstr>Calculation_Remove Flooring</vt:lpstr>
      <vt:lpstr>Calculation_New Discount</vt:lpstr>
      <vt:lpstr>Calculation_Replace MAD with RA</vt:lpstr>
      <vt:lpstr>Calculation_70% Attributable</vt:lpstr>
      <vt:lpstr>Calculation_Discount_LP_1%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Arora1</dc:creator>
  <cp:lastModifiedBy>S Rokade</cp:lastModifiedBy>
  <dcterms:created xsi:type="dcterms:W3CDTF">2015-06-05T18:17:20Z</dcterms:created>
  <dcterms:modified xsi:type="dcterms:W3CDTF">2022-10-20T08:27:38Z</dcterms:modified>
</cp:coreProperties>
</file>