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tuarial Examination\Year 2022_July Exam\Note\Solutions\To be send to IT\"/>
    </mc:Choice>
  </mc:AlternateContent>
  <bookViews>
    <workbookView xWindow="-105" yWindow="-105" windowWidth="19425" windowHeight="10425" tabRatio="827"/>
  </bookViews>
  <sheets>
    <sheet name="Q.1 (i)" sheetId="16" r:id="rId1"/>
    <sheet name="Q.1 (ii)" sheetId="18" r:id="rId2"/>
    <sheet name="Q.1 (iii)" sheetId="19" r:id="rId3"/>
    <sheet name="Q.1 (iv)" sheetId="5" r:id="rId4"/>
    <sheet name="Q.2-Data" sheetId="6" r:id="rId5"/>
    <sheet name="Q.2 (i)" sheetId="21" r:id="rId6"/>
    <sheet name="Q.2 (ii)" sheetId="24" r:id="rId7"/>
    <sheet name="Q.2 (iii)" sheetId="25" r:id="rId8"/>
    <sheet name="Q.2 (iv)" sheetId="23" r:id="rId9"/>
    <sheet name="Q.2 (v)" sheetId="11" r:id="rId10"/>
    <sheet name="Q.2 (vi)" sheetId="12" r:id="rId11"/>
    <sheet name="Q.3-Data" sheetId="1" r:id="rId12"/>
    <sheet name="Q.3 (i)" sheetId="13" r:id="rId13"/>
    <sheet name="Q.3 (ii)" sheetId="14" r:id="rId14"/>
    <sheet name="Q.3 (iii)" sheetId="26" r:id="rId15"/>
  </sheets>
  <externalReferences>
    <externalReference r:id="rId1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1" i="26" l="1"/>
  <c r="J130" i="26"/>
  <c r="J129" i="26"/>
  <c r="J128" i="26"/>
  <c r="J127" i="26"/>
  <c r="J126" i="26"/>
  <c r="J125" i="26"/>
  <c r="J124" i="26"/>
  <c r="J123" i="26"/>
  <c r="J122" i="26"/>
  <c r="J121" i="26"/>
  <c r="J120" i="26"/>
  <c r="J119" i="26"/>
  <c r="J118" i="26"/>
  <c r="J117" i="26"/>
  <c r="J116" i="26"/>
  <c r="J115" i="26"/>
  <c r="J114" i="26"/>
  <c r="J113" i="26"/>
  <c r="J112" i="26"/>
  <c r="J111" i="26"/>
  <c r="J110" i="26"/>
  <c r="J109" i="26"/>
  <c r="J108" i="26"/>
  <c r="J107" i="26"/>
  <c r="J106" i="26"/>
  <c r="J105" i="26"/>
  <c r="J104" i="26"/>
  <c r="J103" i="26"/>
  <c r="J102" i="26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J41" i="26"/>
  <c r="J40" i="26"/>
  <c r="J39" i="26"/>
  <c r="J38" i="26"/>
  <c r="J37" i="26"/>
  <c r="J36" i="26"/>
  <c r="J35" i="26"/>
  <c r="J34" i="26"/>
  <c r="J33" i="26"/>
  <c r="J32" i="26"/>
  <c r="J31" i="26"/>
  <c r="J30" i="26"/>
  <c r="J29" i="26"/>
  <c r="J28" i="26"/>
  <c r="J27" i="26"/>
  <c r="J26" i="26"/>
  <c r="J25" i="26"/>
  <c r="J24" i="26"/>
  <c r="J23" i="26"/>
  <c r="J22" i="26"/>
  <c r="J21" i="26"/>
  <c r="J20" i="26"/>
  <c r="J19" i="26"/>
  <c r="J18" i="26"/>
  <c r="J17" i="26"/>
  <c r="J16" i="26"/>
  <c r="J15" i="26"/>
  <c r="J14" i="26"/>
  <c r="J13" i="26"/>
  <c r="J12" i="26"/>
  <c r="I131" i="26"/>
  <c r="I130" i="26"/>
  <c r="I129" i="26"/>
  <c r="I128" i="26"/>
  <c r="I127" i="26"/>
  <c r="I126" i="26"/>
  <c r="I125" i="26"/>
  <c r="I124" i="26"/>
  <c r="I123" i="26"/>
  <c r="I122" i="26"/>
  <c r="I121" i="26"/>
  <c r="I120" i="26"/>
  <c r="I119" i="26"/>
  <c r="I118" i="26"/>
  <c r="I117" i="26"/>
  <c r="I116" i="26"/>
  <c r="I115" i="26"/>
  <c r="I114" i="26"/>
  <c r="I113" i="26"/>
  <c r="I112" i="26"/>
  <c r="I111" i="26"/>
  <c r="I110" i="26"/>
  <c r="I109" i="26"/>
  <c r="I108" i="26"/>
  <c r="I107" i="26"/>
  <c r="I106" i="26"/>
  <c r="I105" i="26"/>
  <c r="I104" i="26"/>
  <c r="I103" i="26"/>
  <c r="I102" i="26"/>
  <c r="I101" i="26"/>
  <c r="I100" i="26"/>
  <c r="I99" i="26"/>
  <c r="I98" i="26"/>
  <c r="I97" i="26"/>
  <c r="I96" i="26"/>
  <c r="I95" i="26"/>
  <c r="I94" i="26"/>
  <c r="I93" i="26"/>
  <c r="I92" i="26"/>
  <c r="I91" i="26"/>
  <c r="I90" i="26"/>
  <c r="I89" i="26"/>
  <c r="I88" i="26"/>
  <c r="I87" i="26"/>
  <c r="I86" i="26"/>
  <c r="I85" i="26"/>
  <c r="I84" i="26"/>
  <c r="I83" i="26"/>
  <c r="I82" i="26"/>
  <c r="I81" i="26"/>
  <c r="I80" i="26"/>
  <c r="I79" i="26"/>
  <c r="I78" i="26"/>
  <c r="I77" i="26"/>
  <c r="I76" i="26"/>
  <c r="I75" i="26"/>
  <c r="I74" i="26"/>
  <c r="I73" i="26"/>
  <c r="I72" i="26"/>
  <c r="I71" i="26"/>
  <c r="I70" i="26"/>
  <c r="I69" i="26"/>
  <c r="I68" i="26"/>
  <c r="I67" i="26"/>
  <c r="I66" i="26"/>
  <c r="I65" i="26"/>
  <c r="I64" i="26"/>
  <c r="I63" i="26"/>
  <c r="I62" i="26"/>
  <c r="I61" i="26"/>
  <c r="I60" i="26"/>
  <c r="I59" i="26"/>
  <c r="I58" i="26"/>
  <c r="I57" i="26"/>
  <c r="I56" i="26"/>
  <c r="I55" i="26"/>
  <c r="I54" i="26"/>
  <c r="I53" i="26"/>
  <c r="I52" i="26"/>
  <c r="I51" i="26"/>
  <c r="I50" i="26"/>
  <c r="I49" i="26"/>
  <c r="I48" i="26"/>
  <c r="I47" i="26"/>
  <c r="I46" i="26"/>
  <c r="I45" i="26"/>
  <c r="I44" i="26"/>
  <c r="I43" i="26"/>
  <c r="I42" i="26"/>
  <c r="I41" i="26"/>
  <c r="I40" i="26"/>
  <c r="I39" i="26"/>
  <c r="I38" i="26"/>
  <c r="I37" i="26"/>
  <c r="I36" i="26"/>
  <c r="I35" i="26"/>
  <c r="I34" i="26"/>
  <c r="I33" i="26"/>
  <c r="I32" i="26"/>
  <c r="I31" i="26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H131" i="26"/>
  <c r="H130" i="26"/>
  <c r="H129" i="26"/>
  <c r="H128" i="26"/>
  <c r="H127" i="26"/>
  <c r="H126" i="26"/>
  <c r="H125" i="26"/>
  <c r="H124" i="26"/>
  <c r="H123" i="26"/>
  <c r="H122" i="26"/>
  <c r="H121" i="26"/>
  <c r="H120" i="26"/>
  <c r="H119" i="26"/>
  <c r="H118" i="26"/>
  <c r="H117" i="26"/>
  <c r="H116" i="26"/>
  <c r="H115" i="26"/>
  <c r="H114" i="26"/>
  <c r="H113" i="26"/>
  <c r="H112" i="26"/>
  <c r="H111" i="26"/>
  <c r="H110" i="26"/>
  <c r="H109" i="26"/>
  <c r="H108" i="26"/>
  <c r="H107" i="26"/>
  <c r="H106" i="26"/>
  <c r="H105" i="26"/>
  <c r="H104" i="26"/>
  <c r="H103" i="26"/>
  <c r="H102" i="26"/>
  <c r="H101" i="26"/>
  <c r="H100" i="26"/>
  <c r="H99" i="26"/>
  <c r="H98" i="26"/>
  <c r="H97" i="26"/>
  <c r="H96" i="26"/>
  <c r="H95" i="26"/>
  <c r="H94" i="26"/>
  <c r="H93" i="26"/>
  <c r="H92" i="26"/>
  <c r="H91" i="26"/>
  <c r="H90" i="26"/>
  <c r="H89" i="26"/>
  <c r="H88" i="26"/>
  <c r="H87" i="26"/>
  <c r="H86" i="26"/>
  <c r="H85" i="26"/>
  <c r="H84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C4" i="26"/>
  <c r="G131" i="26" s="1"/>
  <c r="C3" i="26"/>
  <c r="A131" i="26"/>
  <c r="D131" i="26" s="1"/>
  <c r="E131" i="26" s="1"/>
  <c r="A130" i="26"/>
  <c r="D130" i="26" s="1"/>
  <c r="E130" i="26" s="1"/>
  <c r="A129" i="26"/>
  <c r="D129" i="26" s="1"/>
  <c r="E129" i="26" s="1"/>
  <c r="A128" i="26"/>
  <c r="D128" i="26" s="1"/>
  <c r="E128" i="26" s="1"/>
  <c r="A127" i="26"/>
  <c r="D127" i="26" s="1"/>
  <c r="E127" i="26" s="1"/>
  <c r="A126" i="26"/>
  <c r="D126" i="26" s="1"/>
  <c r="E126" i="26" s="1"/>
  <c r="A125" i="26"/>
  <c r="D125" i="26" s="1"/>
  <c r="E125" i="26" s="1"/>
  <c r="A124" i="26"/>
  <c r="D124" i="26" s="1"/>
  <c r="E124" i="26" s="1"/>
  <c r="A123" i="26"/>
  <c r="D123" i="26" s="1"/>
  <c r="E123" i="26" s="1"/>
  <c r="A122" i="26"/>
  <c r="D122" i="26" s="1"/>
  <c r="E122" i="26" s="1"/>
  <c r="A121" i="26"/>
  <c r="D121" i="26" s="1"/>
  <c r="E121" i="26" s="1"/>
  <c r="A120" i="26"/>
  <c r="D120" i="26" s="1"/>
  <c r="E120" i="26" s="1"/>
  <c r="A119" i="26"/>
  <c r="D119" i="26" s="1"/>
  <c r="E119" i="26" s="1"/>
  <c r="A118" i="26"/>
  <c r="D118" i="26" s="1"/>
  <c r="E118" i="26" s="1"/>
  <c r="A117" i="26"/>
  <c r="D117" i="26" s="1"/>
  <c r="E117" i="26" s="1"/>
  <c r="A116" i="26"/>
  <c r="D116" i="26" s="1"/>
  <c r="E116" i="26" s="1"/>
  <c r="A115" i="26"/>
  <c r="D115" i="26" s="1"/>
  <c r="E115" i="26" s="1"/>
  <c r="A114" i="26"/>
  <c r="D114" i="26" s="1"/>
  <c r="E114" i="26" s="1"/>
  <c r="A113" i="26"/>
  <c r="D113" i="26" s="1"/>
  <c r="E113" i="26" s="1"/>
  <c r="A112" i="26"/>
  <c r="D112" i="26" s="1"/>
  <c r="E112" i="26" s="1"/>
  <c r="A111" i="26"/>
  <c r="D111" i="26" s="1"/>
  <c r="E111" i="26" s="1"/>
  <c r="A110" i="26"/>
  <c r="D110" i="26" s="1"/>
  <c r="E110" i="26" s="1"/>
  <c r="A109" i="26"/>
  <c r="D109" i="26" s="1"/>
  <c r="E109" i="26" s="1"/>
  <c r="A108" i="26"/>
  <c r="D108" i="26" s="1"/>
  <c r="E108" i="26" s="1"/>
  <c r="A107" i="26"/>
  <c r="D107" i="26" s="1"/>
  <c r="E107" i="26" s="1"/>
  <c r="A106" i="26"/>
  <c r="D106" i="26" s="1"/>
  <c r="E106" i="26" s="1"/>
  <c r="A105" i="26"/>
  <c r="D105" i="26" s="1"/>
  <c r="E105" i="26" s="1"/>
  <c r="A104" i="26"/>
  <c r="D104" i="26" s="1"/>
  <c r="E104" i="26" s="1"/>
  <c r="A103" i="26"/>
  <c r="D103" i="26" s="1"/>
  <c r="E103" i="26" s="1"/>
  <c r="A102" i="26"/>
  <c r="D102" i="26" s="1"/>
  <c r="E102" i="26" s="1"/>
  <c r="A101" i="26"/>
  <c r="D101" i="26" s="1"/>
  <c r="E101" i="26" s="1"/>
  <c r="A100" i="26"/>
  <c r="D100" i="26" s="1"/>
  <c r="E100" i="26" s="1"/>
  <c r="A99" i="26"/>
  <c r="D99" i="26" s="1"/>
  <c r="E99" i="26" s="1"/>
  <c r="A98" i="26"/>
  <c r="D98" i="26" s="1"/>
  <c r="E98" i="26" s="1"/>
  <c r="A97" i="26"/>
  <c r="D97" i="26" s="1"/>
  <c r="E97" i="26" s="1"/>
  <c r="A96" i="26"/>
  <c r="D96" i="26" s="1"/>
  <c r="E96" i="26" s="1"/>
  <c r="A95" i="26"/>
  <c r="D95" i="26" s="1"/>
  <c r="E95" i="26" s="1"/>
  <c r="A94" i="26"/>
  <c r="D94" i="26" s="1"/>
  <c r="E94" i="26" s="1"/>
  <c r="A93" i="26"/>
  <c r="D93" i="26" s="1"/>
  <c r="E93" i="26" s="1"/>
  <c r="A92" i="26"/>
  <c r="D92" i="26" s="1"/>
  <c r="E92" i="26" s="1"/>
  <c r="A91" i="26"/>
  <c r="D91" i="26" s="1"/>
  <c r="E91" i="26" s="1"/>
  <c r="A90" i="26"/>
  <c r="D90" i="26" s="1"/>
  <c r="E90" i="26" s="1"/>
  <c r="A89" i="26"/>
  <c r="D89" i="26" s="1"/>
  <c r="E89" i="26" s="1"/>
  <c r="A88" i="26"/>
  <c r="D88" i="26" s="1"/>
  <c r="E88" i="26" s="1"/>
  <c r="A87" i="26"/>
  <c r="D87" i="26" s="1"/>
  <c r="E87" i="26" s="1"/>
  <c r="A86" i="26"/>
  <c r="D86" i="26" s="1"/>
  <c r="E86" i="26" s="1"/>
  <c r="A85" i="26"/>
  <c r="D85" i="26" s="1"/>
  <c r="E85" i="26" s="1"/>
  <c r="A84" i="26"/>
  <c r="D84" i="26" s="1"/>
  <c r="E84" i="26" s="1"/>
  <c r="A83" i="26"/>
  <c r="D83" i="26" s="1"/>
  <c r="E83" i="26" s="1"/>
  <c r="A82" i="26"/>
  <c r="D82" i="26" s="1"/>
  <c r="E82" i="26" s="1"/>
  <c r="A81" i="26"/>
  <c r="D81" i="26" s="1"/>
  <c r="E81" i="26" s="1"/>
  <c r="A80" i="26"/>
  <c r="D80" i="26" s="1"/>
  <c r="E80" i="26" s="1"/>
  <c r="A79" i="26"/>
  <c r="D79" i="26" s="1"/>
  <c r="E79" i="26" s="1"/>
  <c r="A78" i="26"/>
  <c r="D78" i="26" s="1"/>
  <c r="E78" i="26" s="1"/>
  <c r="A77" i="26"/>
  <c r="D77" i="26" s="1"/>
  <c r="E77" i="26" s="1"/>
  <c r="A76" i="26"/>
  <c r="D76" i="26" s="1"/>
  <c r="E76" i="26" s="1"/>
  <c r="A75" i="26"/>
  <c r="D75" i="26" s="1"/>
  <c r="E75" i="26" s="1"/>
  <c r="A74" i="26"/>
  <c r="D74" i="26" s="1"/>
  <c r="E74" i="26" s="1"/>
  <c r="A73" i="26"/>
  <c r="D73" i="26" s="1"/>
  <c r="E73" i="26" s="1"/>
  <c r="A72" i="26"/>
  <c r="D72" i="26" s="1"/>
  <c r="E72" i="26" s="1"/>
  <c r="A71" i="26"/>
  <c r="D71" i="26" s="1"/>
  <c r="E71" i="26" s="1"/>
  <c r="A70" i="26"/>
  <c r="D70" i="26" s="1"/>
  <c r="E70" i="26" s="1"/>
  <c r="A69" i="26"/>
  <c r="D69" i="26" s="1"/>
  <c r="E69" i="26" s="1"/>
  <c r="A68" i="26"/>
  <c r="D68" i="26" s="1"/>
  <c r="E68" i="26" s="1"/>
  <c r="A67" i="26"/>
  <c r="D67" i="26" s="1"/>
  <c r="E67" i="26" s="1"/>
  <c r="A66" i="26"/>
  <c r="D66" i="26" s="1"/>
  <c r="E66" i="26" s="1"/>
  <c r="A65" i="26"/>
  <c r="D65" i="26" s="1"/>
  <c r="E65" i="26" s="1"/>
  <c r="A64" i="26"/>
  <c r="D64" i="26" s="1"/>
  <c r="E64" i="26" s="1"/>
  <c r="A63" i="26"/>
  <c r="D63" i="26" s="1"/>
  <c r="E63" i="26" s="1"/>
  <c r="A62" i="26"/>
  <c r="D62" i="26" s="1"/>
  <c r="E62" i="26" s="1"/>
  <c r="A61" i="26"/>
  <c r="D61" i="26" s="1"/>
  <c r="E61" i="26" s="1"/>
  <c r="A60" i="26"/>
  <c r="D60" i="26" s="1"/>
  <c r="E60" i="26" s="1"/>
  <c r="A59" i="26"/>
  <c r="D59" i="26" s="1"/>
  <c r="E59" i="26" s="1"/>
  <c r="A58" i="26"/>
  <c r="D58" i="26" s="1"/>
  <c r="E58" i="26" s="1"/>
  <c r="A57" i="26"/>
  <c r="D57" i="26" s="1"/>
  <c r="E57" i="26" s="1"/>
  <c r="A56" i="26"/>
  <c r="D56" i="26" s="1"/>
  <c r="E56" i="26" s="1"/>
  <c r="A55" i="26"/>
  <c r="D55" i="26" s="1"/>
  <c r="E55" i="26" s="1"/>
  <c r="A54" i="26"/>
  <c r="D54" i="26" s="1"/>
  <c r="E54" i="26" s="1"/>
  <c r="A53" i="26"/>
  <c r="D53" i="26" s="1"/>
  <c r="E53" i="26" s="1"/>
  <c r="A52" i="26"/>
  <c r="D52" i="26" s="1"/>
  <c r="E52" i="26" s="1"/>
  <c r="A51" i="26"/>
  <c r="D51" i="26" s="1"/>
  <c r="E51" i="26" s="1"/>
  <c r="A50" i="26"/>
  <c r="D50" i="26" s="1"/>
  <c r="E50" i="26" s="1"/>
  <c r="A49" i="26"/>
  <c r="D49" i="26" s="1"/>
  <c r="E49" i="26" s="1"/>
  <c r="A48" i="26"/>
  <c r="D48" i="26" s="1"/>
  <c r="E48" i="26" s="1"/>
  <c r="A47" i="26"/>
  <c r="D47" i="26" s="1"/>
  <c r="E47" i="26" s="1"/>
  <c r="A46" i="26"/>
  <c r="D46" i="26" s="1"/>
  <c r="E46" i="26" s="1"/>
  <c r="A45" i="26"/>
  <c r="D45" i="26" s="1"/>
  <c r="E45" i="26" s="1"/>
  <c r="A44" i="26"/>
  <c r="D44" i="26" s="1"/>
  <c r="E44" i="26" s="1"/>
  <c r="A43" i="26"/>
  <c r="D43" i="26" s="1"/>
  <c r="E43" i="26" s="1"/>
  <c r="A42" i="26"/>
  <c r="D42" i="26" s="1"/>
  <c r="E42" i="26" s="1"/>
  <c r="A41" i="26"/>
  <c r="D41" i="26" s="1"/>
  <c r="E41" i="26" s="1"/>
  <c r="A40" i="26"/>
  <c r="D40" i="26" s="1"/>
  <c r="E40" i="26" s="1"/>
  <c r="A39" i="26"/>
  <c r="D39" i="26" s="1"/>
  <c r="E39" i="26" s="1"/>
  <c r="A38" i="26"/>
  <c r="D38" i="26" s="1"/>
  <c r="E38" i="26" s="1"/>
  <c r="A37" i="26"/>
  <c r="D37" i="26" s="1"/>
  <c r="E37" i="26" s="1"/>
  <c r="A36" i="26"/>
  <c r="D36" i="26" s="1"/>
  <c r="E36" i="26" s="1"/>
  <c r="A35" i="26"/>
  <c r="D35" i="26" s="1"/>
  <c r="E35" i="26" s="1"/>
  <c r="A34" i="26"/>
  <c r="D34" i="26" s="1"/>
  <c r="E34" i="26" s="1"/>
  <c r="A33" i="26"/>
  <c r="D33" i="26" s="1"/>
  <c r="E33" i="26" s="1"/>
  <c r="A32" i="26"/>
  <c r="D32" i="26" s="1"/>
  <c r="E32" i="26" s="1"/>
  <c r="A31" i="26"/>
  <c r="D31" i="26" s="1"/>
  <c r="E31" i="26" s="1"/>
  <c r="A30" i="26"/>
  <c r="D30" i="26" s="1"/>
  <c r="E30" i="26" s="1"/>
  <c r="A29" i="26"/>
  <c r="D29" i="26" s="1"/>
  <c r="E29" i="26" s="1"/>
  <c r="A28" i="26"/>
  <c r="D28" i="26" s="1"/>
  <c r="E28" i="26" s="1"/>
  <c r="A27" i="26"/>
  <c r="D27" i="26" s="1"/>
  <c r="E27" i="26" s="1"/>
  <c r="A26" i="26"/>
  <c r="D26" i="26" s="1"/>
  <c r="E26" i="26" s="1"/>
  <c r="A25" i="26"/>
  <c r="D25" i="26" s="1"/>
  <c r="E25" i="26" s="1"/>
  <c r="A24" i="26"/>
  <c r="D24" i="26" s="1"/>
  <c r="E24" i="26" s="1"/>
  <c r="A23" i="26"/>
  <c r="D23" i="26" s="1"/>
  <c r="E23" i="26" s="1"/>
  <c r="A22" i="26"/>
  <c r="D22" i="26" s="1"/>
  <c r="E22" i="26" s="1"/>
  <c r="A21" i="26"/>
  <c r="D21" i="26" s="1"/>
  <c r="E21" i="26" s="1"/>
  <c r="A20" i="26"/>
  <c r="D20" i="26" s="1"/>
  <c r="E20" i="26" s="1"/>
  <c r="A19" i="26"/>
  <c r="D19" i="26" s="1"/>
  <c r="E19" i="26" s="1"/>
  <c r="A18" i="26"/>
  <c r="D18" i="26" s="1"/>
  <c r="E18" i="26" s="1"/>
  <c r="A17" i="26"/>
  <c r="D17" i="26" s="1"/>
  <c r="E17" i="26" s="1"/>
  <c r="A16" i="26"/>
  <c r="D16" i="26" s="1"/>
  <c r="E16" i="26" s="1"/>
  <c r="A15" i="26"/>
  <c r="D15" i="26" s="1"/>
  <c r="E15" i="26" s="1"/>
  <c r="A14" i="26"/>
  <c r="D14" i="26" s="1"/>
  <c r="E14" i="26" s="1"/>
  <c r="A13" i="26"/>
  <c r="D13" i="26" s="1"/>
  <c r="E13" i="26" s="1"/>
  <c r="A12" i="26"/>
  <c r="D12" i="26" s="1"/>
  <c r="E12" i="26" s="1"/>
  <c r="B131" i="26"/>
  <c r="G130" i="26" s="1"/>
  <c r="G129" i="26" s="1"/>
  <c r="G128" i="26" s="1"/>
  <c r="G127" i="26" s="1"/>
  <c r="B130" i="26"/>
  <c r="B129" i="26"/>
  <c r="B128" i="26"/>
  <c r="B127" i="26"/>
  <c r="B126" i="26"/>
  <c r="B125" i="26"/>
  <c r="B124" i="26"/>
  <c r="B123" i="26"/>
  <c r="B122" i="26"/>
  <c r="B121" i="26"/>
  <c r="B120" i="26"/>
  <c r="B119" i="26"/>
  <c r="B118" i="26"/>
  <c r="B117" i="26"/>
  <c r="B116" i="26"/>
  <c r="B115" i="26"/>
  <c r="B114" i="26"/>
  <c r="B113" i="26"/>
  <c r="B112" i="26"/>
  <c r="B111" i="26"/>
  <c r="B110" i="26"/>
  <c r="B109" i="26"/>
  <c r="B108" i="26"/>
  <c r="B107" i="26"/>
  <c r="B106" i="26"/>
  <c r="B105" i="26"/>
  <c r="B104" i="26"/>
  <c r="B103" i="26"/>
  <c r="B102" i="26"/>
  <c r="B101" i="26"/>
  <c r="B100" i="26"/>
  <c r="B99" i="26"/>
  <c r="B98" i="26"/>
  <c r="B97" i="26"/>
  <c r="B96" i="26"/>
  <c r="B95" i="26"/>
  <c r="B94" i="26"/>
  <c r="B93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50" i="26"/>
  <c r="B49" i="26"/>
  <c r="B48" i="26"/>
  <c r="B47" i="26"/>
  <c r="B46" i="26"/>
  <c r="B45" i="26"/>
  <c r="B44" i="26"/>
  <c r="B43" i="26"/>
  <c r="B42" i="26"/>
  <c r="B41" i="26"/>
  <c r="B40" i="26"/>
  <c r="B39" i="26"/>
  <c r="B38" i="26"/>
  <c r="B37" i="26"/>
  <c r="B36" i="26"/>
  <c r="B35" i="26"/>
  <c r="B34" i="26"/>
  <c r="B33" i="26"/>
  <c r="B32" i="26"/>
  <c r="B31" i="26"/>
  <c r="B30" i="26"/>
  <c r="B29" i="26"/>
  <c r="B28" i="26"/>
  <c r="B27" i="26"/>
  <c r="B26" i="26"/>
  <c r="B25" i="26"/>
  <c r="B24" i="26"/>
  <c r="B23" i="26"/>
  <c r="B22" i="26"/>
  <c r="B21" i="26"/>
  <c r="B20" i="26"/>
  <c r="B19" i="26"/>
  <c r="B18" i="26"/>
  <c r="B17" i="26"/>
  <c r="B16" i="26"/>
  <c r="B15" i="26"/>
  <c r="B14" i="26"/>
  <c r="B13" i="26"/>
  <c r="B12" i="26"/>
  <c r="G126" i="26" l="1"/>
  <c r="G125" i="26" s="1"/>
  <c r="G124" i="26" s="1"/>
  <c r="G123" i="26" s="1"/>
  <c r="G122" i="26" s="1"/>
  <c r="G121" i="26" s="1"/>
  <c r="G120" i="26" s="1"/>
  <c r="G119" i="26" s="1"/>
  <c r="G118" i="26" s="1"/>
  <c r="G117" i="26" s="1"/>
  <c r="G116" i="26" s="1"/>
  <c r="G115" i="26" s="1"/>
  <c r="G114" i="26" s="1"/>
  <c r="G113" i="26" s="1"/>
  <c r="G112" i="26" s="1"/>
  <c r="G111" i="26" s="1"/>
  <c r="G110" i="26" s="1"/>
  <c r="G109" i="26" s="1"/>
  <c r="G108" i="26" s="1"/>
  <c r="G107" i="26" s="1"/>
  <c r="G106" i="26" s="1"/>
  <c r="G105" i="26" s="1"/>
  <c r="G104" i="26" s="1"/>
  <c r="G103" i="26" s="1"/>
  <c r="G102" i="26" s="1"/>
  <c r="G101" i="26" s="1"/>
  <c r="G100" i="26" s="1"/>
  <c r="G99" i="26" s="1"/>
  <c r="G98" i="26" s="1"/>
  <c r="G97" i="26" s="1"/>
  <c r="G96" i="26" s="1"/>
  <c r="G95" i="26" s="1"/>
  <c r="G94" i="26" s="1"/>
  <c r="G93" i="26" s="1"/>
  <c r="G92" i="26" s="1"/>
  <c r="G91" i="26" s="1"/>
  <c r="G90" i="26" s="1"/>
  <c r="G89" i="26" s="1"/>
  <c r="G88" i="26" s="1"/>
  <c r="G87" i="26" s="1"/>
  <c r="G86" i="26" s="1"/>
  <c r="G85" i="26" s="1"/>
  <c r="G84" i="26" s="1"/>
  <c r="G83" i="26" s="1"/>
  <c r="G82" i="26" s="1"/>
  <c r="G81" i="26" s="1"/>
  <c r="G80" i="26" s="1"/>
  <c r="G79" i="26" s="1"/>
  <c r="G78" i="26" s="1"/>
  <c r="G77" i="26" s="1"/>
  <c r="G76" i="26" s="1"/>
  <c r="G75" i="26" s="1"/>
  <c r="G74" i="26" s="1"/>
  <c r="G73" i="26" s="1"/>
  <c r="G72" i="26" s="1"/>
  <c r="G71" i="26" s="1"/>
  <c r="G70" i="26" s="1"/>
  <c r="G69" i="26" s="1"/>
  <c r="G68" i="26" s="1"/>
  <c r="G67" i="26" s="1"/>
  <c r="G66" i="26" s="1"/>
  <c r="G65" i="26" s="1"/>
  <c r="G64" i="26" s="1"/>
  <c r="G63" i="26" s="1"/>
  <c r="G62" i="26" s="1"/>
  <c r="G61" i="26" s="1"/>
  <c r="G60" i="26" s="1"/>
  <c r="G59" i="26" s="1"/>
  <c r="G58" i="26" s="1"/>
  <c r="G57" i="26" s="1"/>
  <c r="G56" i="26" s="1"/>
  <c r="G55" i="26" s="1"/>
  <c r="G54" i="26" s="1"/>
  <c r="G53" i="26" s="1"/>
  <c r="G52" i="26" s="1"/>
  <c r="G51" i="26" s="1"/>
  <c r="G50" i="26" s="1"/>
  <c r="G49" i="26" s="1"/>
  <c r="G48" i="26" s="1"/>
  <c r="G47" i="26" s="1"/>
  <c r="G46" i="26" s="1"/>
  <c r="G45" i="26" s="1"/>
  <c r="G44" i="26" s="1"/>
  <c r="G43" i="26" s="1"/>
  <c r="G42" i="26" s="1"/>
  <c r="G41" i="26" s="1"/>
  <c r="G40" i="26" s="1"/>
  <c r="G39" i="26" s="1"/>
  <c r="G38" i="26" s="1"/>
  <c r="G37" i="26" s="1"/>
  <c r="G36" i="26" s="1"/>
  <c r="G35" i="26" s="1"/>
  <c r="G34" i="26" s="1"/>
  <c r="G33" i="26" s="1"/>
  <c r="G32" i="26" s="1"/>
  <c r="G31" i="26" s="1"/>
  <c r="G30" i="26" s="1"/>
  <c r="G29" i="26" s="1"/>
  <c r="G28" i="26" s="1"/>
  <c r="G27" i="26" s="1"/>
  <c r="G26" i="26" s="1"/>
  <c r="G25" i="26" s="1"/>
  <c r="G24" i="26" s="1"/>
  <c r="G23" i="26" s="1"/>
  <c r="G22" i="26" s="1"/>
  <c r="G21" i="26" s="1"/>
  <c r="G20" i="26" s="1"/>
  <c r="G19" i="26" s="1"/>
  <c r="G18" i="26" s="1"/>
  <c r="G17" i="26" s="1"/>
  <c r="G16" i="26" s="1"/>
  <c r="G15" i="26" s="1"/>
  <c r="G14" i="26" s="1"/>
  <c r="G13" i="26" s="1"/>
  <c r="G12" i="26" s="1"/>
  <c r="B131" i="14" l="1"/>
  <c r="B130" i="14"/>
  <c r="B129" i="14"/>
  <c r="B128" i="14"/>
  <c r="B127" i="14"/>
  <c r="B126" i="14"/>
  <c r="B125" i="14"/>
  <c r="B124" i="14"/>
  <c r="B123" i="14"/>
  <c r="B122" i="14"/>
  <c r="B121" i="14"/>
  <c r="B120" i="14"/>
  <c r="B119" i="14"/>
  <c r="B118" i="14"/>
  <c r="B117" i="14"/>
  <c r="B116" i="14"/>
  <c r="B115" i="14"/>
  <c r="B114" i="14"/>
  <c r="B113" i="14"/>
  <c r="B112" i="14"/>
  <c r="B111" i="14"/>
  <c r="B110" i="14"/>
  <c r="B109" i="14"/>
  <c r="B108" i="14"/>
  <c r="B107" i="14"/>
  <c r="B106" i="14"/>
  <c r="B105" i="14"/>
  <c r="B104" i="14"/>
  <c r="B103" i="14"/>
  <c r="B102" i="14"/>
  <c r="B101" i="14"/>
  <c r="B100" i="14"/>
  <c r="B99" i="14"/>
  <c r="B98" i="14"/>
  <c r="B97" i="14"/>
  <c r="B96" i="14"/>
  <c r="B95" i="14"/>
  <c r="B94" i="14"/>
  <c r="B93" i="14"/>
  <c r="B92" i="14"/>
  <c r="B91" i="14"/>
  <c r="B90" i="14"/>
  <c r="B89" i="14"/>
  <c r="B88" i="14"/>
  <c r="B87" i="14"/>
  <c r="B86" i="14"/>
  <c r="B85" i="14"/>
  <c r="B84" i="14"/>
  <c r="B83" i="14"/>
  <c r="B82" i="14"/>
  <c r="B81" i="14"/>
  <c r="B80" i="14"/>
  <c r="B79" i="14"/>
  <c r="B78" i="14"/>
  <c r="B77" i="14"/>
  <c r="B76" i="14"/>
  <c r="B75" i="14"/>
  <c r="B74" i="14"/>
  <c r="B73" i="14"/>
  <c r="B72" i="14"/>
  <c r="B71" i="14"/>
  <c r="B70" i="14"/>
  <c r="B69" i="14"/>
  <c r="B68" i="14"/>
  <c r="B67" i="14"/>
  <c r="B66" i="14"/>
  <c r="B65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C18" i="13"/>
  <c r="P12" i="13"/>
  <c r="AH133" i="13"/>
  <c r="AB131" i="13"/>
  <c r="P131" i="13"/>
  <c r="L131" i="13"/>
  <c r="AF130" i="13"/>
  <c r="P130" i="13"/>
  <c r="L130" i="13"/>
  <c r="AB130" i="13" s="1"/>
  <c r="AF129" i="13"/>
  <c r="P129" i="13"/>
  <c r="L129" i="13"/>
  <c r="AB129" i="13" s="1"/>
  <c r="AF128" i="13"/>
  <c r="P128" i="13"/>
  <c r="L128" i="13"/>
  <c r="AB128" i="13" s="1"/>
  <c r="AF127" i="13"/>
  <c r="P127" i="13"/>
  <c r="L127" i="13"/>
  <c r="AB127" i="13" s="1"/>
  <c r="AF126" i="13"/>
  <c r="P126" i="13"/>
  <c r="L126" i="13"/>
  <c r="AB126" i="13" s="1"/>
  <c r="AF125" i="13"/>
  <c r="P125" i="13"/>
  <c r="L125" i="13"/>
  <c r="AB125" i="13" s="1"/>
  <c r="AF124" i="13"/>
  <c r="P124" i="13"/>
  <c r="L124" i="13"/>
  <c r="AB124" i="13" s="1"/>
  <c r="AF123" i="13"/>
  <c r="P123" i="13"/>
  <c r="L123" i="13"/>
  <c r="AB123" i="13" s="1"/>
  <c r="AF122" i="13"/>
  <c r="P122" i="13"/>
  <c r="L122" i="13"/>
  <c r="AB122" i="13" s="1"/>
  <c r="AF121" i="13"/>
  <c r="P121" i="13"/>
  <c r="L121" i="13"/>
  <c r="AB121" i="13" s="1"/>
  <c r="AF120" i="13"/>
  <c r="P120" i="13"/>
  <c r="L120" i="13"/>
  <c r="AB120" i="13" s="1"/>
  <c r="AF119" i="13"/>
  <c r="P119" i="13"/>
  <c r="L119" i="13"/>
  <c r="AB119" i="13" s="1"/>
  <c r="AF118" i="13"/>
  <c r="P118" i="13"/>
  <c r="L118" i="13"/>
  <c r="AB118" i="13" s="1"/>
  <c r="AF117" i="13"/>
  <c r="P117" i="13"/>
  <c r="L117" i="13"/>
  <c r="AB117" i="13" s="1"/>
  <c r="AF116" i="13"/>
  <c r="P116" i="13"/>
  <c r="L116" i="13"/>
  <c r="AB116" i="13" s="1"/>
  <c r="AF115" i="13"/>
  <c r="P115" i="13"/>
  <c r="L115" i="13"/>
  <c r="AB115" i="13" s="1"/>
  <c r="AF114" i="13"/>
  <c r="P114" i="13"/>
  <c r="L114" i="13"/>
  <c r="AB114" i="13" s="1"/>
  <c r="AF113" i="13"/>
  <c r="P113" i="13"/>
  <c r="L113" i="13"/>
  <c r="AB113" i="13" s="1"/>
  <c r="AF112" i="13"/>
  <c r="AB112" i="13"/>
  <c r="P112" i="13"/>
  <c r="L112" i="13"/>
  <c r="AF111" i="13"/>
  <c r="P111" i="13"/>
  <c r="L111" i="13"/>
  <c r="AB111" i="13" s="1"/>
  <c r="AF110" i="13"/>
  <c r="P110" i="13"/>
  <c r="L110" i="13"/>
  <c r="AB110" i="13" s="1"/>
  <c r="AF109" i="13"/>
  <c r="P109" i="13"/>
  <c r="L109" i="13"/>
  <c r="AB109" i="13" s="1"/>
  <c r="AF108" i="13"/>
  <c r="P108" i="13"/>
  <c r="L108" i="13"/>
  <c r="AB108" i="13" s="1"/>
  <c r="AF107" i="13"/>
  <c r="AB107" i="13"/>
  <c r="P107" i="13"/>
  <c r="L107" i="13"/>
  <c r="AF106" i="13"/>
  <c r="P106" i="13"/>
  <c r="L106" i="13"/>
  <c r="AB106" i="13" s="1"/>
  <c r="AF105" i="13"/>
  <c r="P105" i="13"/>
  <c r="L105" i="13"/>
  <c r="AB105" i="13" s="1"/>
  <c r="AF104" i="13"/>
  <c r="P104" i="13"/>
  <c r="L104" i="13"/>
  <c r="AB104" i="13" s="1"/>
  <c r="AF103" i="13"/>
  <c r="P103" i="13"/>
  <c r="L103" i="13"/>
  <c r="AB103" i="13" s="1"/>
  <c r="AF102" i="13"/>
  <c r="P102" i="13"/>
  <c r="L102" i="13"/>
  <c r="AB102" i="13" s="1"/>
  <c r="AF101" i="13"/>
  <c r="P101" i="13"/>
  <c r="L101" i="13"/>
  <c r="AB101" i="13" s="1"/>
  <c r="AF100" i="13"/>
  <c r="P100" i="13"/>
  <c r="L100" i="13"/>
  <c r="AB100" i="13" s="1"/>
  <c r="AF99" i="13"/>
  <c r="P99" i="13"/>
  <c r="L99" i="13"/>
  <c r="AB99" i="13" s="1"/>
  <c r="AF98" i="13"/>
  <c r="P98" i="13"/>
  <c r="L98" i="13"/>
  <c r="AB98" i="13" s="1"/>
  <c r="AF97" i="13"/>
  <c r="P97" i="13"/>
  <c r="L97" i="13"/>
  <c r="AB97" i="13" s="1"/>
  <c r="AF96" i="13"/>
  <c r="P96" i="13"/>
  <c r="L96" i="13"/>
  <c r="AB96" i="13" s="1"/>
  <c r="AF95" i="13"/>
  <c r="P95" i="13"/>
  <c r="L95" i="13"/>
  <c r="AB95" i="13" s="1"/>
  <c r="AF94" i="13"/>
  <c r="P94" i="13"/>
  <c r="L94" i="13"/>
  <c r="AB94" i="13" s="1"/>
  <c r="AF93" i="13"/>
  <c r="P93" i="13"/>
  <c r="L93" i="13"/>
  <c r="AB93" i="13" s="1"/>
  <c r="AF92" i="13"/>
  <c r="P92" i="13"/>
  <c r="L92" i="13"/>
  <c r="AB92" i="13" s="1"/>
  <c r="AF91" i="13"/>
  <c r="P91" i="13"/>
  <c r="L91" i="13"/>
  <c r="AB91" i="13" s="1"/>
  <c r="AF90" i="13"/>
  <c r="P90" i="13"/>
  <c r="L90" i="13"/>
  <c r="AB90" i="13" s="1"/>
  <c r="AF89" i="13"/>
  <c r="P89" i="13"/>
  <c r="L89" i="13"/>
  <c r="AB89" i="13" s="1"/>
  <c r="AF88" i="13"/>
  <c r="P88" i="13"/>
  <c r="L88" i="13"/>
  <c r="AB88" i="13" s="1"/>
  <c r="AF87" i="13"/>
  <c r="P87" i="13"/>
  <c r="L87" i="13"/>
  <c r="AB87" i="13" s="1"/>
  <c r="AF86" i="13"/>
  <c r="P86" i="13"/>
  <c r="L86" i="13"/>
  <c r="AB86" i="13" s="1"/>
  <c r="AF85" i="13"/>
  <c r="P85" i="13"/>
  <c r="L85" i="13"/>
  <c r="AB85" i="13" s="1"/>
  <c r="AF84" i="13"/>
  <c r="P84" i="13"/>
  <c r="L84" i="13"/>
  <c r="AB84" i="13" s="1"/>
  <c r="AF83" i="13"/>
  <c r="P83" i="13"/>
  <c r="L83" i="13"/>
  <c r="AB83" i="13" s="1"/>
  <c r="AF82" i="13"/>
  <c r="P82" i="13"/>
  <c r="L82" i="13"/>
  <c r="AB82" i="13" s="1"/>
  <c r="AF81" i="13"/>
  <c r="P81" i="13"/>
  <c r="L81" i="13"/>
  <c r="AB81" i="13" s="1"/>
  <c r="AF80" i="13"/>
  <c r="P80" i="13"/>
  <c r="L80" i="13"/>
  <c r="AB80" i="13" s="1"/>
  <c r="AF79" i="13"/>
  <c r="P79" i="13"/>
  <c r="L79" i="13"/>
  <c r="AB79" i="13" s="1"/>
  <c r="AF78" i="13"/>
  <c r="P78" i="13"/>
  <c r="L78" i="13"/>
  <c r="AB78" i="13" s="1"/>
  <c r="AF77" i="13"/>
  <c r="P77" i="13"/>
  <c r="L77" i="13"/>
  <c r="AB77" i="13" s="1"/>
  <c r="AF76" i="13"/>
  <c r="P76" i="13"/>
  <c r="L76" i="13"/>
  <c r="AB76" i="13" s="1"/>
  <c r="AF75" i="13"/>
  <c r="P75" i="13"/>
  <c r="L75" i="13"/>
  <c r="AB75" i="13" s="1"/>
  <c r="AF74" i="13"/>
  <c r="P74" i="13"/>
  <c r="L74" i="13"/>
  <c r="AB74" i="13" s="1"/>
  <c r="AF73" i="13"/>
  <c r="P73" i="13"/>
  <c r="L73" i="13"/>
  <c r="AB73" i="13" s="1"/>
  <c r="AF72" i="13"/>
  <c r="P72" i="13"/>
  <c r="L72" i="13"/>
  <c r="AB72" i="13" s="1"/>
  <c r="AF71" i="13"/>
  <c r="P71" i="13"/>
  <c r="L71" i="13"/>
  <c r="AB71" i="13" s="1"/>
  <c r="AF70" i="13"/>
  <c r="P70" i="13"/>
  <c r="L70" i="13"/>
  <c r="AB70" i="13" s="1"/>
  <c r="AF69" i="13"/>
  <c r="P69" i="13"/>
  <c r="L69" i="13"/>
  <c r="AB69" i="13" s="1"/>
  <c r="AF68" i="13"/>
  <c r="P68" i="13"/>
  <c r="L68" i="13"/>
  <c r="AB68" i="13" s="1"/>
  <c r="AF67" i="13"/>
  <c r="P67" i="13"/>
  <c r="L67" i="13"/>
  <c r="AB67" i="13" s="1"/>
  <c r="AF66" i="13"/>
  <c r="P66" i="13"/>
  <c r="L66" i="13"/>
  <c r="AB66" i="13" s="1"/>
  <c r="AF65" i="13"/>
  <c r="P65" i="13"/>
  <c r="L65" i="13"/>
  <c r="AB65" i="13" s="1"/>
  <c r="AF64" i="13"/>
  <c r="P64" i="13"/>
  <c r="L64" i="13"/>
  <c r="AB64" i="13" s="1"/>
  <c r="AF63" i="13"/>
  <c r="P63" i="13"/>
  <c r="L63" i="13"/>
  <c r="AB63" i="13" s="1"/>
  <c r="AF62" i="13"/>
  <c r="AB62" i="13"/>
  <c r="P62" i="13"/>
  <c r="L62" i="13"/>
  <c r="AF61" i="13"/>
  <c r="AB61" i="13"/>
  <c r="P61" i="13"/>
  <c r="L61" i="13"/>
  <c r="AF60" i="13"/>
  <c r="P60" i="13"/>
  <c r="L60" i="13"/>
  <c r="AB60" i="13" s="1"/>
  <c r="AF59" i="13"/>
  <c r="P59" i="13"/>
  <c r="L59" i="13"/>
  <c r="AB59" i="13" s="1"/>
  <c r="AF58" i="13"/>
  <c r="P58" i="13"/>
  <c r="L58" i="13"/>
  <c r="AB58" i="13" s="1"/>
  <c r="AF57" i="13"/>
  <c r="P57" i="13"/>
  <c r="L57" i="13"/>
  <c r="AB57" i="13" s="1"/>
  <c r="AF56" i="13"/>
  <c r="P56" i="13"/>
  <c r="L56" i="13"/>
  <c r="AB56" i="13" s="1"/>
  <c r="AF55" i="13"/>
  <c r="P55" i="13"/>
  <c r="L55" i="13"/>
  <c r="AB55" i="13" s="1"/>
  <c r="AF54" i="13"/>
  <c r="P54" i="13"/>
  <c r="L54" i="13"/>
  <c r="AB54" i="13" s="1"/>
  <c r="AF53" i="13"/>
  <c r="P53" i="13"/>
  <c r="L53" i="13"/>
  <c r="AB53" i="13" s="1"/>
  <c r="AF52" i="13"/>
  <c r="P52" i="13"/>
  <c r="L52" i="13"/>
  <c r="AB52" i="13" s="1"/>
  <c r="AF51" i="13"/>
  <c r="P51" i="13"/>
  <c r="L51" i="13"/>
  <c r="AB51" i="13" s="1"/>
  <c r="AF50" i="13"/>
  <c r="P50" i="13"/>
  <c r="L50" i="13"/>
  <c r="AB50" i="13" s="1"/>
  <c r="AF49" i="13"/>
  <c r="P49" i="13"/>
  <c r="L49" i="13"/>
  <c r="AB49" i="13" s="1"/>
  <c r="AF48" i="13"/>
  <c r="AB48" i="13"/>
  <c r="P48" i="13"/>
  <c r="L48" i="13"/>
  <c r="AF47" i="13"/>
  <c r="P47" i="13"/>
  <c r="L47" i="13"/>
  <c r="AB47" i="13" s="1"/>
  <c r="AF46" i="13"/>
  <c r="P46" i="13"/>
  <c r="L46" i="13"/>
  <c r="AB46" i="13" s="1"/>
  <c r="AF45" i="13"/>
  <c r="P45" i="13"/>
  <c r="L45" i="13"/>
  <c r="AB45" i="13" s="1"/>
  <c r="AF44" i="13"/>
  <c r="P44" i="13"/>
  <c r="L44" i="13"/>
  <c r="AB44" i="13" s="1"/>
  <c r="AF43" i="13"/>
  <c r="AB43" i="13"/>
  <c r="P43" i="13"/>
  <c r="L43" i="13"/>
  <c r="AF42" i="13"/>
  <c r="AB42" i="13"/>
  <c r="P42" i="13"/>
  <c r="L42" i="13"/>
  <c r="AF41" i="13"/>
  <c r="P41" i="13"/>
  <c r="L41" i="13"/>
  <c r="AB41" i="13" s="1"/>
  <c r="AF40" i="13"/>
  <c r="P40" i="13"/>
  <c r="L40" i="13"/>
  <c r="AB40" i="13" s="1"/>
  <c r="AF39" i="13"/>
  <c r="P39" i="13"/>
  <c r="L39" i="13"/>
  <c r="AB39" i="13" s="1"/>
  <c r="AF38" i="13"/>
  <c r="P38" i="13"/>
  <c r="L38" i="13"/>
  <c r="AB38" i="13" s="1"/>
  <c r="AF37" i="13"/>
  <c r="P37" i="13"/>
  <c r="L37" i="13"/>
  <c r="AB37" i="13" s="1"/>
  <c r="AF36" i="13"/>
  <c r="P36" i="13"/>
  <c r="L36" i="13"/>
  <c r="AB36" i="13" s="1"/>
  <c r="AF35" i="13"/>
  <c r="P35" i="13"/>
  <c r="L35" i="13"/>
  <c r="AB35" i="13" s="1"/>
  <c r="AF34" i="13"/>
  <c r="P34" i="13"/>
  <c r="L34" i="13"/>
  <c r="AB34" i="13" s="1"/>
  <c r="AF33" i="13"/>
  <c r="P33" i="13"/>
  <c r="L33" i="13"/>
  <c r="AB33" i="13" s="1"/>
  <c r="AF32" i="13"/>
  <c r="P32" i="13"/>
  <c r="L32" i="13"/>
  <c r="AB32" i="13" s="1"/>
  <c r="AF31" i="13"/>
  <c r="P31" i="13"/>
  <c r="L31" i="13"/>
  <c r="AB31" i="13" s="1"/>
  <c r="AF30" i="13"/>
  <c r="P30" i="13"/>
  <c r="L30" i="13"/>
  <c r="AB30" i="13" s="1"/>
  <c r="AF29" i="13"/>
  <c r="P29" i="13"/>
  <c r="L29" i="13"/>
  <c r="AB29" i="13" s="1"/>
  <c r="AF28" i="13"/>
  <c r="P28" i="13"/>
  <c r="L28" i="13"/>
  <c r="AB28" i="13" s="1"/>
  <c r="AF27" i="13"/>
  <c r="P27" i="13"/>
  <c r="L27" i="13"/>
  <c r="AB27" i="13" s="1"/>
  <c r="AF26" i="13"/>
  <c r="P26" i="13"/>
  <c r="L26" i="13"/>
  <c r="AB26" i="13" s="1"/>
  <c r="AF25" i="13"/>
  <c r="P25" i="13"/>
  <c r="L25" i="13"/>
  <c r="AB25" i="13" s="1"/>
  <c r="AF24" i="13"/>
  <c r="P24" i="13"/>
  <c r="L24" i="13"/>
  <c r="AB24" i="13" s="1"/>
  <c r="AF23" i="13"/>
  <c r="P23" i="13"/>
  <c r="L23" i="13"/>
  <c r="AB23" i="13" s="1"/>
  <c r="AF22" i="13"/>
  <c r="P22" i="13"/>
  <c r="L22" i="13"/>
  <c r="AB22" i="13" s="1"/>
  <c r="AF21" i="13"/>
  <c r="P21" i="13"/>
  <c r="L21" i="13"/>
  <c r="AB21" i="13" s="1"/>
  <c r="AF20" i="13"/>
  <c r="P20" i="13"/>
  <c r="L20" i="13"/>
  <c r="AB20" i="13" s="1"/>
  <c r="AF19" i="13"/>
  <c r="P19" i="13"/>
  <c r="L19" i="13"/>
  <c r="AB19" i="13" s="1"/>
  <c r="AF18" i="13"/>
  <c r="P18" i="13"/>
  <c r="L18" i="13"/>
  <c r="AB18" i="13" s="1"/>
  <c r="AF17" i="13"/>
  <c r="P17" i="13"/>
  <c r="L17" i="13"/>
  <c r="AB17" i="13" s="1"/>
  <c r="AF16" i="13"/>
  <c r="P16" i="13"/>
  <c r="L16" i="13"/>
  <c r="AB16" i="13" s="1"/>
  <c r="AF15" i="13"/>
  <c r="P15" i="13"/>
  <c r="L15" i="13"/>
  <c r="AB15" i="13" s="1"/>
  <c r="AF14" i="13"/>
  <c r="AB14" i="13"/>
  <c r="P14" i="13"/>
  <c r="L14" i="13"/>
  <c r="AF13" i="13"/>
  <c r="Y13" i="13"/>
  <c r="P13" i="13"/>
  <c r="L13" i="13"/>
  <c r="AB13" i="13" s="1"/>
  <c r="G13" i="13"/>
  <c r="E13" i="13"/>
  <c r="H13" i="13" s="1"/>
  <c r="AF12" i="13"/>
  <c r="Y12" i="13"/>
  <c r="X12" i="13"/>
  <c r="W12" i="13"/>
  <c r="L12" i="13"/>
  <c r="AB12" i="13" s="1"/>
  <c r="H12" i="13"/>
  <c r="G12" i="13"/>
  <c r="A9" i="13"/>
  <c r="A10" i="13" s="1"/>
  <c r="A11" i="13" s="1"/>
  <c r="A12" i="13" s="1"/>
  <c r="I12" i="13" l="1"/>
  <c r="Z12" i="13"/>
  <c r="E14" i="13"/>
  <c r="I13" i="13" l="1"/>
  <c r="Z13" i="13"/>
  <c r="E15" i="13"/>
  <c r="F14" i="13"/>
  <c r="H14" i="13" s="1"/>
  <c r="J12" i="13"/>
  <c r="K12" i="13" s="1"/>
  <c r="O12" i="13" s="1"/>
  <c r="AA12" i="13"/>
  <c r="U12" i="13" l="1"/>
  <c r="M12" i="13" s="1"/>
  <c r="R12" i="13" s="1"/>
  <c r="Y14" i="13"/>
  <c r="G14" i="13"/>
  <c r="Z14" i="13"/>
  <c r="I14" i="13"/>
  <c r="F15" i="13"/>
  <c r="H15" i="13" s="1"/>
  <c r="E16" i="13"/>
  <c r="J13" i="13"/>
  <c r="K13" i="13" s="1"/>
  <c r="AA13" i="13"/>
  <c r="J14" i="13" l="1"/>
  <c r="AA14" i="13"/>
  <c r="AE12" i="13"/>
  <c r="AC12" i="13"/>
  <c r="AG12" i="13" s="1"/>
  <c r="G15" i="13"/>
  <c r="Y15" i="13"/>
  <c r="F16" i="13"/>
  <c r="H16" i="13" s="1"/>
  <c r="E17" i="13"/>
  <c r="K14" i="13"/>
  <c r="I16" i="13" l="1"/>
  <c r="Z16" i="13"/>
  <c r="G16" i="13"/>
  <c r="Y16" i="13"/>
  <c r="E18" i="13"/>
  <c r="F17" i="13"/>
  <c r="H17" i="13" s="1"/>
  <c r="Z15" i="13"/>
  <c r="I15" i="13"/>
  <c r="N12" i="13"/>
  <c r="AD12" i="13" s="1"/>
  <c r="AH12" i="13" l="1"/>
  <c r="AA15" i="13"/>
  <c r="J15" i="13"/>
  <c r="K15" i="13" s="1"/>
  <c r="Z17" i="13"/>
  <c r="I17" i="13"/>
  <c r="S12" i="13"/>
  <c r="O13" i="13" s="1"/>
  <c r="G17" i="13"/>
  <c r="Y17" i="13"/>
  <c r="AA16" i="13"/>
  <c r="J16" i="13"/>
  <c r="K16" i="13" s="1"/>
  <c r="F18" i="13"/>
  <c r="H18" i="13" s="1"/>
  <c r="E19" i="13"/>
  <c r="U13" i="13" l="1"/>
  <c r="G18" i="13"/>
  <c r="Y18" i="13"/>
  <c r="AA17" i="13"/>
  <c r="J17" i="13"/>
  <c r="K17" i="13" s="1"/>
  <c r="F19" i="13"/>
  <c r="H19" i="13" s="1"/>
  <c r="E20" i="13"/>
  <c r="M13" i="13" l="1"/>
  <c r="R13" i="13" s="1"/>
  <c r="N13" i="13" s="1"/>
  <c r="AD13" i="13" s="1"/>
  <c r="I18" i="13"/>
  <c r="Z18" i="13"/>
  <c r="G19" i="13"/>
  <c r="Y19" i="13"/>
  <c r="I19" i="13"/>
  <c r="Z19" i="13"/>
  <c r="E21" i="13"/>
  <c r="F20" i="13"/>
  <c r="H20" i="13" s="1"/>
  <c r="AE13" i="13" l="1"/>
  <c r="AC13" i="13"/>
  <c r="AG13" i="13" s="1"/>
  <c r="E22" i="13"/>
  <c r="F21" i="13"/>
  <c r="H21" i="13" s="1"/>
  <c r="AA18" i="13"/>
  <c r="J18" i="13"/>
  <c r="K18" i="13" s="1"/>
  <c r="J19" i="13"/>
  <c r="K19" i="13" s="1"/>
  <c r="AA19" i="13"/>
  <c r="Z20" i="13"/>
  <c r="I20" i="13"/>
  <c r="AH13" i="13"/>
  <c r="G20" i="13"/>
  <c r="Y20" i="13"/>
  <c r="S13" i="13"/>
  <c r="O14" i="13" s="1"/>
  <c r="E23" i="13" l="1"/>
  <c r="F22" i="13"/>
  <c r="H22" i="13" s="1"/>
  <c r="Y21" i="13"/>
  <c r="G21" i="13"/>
  <c r="J20" i="13"/>
  <c r="K20" i="13" s="1"/>
  <c r="AA20" i="13"/>
  <c r="U14" i="13"/>
  <c r="M14" i="13" l="1"/>
  <c r="R14" i="13" s="1"/>
  <c r="N14" i="13" s="1"/>
  <c r="AD14" i="13" s="1"/>
  <c r="Z22" i="13"/>
  <c r="I22" i="13"/>
  <c r="Y22" i="13"/>
  <c r="G22" i="13"/>
  <c r="I21" i="13"/>
  <c r="Z21" i="13"/>
  <c r="F23" i="13"/>
  <c r="H23" i="13" s="1"/>
  <c r="E24" i="13"/>
  <c r="AE14" i="13" l="1"/>
  <c r="AC14" i="13"/>
  <c r="AG14" i="13" s="1"/>
  <c r="G23" i="13"/>
  <c r="Y23" i="13"/>
  <c r="F24" i="13"/>
  <c r="H24" i="13" s="1"/>
  <c r="E25" i="13"/>
  <c r="J22" i="13"/>
  <c r="K22" i="13" s="1"/>
  <c r="AA22" i="13"/>
  <c r="Z23" i="13"/>
  <c r="I23" i="13"/>
  <c r="AA21" i="13"/>
  <c r="J21" i="13"/>
  <c r="K21" i="13" s="1"/>
  <c r="S14" i="13"/>
  <c r="O15" i="13" s="1"/>
  <c r="AH14" i="13" l="1"/>
  <c r="G24" i="13"/>
  <c r="Y24" i="13"/>
  <c r="U15" i="13"/>
  <c r="I24" i="13"/>
  <c r="Z24" i="13"/>
  <c r="AA23" i="13"/>
  <c r="J23" i="13"/>
  <c r="K23" i="13" s="1"/>
  <c r="E26" i="13"/>
  <c r="F25" i="13"/>
  <c r="H25" i="13" s="1"/>
  <c r="M15" i="13" l="1"/>
  <c r="R15" i="13" s="1"/>
  <c r="N15" i="13" s="1"/>
  <c r="AD15" i="13" s="1"/>
  <c r="G25" i="13"/>
  <c r="Y25" i="13"/>
  <c r="F26" i="13"/>
  <c r="H26" i="13" s="1"/>
  <c r="E27" i="13"/>
  <c r="AA24" i="13"/>
  <c r="J24" i="13"/>
  <c r="K24" i="13"/>
  <c r="AC15" i="13" l="1"/>
  <c r="AE15" i="13"/>
  <c r="I26" i="13"/>
  <c r="Z26" i="13"/>
  <c r="Z25" i="13"/>
  <c r="I25" i="13"/>
  <c r="Y26" i="13"/>
  <c r="G26" i="13"/>
  <c r="S15" i="13"/>
  <c r="O16" i="13" s="1"/>
  <c r="F27" i="13"/>
  <c r="H27" i="13" s="1"/>
  <c r="E28" i="13"/>
  <c r="AG15" i="13" l="1"/>
  <c r="AH15" i="13" s="1"/>
  <c r="I27" i="13"/>
  <c r="Z27" i="13"/>
  <c r="J25" i="13"/>
  <c r="K25" i="13" s="1"/>
  <c r="AA25" i="13"/>
  <c r="U16" i="13"/>
  <c r="M16" i="13" s="1"/>
  <c r="G27" i="13"/>
  <c r="Y27" i="13"/>
  <c r="E29" i="13"/>
  <c r="F28" i="13"/>
  <c r="H28" i="13" s="1"/>
  <c r="AA26" i="13"/>
  <c r="J26" i="13"/>
  <c r="K26" i="13" s="1"/>
  <c r="H29" i="13" l="1"/>
  <c r="G28" i="13"/>
  <c r="Y28" i="13"/>
  <c r="E30" i="13"/>
  <c r="F29" i="13"/>
  <c r="AC16" i="13"/>
  <c r="AG16" i="13" s="1"/>
  <c r="AE16" i="13"/>
  <c r="R16" i="13"/>
  <c r="J27" i="13"/>
  <c r="K27" i="13" s="1"/>
  <c r="AA27" i="13"/>
  <c r="Y29" i="13" l="1"/>
  <c r="G29" i="13"/>
  <c r="E31" i="13"/>
  <c r="F30" i="13"/>
  <c r="H30" i="13" s="1"/>
  <c r="Z28" i="13"/>
  <c r="I28" i="13"/>
  <c r="N16" i="13"/>
  <c r="AD16" i="13" s="1"/>
  <c r="AH16" i="13" l="1"/>
  <c r="S16" i="13"/>
  <c r="O17" i="13" s="1"/>
  <c r="U17" i="13" s="1"/>
  <c r="M17" i="13" s="1"/>
  <c r="Z30" i="13"/>
  <c r="I30" i="13"/>
  <c r="F31" i="13"/>
  <c r="H31" i="13" s="1"/>
  <c r="E32" i="13"/>
  <c r="I29" i="13"/>
  <c r="Z29" i="13"/>
  <c r="Y30" i="13"/>
  <c r="G30" i="13"/>
  <c r="J28" i="13"/>
  <c r="K28" i="13" s="1"/>
  <c r="AA28" i="13"/>
  <c r="Y31" i="13" l="1"/>
  <c r="G31" i="13"/>
  <c r="J29" i="13"/>
  <c r="K29" i="13" s="1"/>
  <c r="AA29" i="13"/>
  <c r="AC17" i="13"/>
  <c r="AE17" i="13"/>
  <c r="R17" i="13"/>
  <c r="J30" i="13"/>
  <c r="K30" i="13" s="1"/>
  <c r="AA30" i="13"/>
  <c r="F32" i="13"/>
  <c r="H32" i="13" s="1"/>
  <c r="E33" i="13"/>
  <c r="AG17" i="13" l="1"/>
  <c r="N17" i="13"/>
  <c r="AD17" i="13" s="1"/>
  <c r="AH17" i="13"/>
  <c r="Z31" i="13"/>
  <c r="I31" i="13"/>
  <c r="F33" i="13"/>
  <c r="H33" i="13" s="1"/>
  <c r="E34" i="13"/>
  <c r="Z32" i="13"/>
  <c r="I32" i="13"/>
  <c r="G32" i="13"/>
  <c r="Y32" i="13"/>
  <c r="Z33" i="13" l="1"/>
  <c r="I33" i="13"/>
  <c r="F34" i="13"/>
  <c r="H34" i="13" s="1"/>
  <c r="E35" i="13"/>
  <c r="AA31" i="13"/>
  <c r="J31" i="13"/>
  <c r="S17" i="13"/>
  <c r="O18" i="13" s="1"/>
  <c r="G33" i="13"/>
  <c r="Y33" i="13"/>
  <c r="AA32" i="13"/>
  <c r="J32" i="13"/>
  <c r="K32" i="13"/>
  <c r="K31" i="13"/>
  <c r="I34" i="13" l="1"/>
  <c r="Z34" i="13"/>
  <c r="U18" i="13"/>
  <c r="M18" i="13" s="1"/>
  <c r="E36" i="13"/>
  <c r="F35" i="13"/>
  <c r="H35" i="13" s="1"/>
  <c r="AA33" i="13"/>
  <c r="J33" i="13"/>
  <c r="K33" i="13" s="1"/>
  <c r="G34" i="13"/>
  <c r="Y34" i="13"/>
  <c r="AC18" i="13" l="1"/>
  <c r="AG18" i="13" s="1"/>
  <c r="AE18" i="13"/>
  <c r="R18" i="13"/>
  <c r="G35" i="13"/>
  <c r="Y35" i="13"/>
  <c r="E37" i="13"/>
  <c r="F36" i="13"/>
  <c r="H36" i="13" s="1"/>
  <c r="AA34" i="13"/>
  <c r="J34" i="13"/>
  <c r="K34" i="13" s="1"/>
  <c r="N18" i="13" l="1"/>
  <c r="AD18" i="13" s="1"/>
  <c r="Y36" i="13"/>
  <c r="G36" i="13"/>
  <c r="F37" i="13"/>
  <c r="H37" i="13" s="1"/>
  <c r="E38" i="13"/>
  <c r="I35" i="13"/>
  <c r="Z35" i="13"/>
  <c r="AH18" i="13" l="1"/>
  <c r="Z36" i="13"/>
  <c r="I36" i="13"/>
  <c r="J35" i="13"/>
  <c r="K35" i="13" s="1"/>
  <c r="AA35" i="13"/>
  <c r="G37" i="13"/>
  <c r="Y37" i="13"/>
  <c r="E39" i="13"/>
  <c r="F38" i="13"/>
  <c r="H38" i="13" s="1"/>
  <c r="S18" i="13"/>
  <c r="O19" i="13" s="1"/>
  <c r="I38" i="13" l="1"/>
  <c r="Z38" i="13"/>
  <c r="U19" i="13"/>
  <c r="M19" i="13" s="1"/>
  <c r="G38" i="13"/>
  <c r="Y38" i="13"/>
  <c r="J36" i="13"/>
  <c r="AA36" i="13"/>
  <c r="E40" i="13"/>
  <c r="F39" i="13"/>
  <c r="H39" i="13" s="1"/>
  <c r="Z37" i="13"/>
  <c r="I37" i="13"/>
  <c r="K36" i="13"/>
  <c r="H40" i="13" l="1"/>
  <c r="AE19" i="13"/>
  <c r="AC19" i="13"/>
  <c r="AG19" i="13" s="1"/>
  <c r="G39" i="13"/>
  <c r="Y39" i="13"/>
  <c r="R19" i="13"/>
  <c r="AA37" i="13"/>
  <c r="J37" i="13"/>
  <c r="K37" i="13" s="1"/>
  <c r="E41" i="13"/>
  <c r="F40" i="13"/>
  <c r="Z39" i="13"/>
  <c r="I39" i="13"/>
  <c r="AA38" i="13"/>
  <c r="J38" i="13"/>
  <c r="K38" i="13" s="1"/>
  <c r="H41" i="13" l="1"/>
  <c r="Y40" i="13"/>
  <c r="G40" i="13"/>
  <c r="N19" i="13"/>
  <c r="AD19" i="13" s="1"/>
  <c r="J39" i="13"/>
  <c r="K39" i="13" s="1"/>
  <c r="AA39" i="13"/>
  <c r="I40" i="13"/>
  <c r="Z40" i="13"/>
  <c r="E42" i="13"/>
  <c r="F41" i="13"/>
  <c r="AH19" i="13" l="1"/>
  <c r="Z41" i="13"/>
  <c r="I41" i="13"/>
  <c r="S19" i="13"/>
  <c r="O20" i="13" s="1"/>
  <c r="AA40" i="13"/>
  <c r="J40" i="13"/>
  <c r="K40" i="13" s="1"/>
  <c r="Y41" i="13"/>
  <c r="G41" i="13"/>
  <c r="F42" i="13"/>
  <c r="H42" i="13" s="1"/>
  <c r="E43" i="13"/>
  <c r="Z42" i="13" l="1"/>
  <c r="I42" i="13"/>
  <c r="J41" i="13"/>
  <c r="K41" i="13" s="1"/>
  <c r="AA41" i="13"/>
  <c r="Y42" i="13"/>
  <c r="G42" i="13"/>
  <c r="U20" i="13"/>
  <c r="F43" i="13"/>
  <c r="H43" i="13" s="1"/>
  <c r="E44" i="13"/>
  <c r="M20" i="13" l="1"/>
  <c r="R20" i="13" s="1"/>
  <c r="N20" i="13" s="1"/>
  <c r="AD20" i="13" s="1"/>
  <c r="AA42" i="13"/>
  <c r="J42" i="13"/>
  <c r="K42" i="13" s="1"/>
  <c r="G43" i="13"/>
  <c r="Y43" i="13"/>
  <c r="I43" i="13"/>
  <c r="Z43" i="13"/>
  <c r="E45" i="13"/>
  <c r="F44" i="13"/>
  <c r="H44" i="13" s="1"/>
  <c r="AE20" i="13" l="1"/>
  <c r="AC20" i="13"/>
  <c r="AG20" i="13" s="1"/>
  <c r="S20" i="13"/>
  <c r="O21" i="13" s="1"/>
  <c r="U21" i="13" s="1"/>
  <c r="M21" i="13" s="1"/>
  <c r="AH20" i="13"/>
  <c r="G44" i="13"/>
  <c r="Y44" i="13"/>
  <c r="F45" i="13"/>
  <c r="H45" i="13" s="1"/>
  <c r="E46" i="13"/>
  <c r="AA43" i="13"/>
  <c r="J43" i="13"/>
  <c r="K43" i="13" s="1"/>
  <c r="I45" i="13" l="1"/>
  <c r="Z45" i="13"/>
  <c r="F46" i="13"/>
  <c r="H46" i="13" s="1"/>
  <c r="E47" i="13"/>
  <c r="Z44" i="13"/>
  <c r="I44" i="13"/>
  <c r="AC21" i="13"/>
  <c r="AG21" i="13" s="1"/>
  <c r="AE21" i="13"/>
  <c r="G45" i="13"/>
  <c r="Y45" i="13"/>
  <c r="R21" i="13"/>
  <c r="I46" i="13" l="1"/>
  <c r="Z46" i="13"/>
  <c r="F47" i="13"/>
  <c r="H47" i="13" s="1"/>
  <c r="E48" i="13"/>
  <c r="G46" i="13"/>
  <c r="Y46" i="13"/>
  <c r="N21" i="13"/>
  <c r="AD21" i="13" s="1"/>
  <c r="AH21" i="13" s="1"/>
  <c r="J44" i="13"/>
  <c r="K44" i="13" s="1"/>
  <c r="AA44" i="13"/>
  <c r="AA45" i="13"/>
  <c r="J45" i="13"/>
  <c r="K45" i="13" s="1"/>
  <c r="S21" i="13" l="1"/>
  <c r="O22" i="13" s="1"/>
  <c r="U22" i="13" s="1"/>
  <c r="M22" i="13" s="1"/>
  <c r="G47" i="13"/>
  <c r="Y47" i="13"/>
  <c r="E49" i="13"/>
  <c r="F48" i="13"/>
  <c r="H48" i="13" s="1"/>
  <c r="J46" i="13"/>
  <c r="K46" i="13" s="1"/>
  <c r="AA46" i="13"/>
  <c r="I48" i="13" l="1"/>
  <c r="Z48" i="13"/>
  <c r="Z47" i="13"/>
  <c r="I47" i="13"/>
  <c r="E50" i="13"/>
  <c r="F49" i="13"/>
  <c r="H49" i="13" s="1"/>
  <c r="Y48" i="13"/>
  <c r="G48" i="13"/>
  <c r="AE22" i="13"/>
  <c r="AC22" i="13"/>
  <c r="AG22" i="13" s="1"/>
  <c r="R22" i="13"/>
  <c r="H50" i="13" l="1"/>
  <c r="F50" i="13"/>
  <c r="E51" i="13"/>
  <c r="Z49" i="13"/>
  <c r="I49" i="13"/>
  <c r="N22" i="13"/>
  <c r="AD22" i="13" s="1"/>
  <c r="AH22" i="13" s="1"/>
  <c r="AA48" i="13"/>
  <c r="J48" i="13"/>
  <c r="K48" i="13" s="1"/>
  <c r="J47" i="13"/>
  <c r="K47" i="13" s="1"/>
  <c r="AA47" i="13"/>
  <c r="Y49" i="13"/>
  <c r="G49" i="13"/>
  <c r="Z50" i="13" l="1"/>
  <c r="I50" i="13"/>
  <c r="F51" i="13"/>
  <c r="H51" i="13" s="1"/>
  <c r="E52" i="13"/>
  <c r="J49" i="13"/>
  <c r="K49" i="13" s="1"/>
  <c r="AA49" i="13"/>
  <c r="S22" i="13"/>
  <c r="O23" i="13" s="1"/>
  <c r="G50" i="13"/>
  <c r="Y50" i="13"/>
  <c r="I51" i="13" l="1"/>
  <c r="Z51" i="13"/>
  <c r="E53" i="13"/>
  <c r="F52" i="13"/>
  <c r="H52" i="13" s="1"/>
  <c r="AA50" i="13"/>
  <c r="J50" i="13"/>
  <c r="K50" i="13" s="1"/>
  <c r="G51" i="13"/>
  <c r="Y51" i="13"/>
  <c r="U23" i="13"/>
  <c r="M23" i="13" s="1"/>
  <c r="Z52" i="13" l="1"/>
  <c r="I52" i="13"/>
  <c r="E54" i="13"/>
  <c r="F53" i="13"/>
  <c r="H53" i="13" s="1"/>
  <c r="G52" i="13"/>
  <c r="Y52" i="13"/>
  <c r="AA51" i="13"/>
  <c r="J51" i="13"/>
  <c r="K51" i="13" s="1"/>
  <c r="AE23" i="13"/>
  <c r="AC23" i="13"/>
  <c r="AG23" i="13" s="1"/>
  <c r="R23" i="13"/>
  <c r="I53" i="13" l="1"/>
  <c r="Z53" i="13"/>
  <c r="N23" i="13"/>
  <c r="AD23" i="13" s="1"/>
  <c r="E55" i="13"/>
  <c r="F54" i="13"/>
  <c r="H54" i="13" s="1"/>
  <c r="Y53" i="13"/>
  <c r="G53" i="13"/>
  <c r="J52" i="13"/>
  <c r="AA52" i="13"/>
  <c r="K52" i="13"/>
  <c r="AH23" i="13" l="1"/>
  <c r="Z54" i="13"/>
  <c r="I54" i="13"/>
  <c r="S23" i="13"/>
  <c r="O24" i="13" s="1"/>
  <c r="Y54" i="13"/>
  <c r="G54" i="13"/>
  <c r="F55" i="13"/>
  <c r="H55" i="13" s="1"/>
  <c r="E56" i="13"/>
  <c r="J53" i="13"/>
  <c r="K53" i="13" s="1"/>
  <c r="AA53" i="13"/>
  <c r="I55" i="13" l="1"/>
  <c r="Z55" i="13"/>
  <c r="Y55" i="13"/>
  <c r="G55" i="13"/>
  <c r="J54" i="13"/>
  <c r="K54" i="13" s="1"/>
  <c r="AA54" i="13"/>
  <c r="E57" i="13"/>
  <c r="F56" i="13"/>
  <c r="H56" i="13" s="1"/>
  <c r="U24" i="13"/>
  <c r="M24" i="13" s="1"/>
  <c r="AC24" i="13" l="1"/>
  <c r="AG24" i="13" s="1"/>
  <c r="AE24" i="13"/>
  <c r="G56" i="13"/>
  <c r="Y56" i="13"/>
  <c r="E58" i="13"/>
  <c r="F57" i="13"/>
  <c r="H57" i="13" s="1"/>
  <c r="AA55" i="13"/>
  <c r="J55" i="13"/>
  <c r="K55" i="13" s="1"/>
  <c r="R24" i="13"/>
  <c r="Z57" i="13" l="1"/>
  <c r="I57" i="13"/>
  <c r="N24" i="13"/>
  <c r="AD24" i="13" s="1"/>
  <c r="I56" i="13"/>
  <c r="Z56" i="13"/>
  <c r="G57" i="13"/>
  <c r="Y57" i="13"/>
  <c r="E59" i="13"/>
  <c r="F58" i="13"/>
  <c r="H58" i="13" s="1"/>
  <c r="AH24" i="13"/>
  <c r="S24" i="13" l="1"/>
  <c r="O25" i="13" s="1"/>
  <c r="U25" i="13" s="1"/>
  <c r="J56" i="13"/>
  <c r="K56" i="13" s="1"/>
  <c r="AA56" i="13"/>
  <c r="F59" i="13"/>
  <c r="H59" i="13" s="1"/>
  <c r="E60" i="13"/>
  <c r="AA57" i="13"/>
  <c r="J57" i="13"/>
  <c r="Y58" i="13"/>
  <c r="G58" i="13"/>
  <c r="K57" i="13"/>
  <c r="M25" i="13" l="1"/>
  <c r="R25" i="13" s="1"/>
  <c r="N25" i="13" s="1"/>
  <c r="AD25" i="13" s="1"/>
  <c r="I58" i="13"/>
  <c r="Z58" i="13"/>
  <c r="Y59" i="13"/>
  <c r="G59" i="13"/>
  <c r="F60" i="13"/>
  <c r="H60" i="13" s="1"/>
  <c r="E61" i="13"/>
  <c r="AC25" i="13" l="1"/>
  <c r="AG25" i="13" s="1"/>
  <c r="AE25" i="13"/>
  <c r="I60" i="13"/>
  <c r="Z60" i="13"/>
  <c r="AA58" i="13"/>
  <c r="J58" i="13"/>
  <c r="K58" i="13" s="1"/>
  <c r="I59" i="13"/>
  <c r="Z59" i="13"/>
  <c r="E62" i="13"/>
  <c r="F61" i="13"/>
  <c r="H61" i="13" s="1"/>
  <c r="AH25" i="13"/>
  <c r="G60" i="13"/>
  <c r="Y60" i="13"/>
  <c r="S25" i="13"/>
  <c r="O26" i="13" s="1"/>
  <c r="J59" i="13" l="1"/>
  <c r="K59" i="13" s="1"/>
  <c r="AA59" i="13"/>
  <c r="Y61" i="13"/>
  <c r="G61" i="13"/>
  <c r="U26" i="13"/>
  <c r="M26" i="13" s="1"/>
  <c r="J60" i="13"/>
  <c r="K60" i="13" s="1"/>
  <c r="AA60" i="13"/>
  <c r="F62" i="13"/>
  <c r="H62" i="13" s="1"/>
  <c r="E63" i="13"/>
  <c r="AC26" i="13" l="1"/>
  <c r="AE26" i="13"/>
  <c r="Z62" i="13"/>
  <c r="I62" i="13"/>
  <c r="R26" i="13"/>
  <c r="F63" i="13"/>
  <c r="H63" i="13" s="1"/>
  <c r="E64" i="13"/>
  <c r="Z61" i="13"/>
  <c r="I61" i="13"/>
  <c r="G62" i="13"/>
  <c r="Y62" i="13"/>
  <c r="AG26" i="13" l="1"/>
  <c r="G63" i="13"/>
  <c r="Y63" i="13"/>
  <c r="N26" i="13"/>
  <c r="AD26" i="13" s="1"/>
  <c r="AH26" i="13" s="1"/>
  <c r="F64" i="13"/>
  <c r="H64" i="13" s="1"/>
  <c r="E65" i="13"/>
  <c r="AA62" i="13"/>
  <c r="J62" i="13"/>
  <c r="K62" i="13" s="1"/>
  <c r="AA61" i="13"/>
  <c r="J61" i="13"/>
  <c r="K61" i="13" s="1"/>
  <c r="S26" i="13" l="1"/>
  <c r="O27" i="13" s="1"/>
  <c r="U27" i="13" s="1"/>
  <c r="M27" i="13" s="1"/>
  <c r="Z63" i="13"/>
  <c r="I63" i="13"/>
  <c r="E66" i="13"/>
  <c r="F65" i="13"/>
  <c r="H65" i="13" s="1"/>
  <c r="G64" i="13"/>
  <c r="Y64" i="13"/>
  <c r="I65" i="13" l="1"/>
  <c r="Z65" i="13"/>
  <c r="AE27" i="13"/>
  <c r="AC27" i="13"/>
  <c r="R27" i="13"/>
  <c r="AA63" i="13"/>
  <c r="J63" i="13"/>
  <c r="K63" i="13" s="1"/>
  <c r="G65" i="13"/>
  <c r="Y65" i="13"/>
  <c r="I64" i="13"/>
  <c r="Z64" i="13"/>
  <c r="E67" i="13"/>
  <c r="F66" i="13"/>
  <c r="H66" i="13" s="1"/>
  <c r="AG27" i="13" l="1"/>
  <c r="N27" i="13"/>
  <c r="AD27" i="13" s="1"/>
  <c r="AA64" i="13"/>
  <c r="J64" i="13"/>
  <c r="K64" i="13" s="1"/>
  <c r="E68" i="13"/>
  <c r="F67" i="13"/>
  <c r="H67" i="13" s="1"/>
  <c r="J65" i="13"/>
  <c r="K65" i="13" s="1"/>
  <c r="AA65" i="13"/>
  <c r="Y66" i="13"/>
  <c r="G66" i="13"/>
  <c r="AH27" i="13" l="1"/>
  <c r="S27" i="13"/>
  <c r="O28" i="13" s="1"/>
  <c r="E69" i="13"/>
  <c r="F68" i="13"/>
  <c r="H68" i="13" s="1"/>
  <c r="I67" i="13"/>
  <c r="Z67" i="13"/>
  <c r="I66" i="13"/>
  <c r="Z66" i="13"/>
  <c r="Y67" i="13"/>
  <c r="G67" i="13"/>
  <c r="Y68" i="13" l="1"/>
  <c r="G68" i="13"/>
  <c r="F69" i="13"/>
  <c r="H69" i="13" s="1"/>
  <c r="E70" i="13"/>
  <c r="U28" i="13"/>
  <c r="J66" i="13"/>
  <c r="K66" i="13" s="1"/>
  <c r="AA66" i="13"/>
  <c r="J67" i="13"/>
  <c r="AA67" i="13"/>
  <c r="K67" i="13"/>
  <c r="M28" i="13" l="1"/>
  <c r="R28" i="13" s="1"/>
  <c r="N28" i="13" s="1"/>
  <c r="AD28" i="13" s="1"/>
  <c r="I69" i="13"/>
  <c r="Z69" i="13"/>
  <c r="F70" i="13"/>
  <c r="H70" i="13" s="1"/>
  <c r="E71" i="13"/>
  <c r="G69" i="13"/>
  <c r="Y69" i="13"/>
  <c r="Z68" i="13"/>
  <c r="I68" i="13"/>
  <c r="H71" i="13" l="1"/>
  <c r="AC28" i="13"/>
  <c r="AE28" i="13"/>
  <c r="I70" i="13"/>
  <c r="Z70" i="13"/>
  <c r="J68" i="13"/>
  <c r="K68" i="13" s="1"/>
  <c r="AA68" i="13"/>
  <c r="G70" i="13"/>
  <c r="Y70" i="13"/>
  <c r="J69" i="13"/>
  <c r="K69" i="13" s="1"/>
  <c r="AA69" i="13"/>
  <c r="F71" i="13"/>
  <c r="E72" i="13"/>
  <c r="S28" i="13"/>
  <c r="O29" i="13" s="1"/>
  <c r="AG28" i="13" l="1"/>
  <c r="AH28" i="13" s="1"/>
  <c r="G71" i="13"/>
  <c r="Y71" i="13"/>
  <c r="F72" i="13"/>
  <c r="H72" i="13" s="1"/>
  <c r="E73" i="13"/>
  <c r="I71" i="13"/>
  <c r="Z71" i="13"/>
  <c r="U29" i="13"/>
  <c r="J70" i="13"/>
  <c r="K70" i="13" s="1"/>
  <c r="AA70" i="13"/>
  <c r="M29" i="13" l="1"/>
  <c r="AC29" i="13" s="1"/>
  <c r="Z72" i="13"/>
  <c r="I72" i="13"/>
  <c r="F73" i="13"/>
  <c r="H73" i="13" s="1"/>
  <c r="E74" i="13"/>
  <c r="J71" i="13"/>
  <c r="K71" i="13" s="1"/>
  <c r="AA71" i="13"/>
  <c r="Y72" i="13"/>
  <c r="G72" i="13"/>
  <c r="AE29" i="13" l="1"/>
  <c r="AG29" i="13" s="1"/>
  <c r="R29" i="13"/>
  <c r="N29" i="13" s="1"/>
  <c r="AD29" i="13" s="1"/>
  <c r="G73" i="13"/>
  <c r="Y73" i="13"/>
  <c r="F74" i="13"/>
  <c r="H74" i="13" s="1"/>
  <c r="E75" i="13"/>
  <c r="AA72" i="13"/>
  <c r="J72" i="13"/>
  <c r="K72" i="13" s="1"/>
  <c r="H75" i="13" l="1"/>
  <c r="S29" i="13"/>
  <c r="O30" i="13" s="1"/>
  <c r="AH29" i="13"/>
  <c r="G74" i="13"/>
  <c r="Y74" i="13"/>
  <c r="U30" i="13"/>
  <c r="M30" i="13" s="1"/>
  <c r="E76" i="13"/>
  <c r="F75" i="13"/>
  <c r="Z73" i="13"/>
  <c r="I73" i="13"/>
  <c r="I74" i="13" l="1"/>
  <c r="Z74" i="13"/>
  <c r="AE30" i="13"/>
  <c r="AC30" i="13"/>
  <c r="AG30" i="13" s="1"/>
  <c r="I75" i="13"/>
  <c r="Z75" i="13"/>
  <c r="AA73" i="13"/>
  <c r="J73" i="13"/>
  <c r="K73" i="13" s="1"/>
  <c r="R30" i="13"/>
  <c r="G75" i="13"/>
  <c r="Y75" i="13"/>
  <c r="F76" i="13"/>
  <c r="H76" i="13" s="1"/>
  <c r="E77" i="13"/>
  <c r="G76" i="13" l="1"/>
  <c r="Y76" i="13"/>
  <c r="J75" i="13"/>
  <c r="K75" i="13" s="1"/>
  <c r="AA75" i="13"/>
  <c r="E78" i="13"/>
  <c r="F77" i="13"/>
  <c r="H77" i="13" s="1"/>
  <c r="AA74" i="13"/>
  <c r="J74" i="13"/>
  <c r="K74" i="13" s="1"/>
  <c r="N30" i="13"/>
  <c r="AD30" i="13" s="1"/>
  <c r="AH30" i="13" l="1"/>
  <c r="I77" i="13"/>
  <c r="Z77" i="13"/>
  <c r="I76" i="13"/>
  <c r="Z76" i="13"/>
  <c r="E79" i="13"/>
  <c r="F78" i="13"/>
  <c r="H78" i="13" s="1"/>
  <c r="Y77" i="13"/>
  <c r="G77" i="13"/>
  <c r="S30" i="13"/>
  <c r="O31" i="13" s="1"/>
  <c r="U31" i="13" l="1"/>
  <c r="Y78" i="13"/>
  <c r="G78" i="13"/>
  <c r="J77" i="13"/>
  <c r="K77" i="13" s="1"/>
  <c r="AA77" i="13"/>
  <c r="F79" i="13"/>
  <c r="H79" i="13" s="1"/>
  <c r="E80" i="13"/>
  <c r="J76" i="13"/>
  <c r="K76" i="13" s="1"/>
  <c r="AA76" i="13"/>
  <c r="M31" i="13" l="1"/>
  <c r="R31" i="13" s="1"/>
  <c r="N31" i="13" s="1"/>
  <c r="AD31" i="13" s="1"/>
  <c r="Z79" i="13"/>
  <c r="I79" i="13"/>
  <c r="F80" i="13"/>
  <c r="H80" i="13" s="1"/>
  <c r="E81" i="13"/>
  <c r="Y79" i="13"/>
  <c r="G79" i="13"/>
  <c r="Z78" i="13"/>
  <c r="I78" i="13"/>
  <c r="AE31" i="13" l="1"/>
  <c r="AC31" i="13"/>
  <c r="Z80" i="13"/>
  <c r="I80" i="13"/>
  <c r="G80" i="13"/>
  <c r="Y80" i="13"/>
  <c r="J78" i="13"/>
  <c r="K78" i="13" s="1"/>
  <c r="AA78" i="13"/>
  <c r="S31" i="13"/>
  <c r="O32" i="13" s="1"/>
  <c r="AA79" i="13"/>
  <c r="J79" i="13"/>
  <c r="K79" i="13" s="1"/>
  <c r="F81" i="13"/>
  <c r="H81" i="13" s="1"/>
  <c r="E82" i="13"/>
  <c r="AG31" i="13" l="1"/>
  <c r="AH31" i="13" s="1"/>
  <c r="I81" i="13"/>
  <c r="Z81" i="13"/>
  <c r="F82" i="13"/>
  <c r="H82" i="13" s="1"/>
  <c r="E83" i="13"/>
  <c r="G81" i="13"/>
  <c r="Y81" i="13"/>
  <c r="AA80" i="13"/>
  <c r="J80" i="13"/>
  <c r="U32" i="13"/>
  <c r="K80" i="13"/>
  <c r="M32" i="13" l="1"/>
  <c r="R32" i="13" s="1"/>
  <c r="N32" i="13" s="1"/>
  <c r="AD32" i="13" s="1"/>
  <c r="Z82" i="13"/>
  <c r="I82" i="13"/>
  <c r="E84" i="13"/>
  <c r="F83" i="13"/>
  <c r="H83" i="13" s="1"/>
  <c r="G82" i="13"/>
  <c r="Y82" i="13"/>
  <c r="AA81" i="13"/>
  <c r="J81" i="13"/>
  <c r="K81" i="13" s="1"/>
  <c r="AE32" i="13" l="1"/>
  <c r="AC32" i="13"/>
  <c r="S32" i="13"/>
  <c r="O33" i="13" s="1"/>
  <c r="U33" i="13" s="1"/>
  <c r="M33" i="13" s="1"/>
  <c r="Y83" i="13"/>
  <c r="G83" i="13"/>
  <c r="E85" i="13"/>
  <c r="F84" i="13"/>
  <c r="H84" i="13" s="1"/>
  <c r="AA82" i="13"/>
  <c r="J82" i="13"/>
  <c r="K82" i="13" s="1"/>
  <c r="AG32" i="13" l="1"/>
  <c r="AH32" i="13" s="1"/>
  <c r="G84" i="13"/>
  <c r="Y84" i="13"/>
  <c r="F85" i="13"/>
  <c r="H85" i="13" s="1"/>
  <c r="E86" i="13"/>
  <c r="AC33" i="13"/>
  <c r="AG33" i="13" s="1"/>
  <c r="AE33" i="13"/>
  <c r="R33" i="13"/>
  <c r="I84" i="13"/>
  <c r="Z84" i="13"/>
  <c r="I83" i="13"/>
  <c r="Z83" i="13"/>
  <c r="E87" i="13" l="1"/>
  <c r="F86" i="13"/>
  <c r="H86" i="13" s="1"/>
  <c r="AA84" i="13"/>
  <c r="J84" i="13"/>
  <c r="K84" i="13" s="1"/>
  <c r="Y85" i="13"/>
  <c r="G85" i="13"/>
  <c r="J83" i="13"/>
  <c r="K83" i="13" s="1"/>
  <c r="AA83" i="13"/>
  <c r="N33" i="13"/>
  <c r="AD33" i="13" s="1"/>
  <c r="AH33" i="13" s="1"/>
  <c r="S33" i="13" l="1"/>
  <c r="O34" i="13" s="1"/>
  <c r="U34" i="13" s="1"/>
  <c r="M34" i="13" s="1"/>
  <c r="Z85" i="13"/>
  <c r="I85" i="13"/>
  <c r="Y86" i="13"/>
  <c r="G86" i="13"/>
  <c r="E88" i="13"/>
  <c r="F87" i="13"/>
  <c r="H87" i="13" s="1"/>
  <c r="Z86" i="13" l="1"/>
  <c r="I86" i="13"/>
  <c r="Y87" i="13"/>
  <c r="G87" i="13"/>
  <c r="AC34" i="13"/>
  <c r="AE34" i="13"/>
  <c r="R34" i="13"/>
  <c r="J85" i="13"/>
  <c r="K85" i="13" s="1"/>
  <c r="AA85" i="13"/>
  <c r="F88" i="13"/>
  <c r="H88" i="13" s="1"/>
  <c r="E89" i="13"/>
  <c r="AG34" i="13" l="1"/>
  <c r="F89" i="13"/>
  <c r="H89" i="13" s="1"/>
  <c r="E90" i="13"/>
  <c r="AA86" i="13"/>
  <c r="J86" i="13"/>
  <c r="K86" i="13" s="1"/>
  <c r="Y88" i="13"/>
  <c r="G88" i="13"/>
  <c r="N34" i="13"/>
  <c r="AD34" i="13" s="1"/>
  <c r="Z87" i="13"/>
  <c r="I87" i="13"/>
  <c r="AH34" i="13" l="1"/>
  <c r="Z88" i="13"/>
  <c r="I88" i="13"/>
  <c r="S34" i="13"/>
  <c r="O35" i="13" s="1"/>
  <c r="I89" i="13"/>
  <c r="Z89" i="13"/>
  <c r="E91" i="13"/>
  <c r="F90" i="13"/>
  <c r="H90" i="13" s="1"/>
  <c r="AA87" i="13"/>
  <c r="J87" i="13"/>
  <c r="K87" i="13" s="1"/>
  <c r="G89" i="13"/>
  <c r="Y89" i="13"/>
  <c r="Z90" i="13" l="1"/>
  <c r="I90" i="13"/>
  <c r="F91" i="13"/>
  <c r="H91" i="13" s="1"/>
  <c r="E92" i="13"/>
  <c r="AA88" i="13"/>
  <c r="J88" i="13"/>
  <c r="K88" i="13" s="1"/>
  <c r="G90" i="13"/>
  <c r="Y90" i="13"/>
  <c r="U35" i="13"/>
  <c r="M35" i="13" s="1"/>
  <c r="AA89" i="13"/>
  <c r="J89" i="13"/>
  <c r="K89" i="13" s="1"/>
  <c r="H92" i="13" l="1"/>
  <c r="F92" i="13"/>
  <c r="E93" i="13"/>
  <c r="Y91" i="13"/>
  <c r="G91" i="13"/>
  <c r="AA90" i="13"/>
  <c r="J90" i="13"/>
  <c r="K90" i="13" s="1"/>
  <c r="AE35" i="13"/>
  <c r="AC35" i="13"/>
  <c r="AG35" i="13" s="1"/>
  <c r="R35" i="13"/>
  <c r="E94" i="13" l="1"/>
  <c r="F93" i="13"/>
  <c r="H93" i="13" s="1"/>
  <c r="N35" i="13"/>
  <c r="AD35" i="13" s="1"/>
  <c r="G92" i="13"/>
  <c r="Y92" i="13"/>
  <c r="I92" i="13"/>
  <c r="Z92" i="13"/>
  <c r="I91" i="13"/>
  <c r="Z91" i="13"/>
  <c r="AH35" i="13" l="1"/>
  <c r="S35" i="13"/>
  <c r="O36" i="13" s="1"/>
  <c r="U36" i="13" s="1"/>
  <c r="M36" i="13" s="1"/>
  <c r="G93" i="13"/>
  <c r="Y93" i="13"/>
  <c r="E95" i="13"/>
  <c r="F94" i="13"/>
  <c r="H94" i="13" s="1"/>
  <c r="J92" i="13"/>
  <c r="K92" i="13" s="1"/>
  <c r="AA92" i="13"/>
  <c r="AA91" i="13"/>
  <c r="J91" i="13"/>
  <c r="K91" i="13" s="1"/>
  <c r="AE36" i="13" l="1"/>
  <c r="AC36" i="13"/>
  <c r="AG36" i="13" s="1"/>
  <c r="I94" i="13"/>
  <c r="Z94" i="13"/>
  <c r="R36" i="13"/>
  <c r="F95" i="13"/>
  <c r="H95" i="13" s="1"/>
  <c r="E96" i="13"/>
  <c r="Z93" i="13"/>
  <c r="I93" i="13"/>
  <c r="Y94" i="13"/>
  <c r="G94" i="13"/>
  <c r="N36" i="13" l="1"/>
  <c r="AD36" i="13" s="1"/>
  <c r="AA94" i="13"/>
  <c r="J94" i="13"/>
  <c r="Y95" i="13"/>
  <c r="G95" i="13"/>
  <c r="AH36" i="13"/>
  <c r="K94" i="13"/>
  <c r="J93" i="13"/>
  <c r="K93" i="13" s="1"/>
  <c r="AA93" i="13"/>
  <c r="F96" i="13"/>
  <c r="H96" i="13" s="1"/>
  <c r="E97" i="13"/>
  <c r="Z95" i="13" l="1"/>
  <c r="I95" i="13"/>
  <c r="E98" i="13"/>
  <c r="F97" i="13"/>
  <c r="H97" i="13" s="1"/>
  <c r="Z96" i="13"/>
  <c r="I96" i="13"/>
  <c r="G96" i="13"/>
  <c r="Y96" i="13"/>
  <c r="S36" i="13"/>
  <c r="O37" i="13" s="1"/>
  <c r="I97" i="13" l="1"/>
  <c r="Z97" i="13"/>
  <c r="E99" i="13"/>
  <c r="F98" i="13"/>
  <c r="H98" i="13" s="1"/>
  <c r="J95" i="13"/>
  <c r="K95" i="13" s="1"/>
  <c r="AA95" i="13"/>
  <c r="AA96" i="13"/>
  <c r="J96" i="13"/>
  <c r="K96" i="13" s="1"/>
  <c r="U37" i="13"/>
  <c r="M37" i="13" s="1"/>
  <c r="Y97" i="13"/>
  <c r="G97" i="13"/>
  <c r="AC37" i="13" l="1"/>
  <c r="AG37" i="13" s="1"/>
  <c r="AE37" i="13"/>
  <c r="F99" i="13"/>
  <c r="H99" i="13" s="1"/>
  <c r="E100" i="13"/>
  <c r="R37" i="13"/>
  <c r="J97" i="13"/>
  <c r="K97" i="13" s="1"/>
  <c r="AA97" i="13"/>
  <c r="Y98" i="13"/>
  <c r="G98" i="13"/>
  <c r="Z99" i="13" l="1"/>
  <c r="I99" i="13"/>
  <c r="N37" i="13"/>
  <c r="AD37" i="13" s="1"/>
  <c r="Z98" i="13"/>
  <c r="I98" i="13"/>
  <c r="Y99" i="13"/>
  <c r="G99" i="13"/>
  <c r="F100" i="13"/>
  <c r="H100" i="13" s="1"/>
  <c r="E101" i="13"/>
  <c r="AH37" i="13" l="1"/>
  <c r="I100" i="13"/>
  <c r="Z100" i="13"/>
  <c r="G100" i="13"/>
  <c r="Y100" i="13"/>
  <c r="S37" i="13"/>
  <c r="O38" i="13" s="1"/>
  <c r="J98" i="13"/>
  <c r="K98" i="13" s="1"/>
  <c r="AA98" i="13"/>
  <c r="E102" i="13"/>
  <c r="F101" i="13"/>
  <c r="H101" i="13" s="1"/>
  <c r="AA99" i="13"/>
  <c r="J99" i="13"/>
  <c r="K99" i="13" s="1"/>
  <c r="E103" i="13" l="1"/>
  <c r="F102" i="13"/>
  <c r="H102" i="13" s="1"/>
  <c r="U38" i="13"/>
  <c r="M38" i="13" s="1"/>
  <c r="G101" i="13"/>
  <c r="Y101" i="13"/>
  <c r="AA100" i="13"/>
  <c r="J100" i="13"/>
  <c r="K100" i="13" s="1"/>
  <c r="I102" i="13" l="1"/>
  <c r="Z102" i="13"/>
  <c r="Z101" i="13"/>
  <c r="I101" i="13"/>
  <c r="AE38" i="13"/>
  <c r="AC38" i="13"/>
  <c r="AG38" i="13" s="1"/>
  <c r="R38" i="13"/>
  <c r="Y102" i="13"/>
  <c r="G102" i="13"/>
  <c r="F103" i="13"/>
  <c r="H103" i="13" s="1"/>
  <c r="E104" i="13"/>
  <c r="AA101" i="13" l="1"/>
  <c r="J101" i="13"/>
  <c r="K101" i="13"/>
  <c r="N38" i="13"/>
  <c r="AD38" i="13" s="1"/>
  <c r="F104" i="13"/>
  <c r="H104" i="13" s="1"/>
  <c r="E105" i="13"/>
  <c r="I103" i="13"/>
  <c r="Z103" i="13"/>
  <c r="G103" i="13"/>
  <c r="Y103" i="13"/>
  <c r="AA102" i="13"/>
  <c r="J102" i="13"/>
  <c r="K102" i="13" s="1"/>
  <c r="AH38" i="13" l="1"/>
  <c r="I104" i="13"/>
  <c r="Z104" i="13"/>
  <c r="S38" i="13"/>
  <c r="O39" i="13" s="1"/>
  <c r="G104" i="13"/>
  <c r="Y104" i="13"/>
  <c r="J103" i="13"/>
  <c r="K103" i="13" s="1"/>
  <c r="AA103" i="13"/>
  <c r="E106" i="13"/>
  <c r="F105" i="13"/>
  <c r="H105" i="13" s="1"/>
  <c r="Y105" i="13" l="1"/>
  <c r="G105" i="13"/>
  <c r="J104" i="13"/>
  <c r="K104" i="13" s="1"/>
  <c r="AA104" i="13"/>
  <c r="U39" i="13"/>
  <c r="E107" i="13"/>
  <c r="F106" i="13"/>
  <c r="H106" i="13" s="1"/>
  <c r="M39" i="13" l="1"/>
  <c r="R39" i="13" s="1"/>
  <c r="N39" i="13" s="1"/>
  <c r="AD39" i="13" s="1"/>
  <c r="Y106" i="13"/>
  <c r="G106" i="13"/>
  <c r="F107" i="13"/>
  <c r="H107" i="13" s="1"/>
  <c r="E108" i="13"/>
  <c r="I105" i="13"/>
  <c r="Z105" i="13"/>
  <c r="AC39" i="13" l="1"/>
  <c r="AE39" i="13"/>
  <c r="Y107" i="13"/>
  <c r="G107" i="13"/>
  <c r="J105" i="13"/>
  <c r="K105" i="13" s="1"/>
  <c r="AA105" i="13"/>
  <c r="Z106" i="13"/>
  <c r="I106" i="13"/>
  <c r="F108" i="13"/>
  <c r="H108" i="13" s="1"/>
  <c r="E109" i="13"/>
  <c r="S39" i="13"/>
  <c r="O40" i="13" s="1"/>
  <c r="AG39" i="13" l="1"/>
  <c r="AH39" i="13" s="1"/>
  <c r="J106" i="13"/>
  <c r="K106" i="13" s="1"/>
  <c r="AA106" i="13"/>
  <c r="E110" i="13"/>
  <c r="F109" i="13"/>
  <c r="H109" i="13" s="1"/>
  <c r="G108" i="13"/>
  <c r="Y108" i="13"/>
  <c r="Z107" i="13"/>
  <c r="I107" i="13"/>
  <c r="U40" i="13"/>
  <c r="M40" i="13" l="1"/>
  <c r="R40" i="13" s="1"/>
  <c r="Z109" i="13"/>
  <c r="I109" i="13"/>
  <c r="AA107" i="13"/>
  <c r="J107" i="13"/>
  <c r="K107" i="13" s="1"/>
  <c r="I108" i="13"/>
  <c r="Z108" i="13"/>
  <c r="E111" i="13"/>
  <c r="F110" i="13"/>
  <c r="H110" i="13" s="1"/>
  <c r="G109" i="13"/>
  <c r="Y109" i="13"/>
  <c r="N40" i="13" l="1"/>
  <c r="AD40" i="13" s="1"/>
  <c r="AE40" i="13"/>
  <c r="AC40" i="13"/>
  <c r="Y110" i="13"/>
  <c r="G110" i="13"/>
  <c r="E112" i="13"/>
  <c r="F111" i="13"/>
  <c r="H111" i="13" s="1"/>
  <c r="AA109" i="13"/>
  <c r="J109" i="13"/>
  <c r="AA108" i="13"/>
  <c r="J108" i="13"/>
  <c r="K108" i="13" s="1"/>
  <c r="K109" i="13"/>
  <c r="AG40" i="13" l="1"/>
  <c r="AH40" i="13" s="1"/>
  <c r="S40" i="13"/>
  <c r="O41" i="13" s="1"/>
  <c r="U41" i="13" s="1"/>
  <c r="M41" i="13"/>
  <c r="R41" i="13" s="1"/>
  <c r="N41" i="13" s="1"/>
  <c r="AD41" i="13" s="1"/>
  <c r="I110" i="13"/>
  <c r="Z110" i="13"/>
  <c r="Y111" i="13"/>
  <c r="G111" i="13"/>
  <c r="F112" i="13"/>
  <c r="H112" i="13" s="1"/>
  <c r="E113" i="13"/>
  <c r="AE41" i="13" l="1"/>
  <c r="AC41" i="13"/>
  <c r="I112" i="13"/>
  <c r="Z112" i="13"/>
  <c r="J110" i="13"/>
  <c r="K110" i="13" s="1"/>
  <c r="AA110" i="13"/>
  <c r="I111" i="13"/>
  <c r="Z111" i="13"/>
  <c r="E114" i="13"/>
  <c r="F113" i="13"/>
  <c r="H113" i="13" s="1"/>
  <c r="Y112" i="13"/>
  <c r="G112" i="13"/>
  <c r="S41" i="13"/>
  <c r="O42" i="13" s="1"/>
  <c r="AG41" i="13" l="1"/>
  <c r="AH41" i="13" s="1"/>
  <c r="J111" i="13"/>
  <c r="K111" i="13" s="1"/>
  <c r="AA111" i="13"/>
  <c r="G113" i="13"/>
  <c r="Y113" i="13"/>
  <c r="U42" i="13"/>
  <c r="E115" i="13"/>
  <c r="F114" i="13"/>
  <c r="H114" i="13" s="1"/>
  <c r="J112" i="13"/>
  <c r="K112" i="13" s="1"/>
  <c r="AA112" i="13"/>
  <c r="H115" i="13" l="1"/>
  <c r="M42" i="13"/>
  <c r="AE42" i="13" s="1"/>
  <c r="Y114" i="13"/>
  <c r="G114" i="13"/>
  <c r="E116" i="13"/>
  <c r="F115" i="13"/>
  <c r="Z113" i="13"/>
  <c r="I113" i="13"/>
  <c r="AC42" i="13" l="1"/>
  <c r="AG42" i="13" s="1"/>
  <c r="R42" i="13"/>
  <c r="Y115" i="13"/>
  <c r="G115" i="13"/>
  <c r="F116" i="13"/>
  <c r="H116" i="13" s="1"/>
  <c r="E117" i="13"/>
  <c r="Z114" i="13"/>
  <c r="I114" i="13"/>
  <c r="J113" i="13"/>
  <c r="K113" i="13" s="1"/>
  <c r="AA113" i="13"/>
  <c r="N42" i="13" l="1"/>
  <c r="AD42" i="13" s="1"/>
  <c r="AH42" i="13" s="1"/>
  <c r="Z115" i="13"/>
  <c r="I115" i="13"/>
  <c r="J114" i="13"/>
  <c r="K114" i="13" s="1"/>
  <c r="AA114" i="13"/>
  <c r="Z116" i="13"/>
  <c r="I116" i="13"/>
  <c r="Y116" i="13"/>
  <c r="G116" i="13"/>
  <c r="F117" i="13"/>
  <c r="H117" i="13" s="1"/>
  <c r="E118" i="13"/>
  <c r="S42" i="13" l="1"/>
  <c r="O43" i="13" s="1"/>
  <c r="U43" i="13" s="1"/>
  <c r="M43" i="13" s="1"/>
  <c r="R43" i="13" s="1"/>
  <c r="N43" i="13" s="1"/>
  <c r="AD43" i="13" s="1"/>
  <c r="AA116" i="13"/>
  <c r="J116" i="13"/>
  <c r="F118" i="13"/>
  <c r="H118" i="13" s="1"/>
  <c r="E119" i="13"/>
  <c r="G117" i="13"/>
  <c r="Y117" i="13"/>
  <c r="J115" i="13"/>
  <c r="AA115" i="13"/>
  <c r="K115" i="13"/>
  <c r="K116" i="13"/>
  <c r="S43" i="13" l="1"/>
  <c r="O44" i="13" s="1"/>
  <c r="U44" i="13" s="1"/>
  <c r="AE43" i="13"/>
  <c r="AC43" i="13"/>
  <c r="G118" i="13"/>
  <c r="Y118" i="13"/>
  <c r="Z117" i="13"/>
  <c r="I117" i="13"/>
  <c r="F119" i="13"/>
  <c r="H119" i="13" s="1"/>
  <c r="E120" i="13"/>
  <c r="AG43" i="13" l="1"/>
  <c r="M44" i="13"/>
  <c r="R44" i="13" s="1"/>
  <c r="N44" i="13" s="1"/>
  <c r="AD44" i="13" s="1"/>
  <c r="AH43" i="13"/>
  <c r="G119" i="13"/>
  <c r="Y119" i="13"/>
  <c r="I119" i="13"/>
  <c r="Z119" i="13"/>
  <c r="AA117" i="13"/>
  <c r="J117" i="13"/>
  <c r="K117" i="13" s="1"/>
  <c r="F120" i="13"/>
  <c r="H120" i="13" s="1"/>
  <c r="E121" i="13"/>
  <c r="Z118" i="13"/>
  <c r="I118" i="13"/>
  <c r="AE44" i="13" l="1"/>
  <c r="AC44" i="13"/>
  <c r="AA119" i="13"/>
  <c r="J119" i="13"/>
  <c r="K119" i="13" s="1"/>
  <c r="G120" i="13"/>
  <c r="Y120" i="13"/>
  <c r="AA118" i="13"/>
  <c r="J118" i="13"/>
  <c r="K118" i="13" s="1"/>
  <c r="E122" i="13"/>
  <c r="F121" i="13"/>
  <c r="H121" i="13" s="1"/>
  <c r="S44" i="13"/>
  <c r="O45" i="13" s="1"/>
  <c r="AG44" i="13" l="1"/>
  <c r="AH44" i="13" s="1"/>
  <c r="E123" i="13"/>
  <c r="F122" i="13"/>
  <c r="H122" i="13" s="1"/>
  <c r="I121" i="13"/>
  <c r="Z121" i="13"/>
  <c r="U45" i="13"/>
  <c r="M45" i="13" s="1"/>
  <c r="I120" i="13"/>
  <c r="Z120" i="13"/>
  <c r="G121" i="13"/>
  <c r="Y121" i="13"/>
  <c r="J121" i="13" l="1"/>
  <c r="K121" i="13" s="1"/>
  <c r="AA121" i="13"/>
  <c r="AC45" i="13"/>
  <c r="AE45" i="13"/>
  <c r="R45" i="13"/>
  <c r="Y122" i="13"/>
  <c r="G122" i="13"/>
  <c r="E124" i="13"/>
  <c r="F123" i="13"/>
  <c r="H123" i="13" s="1"/>
  <c r="J120" i="13"/>
  <c r="K120" i="13" s="1"/>
  <c r="AA120" i="13"/>
  <c r="AG45" i="13" l="1"/>
  <c r="N45" i="13"/>
  <c r="AD45" i="13" s="1"/>
  <c r="F124" i="13"/>
  <c r="H124" i="13" s="1"/>
  <c r="E125" i="13"/>
  <c r="Y123" i="13"/>
  <c r="G123" i="13"/>
  <c r="I122" i="13"/>
  <c r="Z122" i="13"/>
  <c r="AH45" i="13" l="1"/>
  <c r="Y124" i="13"/>
  <c r="G124" i="13"/>
  <c r="Z123" i="13"/>
  <c r="I123" i="13"/>
  <c r="J122" i="13"/>
  <c r="K122" i="13" s="1"/>
  <c r="AA122" i="13"/>
  <c r="S45" i="13"/>
  <c r="O46" i="13" s="1"/>
  <c r="F125" i="13"/>
  <c r="H125" i="13" s="1"/>
  <c r="E126" i="13"/>
  <c r="Z125" i="13" l="1"/>
  <c r="I125" i="13"/>
  <c r="F126" i="13"/>
  <c r="H126" i="13" s="1"/>
  <c r="E127" i="13"/>
  <c r="J123" i="13"/>
  <c r="K123" i="13" s="1"/>
  <c r="AA123" i="13"/>
  <c r="Z124" i="13"/>
  <c r="I124" i="13"/>
  <c r="G125" i="13"/>
  <c r="Y125" i="13"/>
  <c r="U46" i="13"/>
  <c r="M46" i="13" s="1"/>
  <c r="G126" i="13" l="1"/>
  <c r="Y126" i="13"/>
  <c r="AE46" i="13"/>
  <c r="AC46" i="13"/>
  <c r="AG46" i="13" s="1"/>
  <c r="F127" i="13"/>
  <c r="H127" i="13" s="1"/>
  <c r="E128" i="13"/>
  <c r="R46" i="13"/>
  <c r="AA125" i="13"/>
  <c r="J125" i="13"/>
  <c r="K125" i="13" s="1"/>
  <c r="AA124" i="13"/>
  <c r="J124" i="13"/>
  <c r="K124" i="13"/>
  <c r="Z126" i="13" l="1"/>
  <c r="I126" i="13"/>
  <c r="N46" i="13"/>
  <c r="AD46" i="13" s="1"/>
  <c r="F128" i="13"/>
  <c r="H128" i="13" s="1"/>
  <c r="E129" i="13"/>
  <c r="I127" i="13"/>
  <c r="Z127" i="13"/>
  <c r="G127" i="13"/>
  <c r="Y127" i="13"/>
  <c r="AH46" i="13" l="1"/>
  <c r="S46" i="13"/>
  <c r="O47" i="13" s="1"/>
  <c r="AA127" i="13"/>
  <c r="J127" i="13"/>
  <c r="K127" i="13" s="1"/>
  <c r="AA126" i="13"/>
  <c r="J126" i="13"/>
  <c r="K126" i="13" s="1"/>
  <c r="E130" i="13"/>
  <c r="F129" i="13"/>
  <c r="H129" i="13" s="1"/>
  <c r="G128" i="13"/>
  <c r="Y128" i="13"/>
  <c r="I128" i="13" l="1"/>
  <c r="Z128" i="13"/>
  <c r="G129" i="13"/>
  <c r="Y129" i="13"/>
  <c r="E131" i="13"/>
  <c r="F130" i="13"/>
  <c r="H130" i="13" s="1"/>
  <c r="U47" i="13"/>
  <c r="M47" i="13" s="1"/>
  <c r="AE47" i="13" l="1"/>
  <c r="AC47" i="13"/>
  <c r="AG47" i="13" s="1"/>
  <c r="F131" i="13"/>
  <c r="H131" i="13" s="1"/>
  <c r="R47" i="13"/>
  <c r="Y130" i="13"/>
  <c r="G130" i="13"/>
  <c r="I129" i="13"/>
  <c r="Z129" i="13"/>
  <c r="J128" i="13"/>
  <c r="K128" i="13" s="1"/>
  <c r="AA128" i="13"/>
  <c r="I131" i="13" l="1"/>
  <c r="Z131" i="13"/>
  <c r="I130" i="13"/>
  <c r="Z130" i="13"/>
  <c r="J129" i="13"/>
  <c r="K129" i="13" s="1"/>
  <c r="AA129" i="13"/>
  <c r="Y131" i="13"/>
  <c r="G131" i="13"/>
  <c r="N47" i="13"/>
  <c r="AD47" i="13" s="1"/>
  <c r="AH47" i="13" l="1"/>
  <c r="S47" i="13"/>
  <c r="O48" i="13" s="1"/>
  <c r="J130" i="13"/>
  <c r="K130" i="13" s="1"/>
  <c r="AA130" i="13"/>
  <c r="J131" i="13"/>
  <c r="AA131" i="13"/>
  <c r="K131" i="13"/>
  <c r="U48" i="13" l="1"/>
  <c r="M48" i="13" l="1"/>
  <c r="R48" i="13" s="1"/>
  <c r="N48" i="13" s="1"/>
  <c r="AD48" i="13" s="1"/>
  <c r="AE48" i="13" l="1"/>
  <c r="AC48" i="13"/>
  <c r="AG48" i="13" s="1"/>
  <c r="AH48" i="13"/>
  <c r="S48" i="13"/>
  <c r="O49" i="13" s="1"/>
  <c r="U49" i="13" l="1"/>
  <c r="M49" i="13" s="1"/>
  <c r="AE49" i="13" l="1"/>
  <c r="AC49" i="13"/>
  <c r="AG49" i="13" s="1"/>
  <c r="R49" i="13"/>
  <c r="N49" i="13" l="1"/>
  <c r="AD49" i="13" s="1"/>
  <c r="AH49" i="13" l="1"/>
  <c r="S49" i="13"/>
  <c r="O50" i="13" s="1"/>
  <c r="U50" i="13" l="1"/>
  <c r="M50" i="13" l="1"/>
  <c r="R50" i="13" s="1"/>
  <c r="N50" i="13" s="1"/>
  <c r="AD50" i="13" s="1"/>
  <c r="AC50" i="13" l="1"/>
  <c r="AG50" i="13" s="1"/>
  <c r="AE50" i="13"/>
  <c r="S50" i="13"/>
  <c r="O51" i="13" s="1"/>
  <c r="U51" i="13" s="1"/>
  <c r="AH50" i="13"/>
  <c r="M51" i="13" l="1"/>
  <c r="R51" i="13" s="1"/>
  <c r="N51" i="13" s="1"/>
  <c r="AD51" i="13" s="1"/>
  <c r="AC51" i="13" l="1"/>
  <c r="AE51" i="13"/>
  <c r="S51" i="13"/>
  <c r="O52" i="13" s="1"/>
  <c r="U52" i="13" s="1"/>
  <c r="AH51" i="13" l="1"/>
  <c r="AG51" i="13"/>
  <c r="M52" i="13"/>
  <c r="R52" i="13" s="1"/>
  <c r="N52" i="13" s="1"/>
  <c r="AD52" i="13" s="1"/>
  <c r="AE52" i="13" l="1"/>
  <c r="AC52" i="13"/>
  <c r="S52" i="13"/>
  <c r="O53" i="13" s="1"/>
  <c r="AG52" i="13" l="1"/>
  <c r="AH52" i="13" s="1"/>
  <c r="U53" i="13"/>
  <c r="M53" i="13" l="1"/>
  <c r="R53" i="13" s="1"/>
  <c r="N53" i="13" s="1"/>
  <c r="AD53" i="13" s="1"/>
  <c r="AE53" i="13" l="1"/>
  <c r="AC53" i="13"/>
  <c r="AG53" i="13" s="1"/>
  <c r="S53" i="13"/>
  <c r="O54" i="13" s="1"/>
  <c r="AH53" i="13" l="1"/>
  <c r="U54" i="13"/>
  <c r="M54" i="13" s="1"/>
  <c r="AC54" i="13" l="1"/>
  <c r="AG54" i="13" s="1"/>
  <c r="AE54" i="13"/>
  <c r="R54" i="13"/>
  <c r="N54" i="13" l="1"/>
  <c r="AD54" i="13" s="1"/>
  <c r="AH54" i="13" l="1"/>
  <c r="S54" i="13"/>
  <c r="O55" i="13" s="1"/>
  <c r="U55" i="13" l="1"/>
  <c r="M55" i="13" s="1"/>
  <c r="AE55" i="13" l="1"/>
  <c r="AC55" i="13"/>
  <c r="AG55" i="13" s="1"/>
  <c r="R55" i="13"/>
  <c r="N55" i="13" l="1"/>
  <c r="AD55" i="13" s="1"/>
  <c r="AH55" i="13" l="1"/>
  <c r="S55" i="13"/>
  <c r="O56" i="13" s="1"/>
  <c r="U56" i="13" l="1"/>
  <c r="M56" i="13" l="1"/>
  <c r="R56" i="13" s="1"/>
  <c r="N56" i="13" s="1"/>
  <c r="AD56" i="13" s="1"/>
  <c r="AC56" i="13" l="1"/>
  <c r="AE56" i="13"/>
  <c r="S56" i="13"/>
  <c r="O57" i="13" s="1"/>
  <c r="AG56" i="13" l="1"/>
  <c r="AH56" i="13" s="1"/>
  <c r="U57" i="13"/>
  <c r="M57" i="13" l="1"/>
  <c r="R57" i="13" s="1"/>
  <c r="N57" i="13" s="1"/>
  <c r="AD57" i="13" s="1"/>
  <c r="AE57" i="13" l="1"/>
  <c r="AC57" i="13"/>
  <c r="AG57" i="13" s="1"/>
  <c r="AH57" i="13" s="1"/>
  <c r="S57" i="13"/>
  <c r="O58" i="13" s="1"/>
  <c r="U58" i="13" l="1"/>
  <c r="M58" i="13" s="1"/>
  <c r="AC58" i="13" l="1"/>
  <c r="AE58" i="13"/>
  <c r="R58" i="13"/>
  <c r="AG58" i="13" l="1"/>
  <c r="N58" i="13"/>
  <c r="AD58" i="13" s="1"/>
  <c r="AH58" i="13" l="1"/>
  <c r="S58" i="13"/>
  <c r="O59" i="13" s="1"/>
  <c r="U59" i="13" l="1"/>
  <c r="M59" i="13" s="1"/>
  <c r="AE59" i="13" l="1"/>
  <c r="AC59" i="13"/>
  <c r="AG59" i="13" s="1"/>
  <c r="R59" i="13"/>
  <c r="N59" i="13" l="1"/>
  <c r="AD59" i="13" s="1"/>
  <c r="AH59" i="13" s="1"/>
  <c r="S59" i="13" l="1"/>
  <c r="O60" i="13" s="1"/>
  <c r="U60" i="13" l="1"/>
  <c r="M60" i="13" s="1"/>
  <c r="AE60" i="13" l="1"/>
  <c r="AC60" i="13"/>
  <c r="AG60" i="13" s="1"/>
  <c r="R60" i="13"/>
  <c r="N60" i="13" l="1"/>
  <c r="AD60" i="13" s="1"/>
  <c r="AH60" i="13" s="1"/>
  <c r="S60" i="13" l="1"/>
  <c r="O61" i="13" s="1"/>
  <c r="U61" i="13" l="1"/>
  <c r="M61" i="13" l="1"/>
  <c r="R61" i="13" s="1"/>
  <c r="N61" i="13" s="1"/>
  <c r="AD61" i="13" s="1"/>
  <c r="AE61" i="13" l="1"/>
  <c r="AC61" i="13"/>
  <c r="AG61" i="13" s="1"/>
  <c r="AH61" i="13" s="1"/>
  <c r="S61" i="13"/>
  <c r="O62" i="13" s="1"/>
  <c r="U62" i="13" l="1"/>
  <c r="M62" i="13" s="1"/>
  <c r="AC62" i="13" l="1"/>
  <c r="AE62" i="13"/>
  <c r="R62" i="13"/>
  <c r="AG62" i="13" l="1"/>
  <c r="N62" i="13"/>
  <c r="AD62" i="13" s="1"/>
  <c r="AH62" i="13" l="1"/>
  <c r="S62" i="13"/>
  <c r="O63" i="13" s="1"/>
  <c r="U63" i="13" l="1"/>
  <c r="M63" i="13" s="1"/>
  <c r="AC63" i="13" l="1"/>
  <c r="AE63" i="13"/>
  <c r="R63" i="13"/>
  <c r="AG63" i="13" l="1"/>
  <c r="N63" i="13"/>
  <c r="AD63" i="13" s="1"/>
  <c r="AH63" i="13"/>
  <c r="S63" i="13" l="1"/>
  <c r="O64" i="13" s="1"/>
  <c r="U64" i="13" s="1"/>
  <c r="M64" i="13" s="1"/>
  <c r="AC64" i="13" l="1"/>
  <c r="AG64" i="13" s="1"/>
  <c r="AE64" i="13"/>
  <c r="R64" i="13"/>
  <c r="N64" i="13" l="1"/>
  <c r="AD64" i="13" s="1"/>
  <c r="AH64" i="13" l="1"/>
  <c r="S64" i="13"/>
  <c r="O65" i="13" s="1"/>
  <c r="U65" i="13" l="1"/>
  <c r="M65" i="13" s="1"/>
  <c r="AE65" i="13" l="1"/>
  <c r="AC65" i="13"/>
  <c r="AG65" i="13" s="1"/>
  <c r="R65" i="13"/>
  <c r="N65" i="13" l="1"/>
  <c r="AD65" i="13" s="1"/>
  <c r="AH65" i="13"/>
  <c r="S65" i="13" l="1"/>
  <c r="O66" i="13" s="1"/>
  <c r="U66" i="13" l="1"/>
  <c r="M66" i="13" l="1"/>
  <c r="R66" i="13" s="1"/>
  <c r="N66" i="13" s="1"/>
  <c r="AD66" i="13" s="1"/>
  <c r="AC66" i="13" l="1"/>
  <c r="AE66" i="13"/>
  <c r="S66" i="13"/>
  <c r="O67" i="13" s="1"/>
  <c r="AG66" i="13" l="1"/>
  <c r="AH66" i="13" s="1"/>
  <c r="U67" i="13"/>
  <c r="M67" i="13" l="1"/>
  <c r="R67" i="13" s="1"/>
  <c r="N67" i="13" s="1"/>
  <c r="AD67" i="13" s="1"/>
  <c r="AC67" i="13" l="1"/>
  <c r="AG67" i="13" s="1"/>
  <c r="AE67" i="13"/>
  <c r="S67" i="13"/>
  <c r="O68" i="13" s="1"/>
  <c r="AH67" i="13" l="1"/>
  <c r="U68" i="13"/>
  <c r="M68" i="13" l="1"/>
  <c r="R68" i="13" s="1"/>
  <c r="N68" i="13" l="1"/>
  <c r="AD68" i="13" s="1"/>
  <c r="AC68" i="13"/>
  <c r="AG68" i="13" s="1"/>
  <c r="AH68" i="13" s="1"/>
  <c r="AE68" i="13"/>
  <c r="S68" i="13" l="1"/>
  <c r="O69" i="13" s="1"/>
  <c r="U69" i="13" s="1"/>
  <c r="M69" i="13" l="1"/>
  <c r="AE69" i="13" l="1"/>
  <c r="AC69" i="13"/>
  <c r="AG69" i="13" s="1"/>
  <c r="R69" i="13"/>
  <c r="N69" i="13" l="1"/>
  <c r="AD69" i="13" s="1"/>
  <c r="AH69" i="13"/>
  <c r="S69" i="13" l="1"/>
  <c r="O70" i="13" s="1"/>
  <c r="U70" i="13" s="1"/>
  <c r="M70" i="13" s="1"/>
  <c r="AE70" i="13" s="1"/>
  <c r="R70" i="13" l="1"/>
  <c r="N70" i="13" s="1"/>
  <c r="AD70" i="13" s="1"/>
  <c r="AC70" i="13"/>
  <c r="AG70" i="13" l="1"/>
  <c r="AH70" i="13" s="1"/>
  <c r="S70" i="13"/>
  <c r="O71" i="13" s="1"/>
  <c r="U71" i="13" s="1"/>
  <c r="M71" i="13" s="1"/>
  <c r="AE71" i="13" l="1"/>
  <c r="AC71" i="13"/>
  <c r="AG71" i="13" s="1"/>
  <c r="R71" i="13"/>
  <c r="N71" i="13" l="1"/>
  <c r="AD71" i="13" s="1"/>
  <c r="AH71" i="13"/>
  <c r="S71" i="13" l="1"/>
  <c r="O72" i="13" l="1"/>
  <c r="U72" i="13" l="1"/>
  <c r="M72" i="13" l="1"/>
  <c r="R72" i="13" s="1"/>
  <c r="N72" i="13" s="1"/>
  <c r="AD72" i="13" s="1"/>
  <c r="AC72" i="13" l="1"/>
  <c r="AE72" i="13"/>
  <c r="S72" i="13"/>
  <c r="AG72" i="13" l="1"/>
  <c r="AH72" i="13" s="1"/>
  <c r="O73" i="13"/>
  <c r="U73" i="13" l="1"/>
  <c r="M73" i="13" l="1"/>
  <c r="R73" i="13" s="1"/>
  <c r="N73" i="13" s="1"/>
  <c r="AD73" i="13" s="1"/>
  <c r="AE73" i="13" l="1"/>
  <c r="AC73" i="13"/>
  <c r="AG73" i="13" s="1"/>
  <c r="S73" i="13"/>
  <c r="O74" i="13" s="1"/>
  <c r="AH73" i="13" l="1"/>
  <c r="U74" i="13"/>
  <c r="M74" i="13" s="1"/>
  <c r="AC74" i="13" l="1"/>
  <c r="AE74" i="13"/>
  <c r="R74" i="13"/>
  <c r="AG74" i="13" l="1"/>
  <c r="N74" i="13"/>
  <c r="AD74" i="13" s="1"/>
  <c r="AH74" i="13" s="1"/>
  <c r="S74" i="13" l="1"/>
  <c r="O75" i="13" s="1"/>
  <c r="U75" i="13" l="1"/>
  <c r="M75" i="13" s="1"/>
  <c r="AE75" i="13" l="1"/>
  <c r="AC75" i="13"/>
  <c r="AG75" i="13" s="1"/>
  <c r="R75" i="13"/>
  <c r="N75" i="13" l="1"/>
  <c r="AD75" i="13" s="1"/>
  <c r="AH75" i="13" s="1"/>
  <c r="S75" i="13" l="1"/>
  <c r="O76" i="13" l="1"/>
  <c r="U76" i="13" l="1"/>
  <c r="M76" i="13" l="1"/>
  <c r="R76" i="13" s="1"/>
  <c r="N76" i="13" s="1"/>
  <c r="AD76" i="13" s="1"/>
  <c r="AC76" i="13" l="1"/>
  <c r="AG76" i="13" s="1"/>
  <c r="AE76" i="13"/>
  <c r="S76" i="13"/>
  <c r="O77" i="13" s="1"/>
  <c r="AH76" i="13" l="1"/>
  <c r="U77" i="13"/>
  <c r="M77" i="13" l="1"/>
  <c r="R77" i="13" s="1"/>
  <c r="N77" i="13" s="1"/>
  <c r="AD77" i="13" s="1"/>
  <c r="AC77" i="13" l="1"/>
  <c r="AG77" i="13" s="1"/>
  <c r="AE77" i="13"/>
  <c r="S77" i="13"/>
  <c r="O78" i="13" s="1"/>
  <c r="AH77" i="13" l="1"/>
  <c r="U78" i="13"/>
  <c r="M78" i="13" l="1"/>
  <c r="R78" i="13" s="1"/>
  <c r="N78" i="13" s="1"/>
  <c r="AD78" i="13" s="1"/>
  <c r="AC78" i="13" l="1"/>
  <c r="AE78" i="13"/>
  <c r="S78" i="13"/>
  <c r="O79" i="13" s="1"/>
  <c r="AG78" i="13" l="1"/>
  <c r="AH78" i="13" s="1"/>
  <c r="U79" i="13"/>
  <c r="M79" i="13" l="1"/>
  <c r="R79" i="13" s="1"/>
  <c r="N79" i="13" l="1"/>
  <c r="AD79" i="13" s="1"/>
  <c r="AE79" i="13"/>
  <c r="AC79" i="13"/>
  <c r="AG79" i="13" s="1"/>
  <c r="AH79" i="13" s="1"/>
  <c r="S79" i="13" l="1"/>
  <c r="O80" i="13" s="1"/>
  <c r="U80" i="13" s="1"/>
  <c r="M80" i="13" s="1"/>
  <c r="AE80" i="13" s="1"/>
  <c r="AC80" i="13" l="1"/>
  <c r="AG80" i="13" s="1"/>
  <c r="R80" i="13"/>
  <c r="N80" i="13" s="1"/>
  <c r="AD80" i="13" s="1"/>
  <c r="AH80" i="13" l="1"/>
  <c r="S80" i="13"/>
  <c r="O81" i="13" s="1"/>
  <c r="U81" i="13" s="1"/>
  <c r="M81" i="13" s="1"/>
  <c r="AE81" i="13" l="1"/>
  <c r="AC81" i="13"/>
  <c r="AG81" i="13" s="1"/>
  <c r="R81" i="13"/>
  <c r="N81" i="13" l="1"/>
  <c r="AD81" i="13" s="1"/>
  <c r="AH81" i="13" l="1"/>
  <c r="S81" i="13"/>
  <c r="O82" i="13" s="1"/>
  <c r="U82" i="13" l="1"/>
  <c r="M82" i="13" l="1"/>
  <c r="AC82" i="13" s="1"/>
  <c r="AE82" i="13" l="1"/>
  <c r="AG82" i="13" s="1"/>
  <c r="R82" i="13"/>
  <c r="N82" i="13" s="1"/>
  <c r="AD82" i="13" s="1"/>
  <c r="S82" i="13" l="1"/>
  <c r="O83" i="13" s="1"/>
  <c r="U83" i="13" s="1"/>
  <c r="M83" i="13" s="1"/>
  <c r="AH82" i="13"/>
  <c r="AC83" i="13" l="1"/>
  <c r="AE83" i="13"/>
  <c r="R83" i="13"/>
  <c r="AG83" i="13" l="1"/>
  <c r="N83" i="13"/>
  <c r="AD83" i="13" s="1"/>
  <c r="AH83" i="13" s="1"/>
  <c r="S83" i="13" l="1"/>
  <c r="O84" i="13" s="1"/>
  <c r="U84" i="13" l="1"/>
  <c r="M84" i="13" s="1"/>
  <c r="AE84" i="13" l="1"/>
  <c r="AC84" i="13"/>
  <c r="AG84" i="13" s="1"/>
  <c r="R84" i="13"/>
  <c r="N84" i="13" l="1"/>
  <c r="AD84" i="13" s="1"/>
  <c r="AH84" i="13" l="1"/>
  <c r="S84" i="13"/>
  <c r="O85" i="13" s="1"/>
  <c r="U85" i="13" l="1"/>
  <c r="M85" i="13" l="1"/>
  <c r="R85" i="13" s="1"/>
  <c r="N85" i="13" s="1"/>
  <c r="AD85" i="13" s="1"/>
  <c r="AC85" i="13" l="1"/>
  <c r="AE85" i="13"/>
  <c r="S85" i="13"/>
  <c r="O86" i="13" s="1"/>
  <c r="AG85" i="13" l="1"/>
  <c r="AH85" i="13" s="1"/>
  <c r="U86" i="13"/>
  <c r="M86" i="13" l="1"/>
  <c r="R86" i="13" s="1"/>
  <c r="N86" i="13" s="1"/>
  <c r="AD86" i="13" s="1"/>
  <c r="AE86" i="13" l="1"/>
  <c r="AC86" i="13"/>
  <c r="AG86" i="13" s="1"/>
  <c r="AH86" i="13" s="1"/>
  <c r="S86" i="13"/>
  <c r="O87" i="13" s="1"/>
  <c r="U87" i="13" l="1"/>
  <c r="M87" i="13" s="1"/>
  <c r="AE87" i="13" l="1"/>
  <c r="AC87" i="13"/>
  <c r="AG87" i="13" s="1"/>
  <c r="R87" i="13"/>
  <c r="N87" i="13" l="1"/>
  <c r="AD87" i="13" s="1"/>
  <c r="AH87" i="13" l="1"/>
  <c r="S87" i="13"/>
  <c r="O88" i="13" s="1"/>
  <c r="U88" i="13" l="1"/>
  <c r="M88" i="13" l="1"/>
  <c r="R88" i="13" s="1"/>
  <c r="N88" i="13" s="1"/>
  <c r="AD88" i="13" s="1"/>
  <c r="AC88" i="13" l="1"/>
  <c r="AE88" i="13"/>
  <c r="S88" i="13"/>
  <c r="O89" i="13" s="1"/>
  <c r="AG88" i="13" l="1"/>
  <c r="AH88" i="13" s="1"/>
  <c r="U89" i="13"/>
  <c r="M89" i="13" l="1"/>
  <c r="R89" i="13" s="1"/>
  <c r="N89" i="13" s="1"/>
  <c r="AD89" i="13" s="1"/>
  <c r="AC89" i="13" l="1"/>
  <c r="AG89" i="13" s="1"/>
  <c r="AH89" i="13" s="1"/>
  <c r="AE89" i="13"/>
  <c r="S89" i="13"/>
  <c r="O90" i="13" s="1"/>
  <c r="U90" i="13" l="1"/>
  <c r="M90" i="13" l="1"/>
  <c r="R90" i="13" s="1"/>
  <c r="N90" i="13" s="1"/>
  <c r="AD90" i="13" s="1"/>
  <c r="AE90" i="13" l="1"/>
  <c r="AC90" i="13"/>
  <c r="AG90" i="13" s="1"/>
  <c r="AH90" i="13" s="1"/>
  <c r="S90" i="13"/>
  <c r="O91" i="13" s="1"/>
  <c r="U91" i="13" l="1"/>
  <c r="M91" i="13" s="1"/>
  <c r="AC91" i="13" l="1"/>
  <c r="AG91" i="13" s="1"/>
  <c r="AE91" i="13"/>
  <c r="R91" i="13"/>
  <c r="N91" i="13" l="1"/>
  <c r="AD91" i="13" s="1"/>
  <c r="AH91" i="13" l="1"/>
  <c r="S91" i="13"/>
  <c r="O92" i="13" s="1"/>
  <c r="U92" i="13" s="1"/>
  <c r="M92" i="13" l="1"/>
  <c r="R92" i="13" s="1"/>
  <c r="N92" i="13" s="1"/>
  <c r="AD92" i="13" s="1"/>
  <c r="AE92" i="13" l="1"/>
  <c r="AC92" i="13"/>
  <c r="AG92" i="13" s="1"/>
  <c r="S92" i="13"/>
  <c r="O93" i="13" s="1"/>
  <c r="U93" i="13" s="1"/>
  <c r="M93" i="13" s="1"/>
  <c r="AH92" i="13" l="1"/>
  <c r="AE93" i="13"/>
  <c r="AC93" i="13"/>
  <c r="AG93" i="13" s="1"/>
  <c r="R93" i="13"/>
  <c r="N93" i="13" l="1"/>
  <c r="AD93" i="13" s="1"/>
  <c r="AH93" i="13" l="1"/>
  <c r="S93" i="13"/>
  <c r="O94" i="13" s="1"/>
  <c r="U94" i="13" l="1"/>
  <c r="M94" i="13" s="1"/>
  <c r="AE94" i="13" l="1"/>
  <c r="AC94" i="13"/>
  <c r="AG94" i="13" s="1"/>
  <c r="R94" i="13"/>
  <c r="N94" i="13" l="1"/>
  <c r="AD94" i="13" s="1"/>
  <c r="AH94" i="13" l="1"/>
  <c r="S94" i="13"/>
  <c r="O95" i="13" s="1"/>
  <c r="U95" i="13" s="1"/>
  <c r="M95" i="13" s="1"/>
  <c r="AE95" i="13" l="1"/>
  <c r="AC95" i="13"/>
  <c r="R95" i="13"/>
  <c r="AG95" i="13" l="1"/>
  <c r="N95" i="13"/>
  <c r="AD95" i="13" s="1"/>
  <c r="AH95" i="13" l="1"/>
  <c r="S95" i="13"/>
  <c r="O96" i="13" s="1"/>
  <c r="U96" i="13" l="1"/>
  <c r="M96" i="13" l="1"/>
  <c r="R96" i="13" s="1"/>
  <c r="N96" i="13" s="1"/>
  <c r="AD96" i="13" s="1"/>
  <c r="AE96" i="13" l="1"/>
  <c r="AC96" i="13"/>
  <c r="AG96" i="13" s="1"/>
  <c r="S96" i="13"/>
  <c r="O97" i="13" s="1"/>
  <c r="AH96" i="13" l="1"/>
  <c r="U97" i="13"/>
  <c r="M97" i="13" s="1"/>
  <c r="AC97" i="13" l="1"/>
  <c r="AE97" i="13"/>
  <c r="R97" i="13"/>
  <c r="AG97" i="13" l="1"/>
  <c r="N97" i="13"/>
  <c r="AD97" i="13" s="1"/>
  <c r="AH97" i="13" s="1"/>
  <c r="S97" i="13" l="1"/>
  <c r="O98" i="13" s="1"/>
  <c r="U98" i="13" l="1"/>
  <c r="M98" i="13" s="1"/>
  <c r="AC98" i="13" l="1"/>
  <c r="AE98" i="13"/>
  <c r="R98" i="13"/>
  <c r="AG98" i="13" l="1"/>
  <c r="N98" i="13"/>
  <c r="AD98" i="13" s="1"/>
  <c r="AH98" i="13" l="1"/>
  <c r="S98" i="13"/>
  <c r="O99" i="13" s="1"/>
  <c r="U99" i="13" l="1"/>
  <c r="M99" i="13" s="1"/>
  <c r="AE99" i="13" l="1"/>
  <c r="AC99" i="13"/>
  <c r="AG99" i="13" s="1"/>
  <c r="R99" i="13"/>
  <c r="N99" i="13" l="1"/>
  <c r="AD99" i="13" s="1"/>
  <c r="AH99" i="13" l="1"/>
  <c r="S99" i="13"/>
  <c r="O100" i="13" s="1"/>
  <c r="U100" i="13" l="1"/>
  <c r="M100" i="13" s="1"/>
  <c r="AE100" i="13" l="1"/>
  <c r="AC100" i="13"/>
  <c r="AG100" i="13" s="1"/>
  <c r="R100" i="13"/>
  <c r="N100" i="13" l="1"/>
  <c r="AD100" i="13" s="1"/>
  <c r="AH100" i="13" l="1"/>
  <c r="S100" i="13"/>
  <c r="O101" i="13" s="1"/>
  <c r="U101" i="13" l="1"/>
  <c r="M101" i="13" l="1"/>
  <c r="R101" i="13" s="1"/>
  <c r="N101" i="13" s="1"/>
  <c r="AD101" i="13" s="1"/>
  <c r="AE101" i="13" l="1"/>
  <c r="AC101" i="13"/>
  <c r="AG101" i="13" s="1"/>
  <c r="S101" i="13"/>
  <c r="O102" i="13" s="1"/>
  <c r="AH101" i="13" l="1"/>
  <c r="U102" i="13"/>
  <c r="M102" i="13" l="1"/>
  <c r="R102" i="13" s="1"/>
  <c r="N102" i="13" s="1"/>
  <c r="AD102" i="13" s="1"/>
  <c r="AC102" i="13" l="1"/>
  <c r="AE102" i="13"/>
  <c r="S102" i="13"/>
  <c r="O103" i="13" s="1"/>
  <c r="AG102" i="13" l="1"/>
  <c r="AH102" i="13" s="1"/>
  <c r="U103" i="13"/>
  <c r="M103" i="13" s="1"/>
  <c r="AE103" i="13" l="1"/>
  <c r="AC103" i="13"/>
  <c r="AG103" i="13" s="1"/>
  <c r="R103" i="13"/>
  <c r="N103" i="13" l="1"/>
  <c r="AD103" i="13" s="1"/>
  <c r="AH103" i="13" l="1"/>
  <c r="S103" i="13"/>
  <c r="O104" i="13" s="1"/>
  <c r="U104" i="13" s="1"/>
  <c r="M104" i="13" s="1"/>
  <c r="AE104" i="13" l="1"/>
  <c r="AC104" i="13"/>
  <c r="AG104" i="13" s="1"/>
  <c r="R104" i="13"/>
  <c r="N104" i="13" l="1"/>
  <c r="AD104" i="13" s="1"/>
  <c r="AH104" i="13" l="1"/>
  <c r="S104" i="13"/>
  <c r="O105" i="13" s="1"/>
  <c r="U105" i="13" l="1"/>
  <c r="M105" i="13" l="1"/>
  <c r="R105" i="13" s="1"/>
  <c r="N105" i="13" s="1"/>
  <c r="AD105" i="13" s="1"/>
  <c r="AE105" i="13" l="1"/>
  <c r="AC105" i="13"/>
  <c r="AG105" i="13" s="1"/>
  <c r="S105" i="13"/>
  <c r="O106" i="13" s="1"/>
  <c r="AH105" i="13" l="1"/>
  <c r="U106" i="13"/>
  <c r="M106" i="13" l="1"/>
  <c r="R106" i="13" s="1"/>
  <c r="N106" i="13" s="1"/>
  <c r="AD106" i="13" s="1"/>
  <c r="AE106" i="13" l="1"/>
  <c r="AC106" i="13"/>
  <c r="S106" i="13"/>
  <c r="O107" i="13" s="1"/>
  <c r="AG106" i="13" l="1"/>
  <c r="AH106" i="13" s="1"/>
  <c r="U107" i="13"/>
  <c r="M107" i="13" s="1"/>
  <c r="AE107" i="13" l="1"/>
  <c r="AC107" i="13"/>
  <c r="AG107" i="13" s="1"/>
  <c r="R107" i="13"/>
  <c r="N107" i="13" l="1"/>
  <c r="AD107" i="13" s="1"/>
  <c r="AH107" i="13"/>
  <c r="S107" i="13" l="1"/>
  <c r="O108" i="13" s="1"/>
  <c r="U108" i="13" s="1"/>
  <c r="M108" i="13" s="1"/>
  <c r="AE108" i="13" l="1"/>
  <c r="AC108" i="13"/>
  <c r="AG108" i="13" s="1"/>
  <c r="R108" i="13"/>
  <c r="N108" i="13" l="1"/>
  <c r="AD108" i="13" s="1"/>
  <c r="AH108" i="13" l="1"/>
  <c r="S108" i="13"/>
  <c r="O109" i="13" s="1"/>
  <c r="U109" i="13" s="1"/>
  <c r="M109" i="13" l="1"/>
  <c r="R109" i="13" s="1"/>
  <c r="N109" i="13" s="1"/>
  <c r="AD109" i="13" s="1"/>
  <c r="AE109" i="13" l="1"/>
  <c r="AC109" i="13"/>
  <c r="AG109" i="13" s="1"/>
  <c r="S109" i="13"/>
  <c r="O110" i="13" s="1"/>
  <c r="U110" i="13" s="1"/>
  <c r="M110" i="13" s="1"/>
  <c r="AH109" i="13"/>
  <c r="AC110" i="13" l="1"/>
  <c r="AG110" i="13" s="1"/>
  <c r="AE110" i="13"/>
  <c r="R110" i="13"/>
  <c r="N110" i="13" l="1"/>
  <c r="AD110" i="13" s="1"/>
  <c r="AH110" i="13" s="1"/>
  <c r="S110" i="13" l="1"/>
  <c r="O111" i="13" s="1"/>
  <c r="U111" i="13" l="1"/>
  <c r="M111" i="13" s="1"/>
  <c r="AC111" i="13" l="1"/>
  <c r="AG111" i="13" s="1"/>
  <c r="AE111" i="13"/>
  <c r="R111" i="13"/>
  <c r="N111" i="13" l="1"/>
  <c r="AD111" i="13" s="1"/>
  <c r="AH111" i="13" l="1"/>
  <c r="S111" i="13"/>
  <c r="O112" i="13" s="1"/>
  <c r="U112" i="13" l="1"/>
  <c r="M112" i="13" s="1"/>
  <c r="AE112" i="13" l="1"/>
  <c r="AC112" i="13"/>
  <c r="AG112" i="13" s="1"/>
  <c r="R112" i="13"/>
  <c r="N112" i="13" l="1"/>
  <c r="AD112" i="13" s="1"/>
  <c r="AH112" i="13" l="1"/>
  <c r="S112" i="13"/>
  <c r="O113" i="13" s="1"/>
  <c r="U113" i="13" l="1"/>
  <c r="M113" i="13" l="1"/>
  <c r="AE113" i="13" s="1"/>
  <c r="R113" i="13" l="1"/>
  <c r="N113" i="13" s="1"/>
  <c r="AD113" i="13" s="1"/>
  <c r="AC113" i="13"/>
  <c r="AG113" i="13" s="1"/>
  <c r="S113" i="13" l="1"/>
  <c r="O114" i="13" s="1"/>
  <c r="AH113" i="13"/>
  <c r="U114" i="13"/>
  <c r="M114" i="13" s="1"/>
  <c r="AE114" i="13" l="1"/>
  <c r="AC114" i="13"/>
  <c r="AG114" i="13" s="1"/>
  <c r="R114" i="13"/>
  <c r="N114" i="13" l="1"/>
  <c r="AD114" i="13" s="1"/>
  <c r="AH114" i="13" l="1"/>
  <c r="S114" i="13"/>
  <c r="O115" i="13" s="1"/>
  <c r="U115" i="13" l="1"/>
  <c r="M115" i="13" l="1"/>
  <c r="R115" i="13" s="1"/>
  <c r="N115" i="13" s="1"/>
  <c r="AD115" i="13" s="1"/>
  <c r="AC115" i="13" l="1"/>
  <c r="AE115" i="13"/>
  <c r="S115" i="13"/>
  <c r="O116" i="13" s="1"/>
  <c r="AG115" i="13" l="1"/>
  <c r="AH115" i="13"/>
  <c r="U116" i="13"/>
  <c r="M116" i="13" l="1"/>
  <c r="R116" i="13" s="1"/>
  <c r="N116" i="13" l="1"/>
  <c r="AD116" i="13" s="1"/>
  <c r="AC116" i="13"/>
  <c r="AG116" i="13" s="1"/>
  <c r="AE116" i="13"/>
  <c r="AH116" i="13" l="1"/>
  <c r="S116" i="13"/>
  <c r="O117" i="13" s="1"/>
  <c r="U117" i="13" s="1"/>
  <c r="M117" i="13" s="1"/>
  <c r="AC117" i="13" s="1"/>
  <c r="R117" i="13" l="1"/>
  <c r="N117" i="13" s="1"/>
  <c r="AD117" i="13" s="1"/>
  <c r="AE117" i="13"/>
  <c r="AG117" i="13" s="1"/>
  <c r="AH117" i="13" l="1"/>
  <c r="S117" i="13"/>
  <c r="O118" i="13" s="1"/>
  <c r="U118" i="13" l="1"/>
  <c r="M118" i="13" s="1"/>
  <c r="AC118" i="13" l="1"/>
  <c r="AG118" i="13" s="1"/>
  <c r="AE118" i="13"/>
  <c r="R118" i="13"/>
  <c r="N118" i="13" l="1"/>
  <c r="AD118" i="13" s="1"/>
  <c r="S118" i="13" l="1"/>
  <c r="O119" i="13" s="1"/>
  <c r="U119" i="13" s="1"/>
  <c r="M119" i="13" s="1"/>
  <c r="AH118" i="13"/>
  <c r="AC119" i="13" l="1"/>
  <c r="AG119" i="13" s="1"/>
  <c r="AE119" i="13"/>
  <c r="R119" i="13"/>
  <c r="N119" i="13" l="1"/>
  <c r="AD119" i="13" s="1"/>
  <c r="AH119" i="13" l="1"/>
  <c r="S119" i="13"/>
  <c r="O120" i="13" s="1"/>
  <c r="U120" i="13" l="1"/>
  <c r="M120" i="13" s="1"/>
  <c r="AE120" i="13" l="1"/>
  <c r="AC120" i="13"/>
  <c r="AG120" i="13" s="1"/>
  <c r="R120" i="13"/>
  <c r="N120" i="13" l="1"/>
  <c r="AD120" i="13" s="1"/>
  <c r="AH120" i="13" l="1"/>
  <c r="S120" i="13"/>
  <c r="O121" i="13" s="1"/>
  <c r="U121" i="13" l="1"/>
  <c r="M121" i="13" l="1"/>
  <c r="AE121" i="13" s="1"/>
  <c r="R121" i="13" l="1"/>
  <c r="N121" i="13" s="1"/>
  <c r="AD121" i="13" s="1"/>
  <c r="AC121" i="13"/>
  <c r="AG121" i="13" s="1"/>
  <c r="S121" i="13" l="1"/>
  <c r="O122" i="13" s="1"/>
  <c r="AH121" i="13"/>
  <c r="U122" i="13"/>
  <c r="M122" i="13" l="1"/>
  <c r="R122" i="13" s="1"/>
  <c r="N122" i="13" s="1"/>
  <c r="AD122" i="13" s="1"/>
  <c r="AC122" i="13" l="1"/>
  <c r="AE122" i="13"/>
  <c r="S122" i="13"/>
  <c r="O123" i="13" s="1"/>
  <c r="AG122" i="13" l="1"/>
  <c r="AH122" i="13" s="1"/>
  <c r="U123" i="13"/>
  <c r="M123" i="13" l="1"/>
  <c r="R123" i="13" s="1"/>
  <c r="N123" i="13" s="1"/>
  <c r="AD123" i="13" s="1"/>
  <c r="AC123" i="13" l="1"/>
  <c r="AG123" i="13" s="1"/>
  <c r="AE123" i="13"/>
  <c r="AH123" i="13" s="1"/>
  <c r="S123" i="13"/>
  <c r="O124" i="13" s="1"/>
  <c r="U124" i="13" l="1"/>
  <c r="M124" i="13" l="1"/>
  <c r="R124" i="13" s="1"/>
  <c r="N124" i="13" s="1"/>
  <c r="AD124" i="13" s="1"/>
  <c r="AE124" i="13" l="1"/>
  <c r="AC124" i="13"/>
  <c r="AG124" i="13" s="1"/>
  <c r="S124" i="13"/>
  <c r="O125" i="13" s="1"/>
  <c r="U125" i="13" s="1"/>
  <c r="AH124" i="13"/>
  <c r="M125" i="13" l="1"/>
  <c r="R125" i="13" s="1"/>
  <c r="N125" i="13" s="1"/>
  <c r="AD125" i="13" s="1"/>
  <c r="AE125" i="13" l="1"/>
  <c r="AC125" i="13"/>
  <c r="AG125" i="13" s="1"/>
  <c r="S125" i="13"/>
  <c r="O126" i="13" s="1"/>
  <c r="U126" i="13" s="1"/>
  <c r="AH125" i="13" l="1"/>
  <c r="M126" i="13"/>
  <c r="R126" i="13" s="1"/>
  <c r="N126" i="13" s="1"/>
  <c r="AD126" i="13" s="1"/>
  <c r="AE126" i="13" l="1"/>
  <c r="AC126" i="13"/>
  <c r="S126" i="13"/>
  <c r="O127" i="13" s="1"/>
  <c r="AG126" i="13" l="1"/>
  <c r="AH126" i="13" s="1"/>
  <c r="U127" i="13"/>
  <c r="M127" i="13" s="1"/>
  <c r="AC127" i="13" l="1"/>
  <c r="AE127" i="13"/>
  <c r="R127" i="13"/>
  <c r="AG127" i="13" l="1"/>
  <c r="N127" i="13"/>
  <c r="AD127" i="13" s="1"/>
  <c r="AH127" i="13" l="1"/>
  <c r="S127" i="13"/>
  <c r="O128" i="13" s="1"/>
  <c r="U128" i="13" l="1"/>
  <c r="M128" i="13" s="1"/>
  <c r="AE128" i="13" l="1"/>
  <c r="AC128" i="13"/>
  <c r="AG128" i="13" s="1"/>
  <c r="R128" i="13"/>
  <c r="N128" i="13" l="1"/>
  <c r="AD128" i="13" s="1"/>
  <c r="AH128" i="13" l="1"/>
  <c r="S128" i="13"/>
  <c r="O129" i="13" s="1"/>
  <c r="U129" i="13" l="1"/>
  <c r="M129" i="13" l="1"/>
  <c r="R129" i="13" s="1"/>
  <c r="N129" i="13" s="1"/>
  <c r="AD129" i="13" s="1"/>
  <c r="AC129" i="13" l="1"/>
  <c r="AE129" i="13"/>
  <c r="S129" i="13"/>
  <c r="O130" i="13" s="1"/>
  <c r="AG129" i="13" l="1"/>
  <c r="AH129" i="13" s="1"/>
  <c r="U130" i="13"/>
  <c r="M130" i="13" l="1"/>
  <c r="R130" i="13" s="1"/>
  <c r="N130" i="13" s="1"/>
  <c r="AD130" i="13" s="1"/>
  <c r="AC130" i="13" l="1"/>
  <c r="AE130" i="13"/>
  <c r="S130" i="13"/>
  <c r="AG130" i="13" l="1"/>
  <c r="AH130" i="13"/>
  <c r="O131" i="13"/>
  <c r="Q131" i="13"/>
  <c r="AF131" i="13" s="1"/>
  <c r="U131" i="13" l="1"/>
  <c r="M131" i="13" l="1"/>
  <c r="R131" i="13" s="1"/>
  <c r="N131" i="13" s="1"/>
  <c r="AD131" i="13" s="1"/>
  <c r="AC131" i="13" l="1"/>
  <c r="AG131" i="13" s="1"/>
  <c r="AE131" i="13"/>
  <c r="S131" i="13"/>
  <c r="AH131" i="13" l="1"/>
  <c r="T21" i="11" l="1"/>
  <c r="S21" i="11"/>
  <c r="T20" i="11"/>
  <c r="S20" i="11"/>
  <c r="S19" i="11"/>
  <c r="T19" i="11"/>
  <c r="S17" i="11"/>
  <c r="T15" i="11"/>
  <c r="T14" i="11"/>
  <c r="T13" i="11"/>
  <c r="T11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M8" i="11" s="1"/>
  <c r="L9" i="11"/>
  <c r="J9" i="11"/>
  <c r="J10" i="11" s="1"/>
  <c r="J11" i="11" s="1"/>
  <c r="J12" i="11" s="1"/>
  <c r="J13" i="11" s="1"/>
  <c r="J14" i="11" s="1"/>
  <c r="J15" i="11" s="1"/>
  <c r="J16" i="11" s="1"/>
  <c r="J17" i="11" s="1"/>
  <c r="J18" i="11" s="1"/>
  <c r="J19" i="11" s="1"/>
  <c r="J20" i="11" s="1"/>
  <c r="J21" i="11" s="1"/>
  <c r="J22" i="11" s="1"/>
  <c r="J23" i="11" s="1"/>
  <c r="J24" i="11" s="1"/>
  <c r="J25" i="11" s="1"/>
  <c r="J26" i="11" s="1"/>
  <c r="J27" i="11" s="1"/>
  <c r="E9" i="11"/>
  <c r="E10" i="11" s="1"/>
  <c r="E11" i="11" s="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J8" i="11"/>
  <c r="G8" i="11"/>
  <c r="G9" i="11" s="1"/>
  <c r="F8" i="11"/>
  <c r="F9" i="11" s="1"/>
  <c r="S20" i="25"/>
  <c r="S13" i="25"/>
  <c r="B27" i="25"/>
  <c r="B26" i="25"/>
  <c r="B25" i="25"/>
  <c r="B24" i="25"/>
  <c r="B23" i="25"/>
  <c r="B22" i="25"/>
  <c r="B21" i="25"/>
  <c r="B20" i="25"/>
  <c r="B19" i="25"/>
  <c r="B18" i="25"/>
  <c r="B17" i="25"/>
  <c r="B16" i="25"/>
  <c r="B15" i="25"/>
  <c r="B14" i="25"/>
  <c r="B13" i="25"/>
  <c r="B12" i="25"/>
  <c r="A12" i="25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B11" i="25"/>
  <c r="A11" i="25"/>
  <c r="E10" i="25"/>
  <c r="B10" i="25"/>
  <c r="L9" i="25"/>
  <c r="G9" i="25"/>
  <c r="E9" i="25"/>
  <c r="B9" i="25"/>
  <c r="A9" i="25"/>
  <c r="A10" i="25" s="1"/>
  <c r="J8" i="25"/>
  <c r="J9" i="25" s="1"/>
  <c r="J10" i="25" s="1"/>
  <c r="J11" i="25" s="1"/>
  <c r="J12" i="25" s="1"/>
  <c r="J13" i="25" s="1"/>
  <c r="J14" i="25" s="1"/>
  <c r="J15" i="25" s="1"/>
  <c r="J16" i="25" s="1"/>
  <c r="J17" i="25" s="1"/>
  <c r="J18" i="25" s="1"/>
  <c r="J19" i="25" s="1"/>
  <c r="J20" i="25" s="1"/>
  <c r="J21" i="25" s="1"/>
  <c r="J22" i="25" s="1"/>
  <c r="J23" i="25" s="1"/>
  <c r="J24" i="25" s="1"/>
  <c r="J25" i="25" s="1"/>
  <c r="J26" i="25" s="1"/>
  <c r="J27" i="25" s="1"/>
  <c r="H8" i="25"/>
  <c r="G8" i="25"/>
  <c r="F8" i="25"/>
  <c r="F9" i="25" s="1"/>
  <c r="B8" i="25"/>
  <c r="D7" i="24"/>
  <c r="D5" i="24"/>
  <c r="D8" i="24" s="1"/>
  <c r="D9" i="24" s="1"/>
  <c r="M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F10" i="11" l="1"/>
  <c r="H9" i="11"/>
  <c r="N9" i="11" s="1"/>
  <c r="G10" i="11"/>
  <c r="E12" i="11"/>
  <c r="L11" i="11"/>
  <c r="L10" i="11"/>
  <c r="H8" i="11"/>
  <c r="N8" i="11" s="1"/>
  <c r="O8" i="11" s="1"/>
  <c r="P8" i="11" s="1"/>
  <c r="I9" i="11" s="1"/>
  <c r="M9" i="11" s="1"/>
  <c r="O9" i="11" s="1"/>
  <c r="P9" i="11" s="1"/>
  <c r="I10" i="11" s="1"/>
  <c r="M10" i="11" s="1"/>
  <c r="S13" i="11"/>
  <c r="H9" i="25"/>
  <c r="N9" i="25" s="1"/>
  <c r="F10" i="25"/>
  <c r="L10" i="25"/>
  <c r="E11" i="25"/>
  <c r="M8" i="25"/>
  <c r="O8" i="25" s="1"/>
  <c r="P8" i="25" s="1"/>
  <c r="I9" i="25" s="1"/>
  <c r="M9" i="25" s="1"/>
  <c r="G10" i="25"/>
  <c r="N8" i="25"/>
  <c r="B27" i="21"/>
  <c r="B26" i="21"/>
  <c r="B25" i="21"/>
  <c r="B24" i="21"/>
  <c r="B23" i="21"/>
  <c r="B22" i="21"/>
  <c r="B21" i="21"/>
  <c r="B20" i="21"/>
  <c r="B19" i="21"/>
  <c r="B18" i="21"/>
  <c r="B17" i="21"/>
  <c r="B16" i="21"/>
  <c r="B15" i="21"/>
  <c r="B14" i="21"/>
  <c r="B13" i="21"/>
  <c r="B12" i="21"/>
  <c r="B11" i="21"/>
  <c r="B10" i="21"/>
  <c r="B9" i="21"/>
  <c r="B8" i="21"/>
  <c r="A13" i="2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11" i="21"/>
  <c r="A12" i="21" s="1"/>
  <c r="J10" i="21"/>
  <c r="J11" i="21" s="1"/>
  <c r="J12" i="21" s="1"/>
  <c r="J13" i="21" s="1"/>
  <c r="J14" i="21" s="1"/>
  <c r="J15" i="21" s="1"/>
  <c r="J16" i="21" s="1"/>
  <c r="J17" i="21" s="1"/>
  <c r="J18" i="21" s="1"/>
  <c r="J19" i="21" s="1"/>
  <c r="J20" i="21" s="1"/>
  <c r="J21" i="21" s="1"/>
  <c r="J22" i="21" s="1"/>
  <c r="J23" i="21" s="1"/>
  <c r="J24" i="21" s="1"/>
  <c r="J25" i="21" s="1"/>
  <c r="J26" i="21" s="1"/>
  <c r="J27" i="21" s="1"/>
  <c r="A10" i="21"/>
  <c r="F9" i="21"/>
  <c r="F10" i="21" s="1"/>
  <c r="F11" i="21" s="1"/>
  <c r="E9" i="21"/>
  <c r="A9" i="21"/>
  <c r="J8" i="21"/>
  <c r="J9" i="21" s="1"/>
  <c r="G8" i="21"/>
  <c r="G9" i="21" s="1"/>
  <c r="F8" i="21"/>
  <c r="L12" i="11" l="1"/>
  <c r="E13" i="11"/>
  <c r="G11" i="11"/>
  <c r="H10" i="11"/>
  <c r="N10" i="11" s="1"/>
  <c r="O10" i="11" s="1"/>
  <c r="P10" i="11" s="1"/>
  <c r="I11" i="11" s="1"/>
  <c r="M11" i="11" s="1"/>
  <c r="F11" i="11"/>
  <c r="G11" i="25"/>
  <c r="O9" i="25"/>
  <c r="P9" i="25" s="1"/>
  <c r="I10" i="25" s="1"/>
  <c r="M10" i="25" s="1"/>
  <c r="F11" i="25"/>
  <c r="H10" i="25"/>
  <c r="N10" i="25" s="1"/>
  <c r="L11" i="25"/>
  <c r="E12" i="25"/>
  <c r="G10" i="21"/>
  <c r="F12" i="21"/>
  <c r="N8" i="21"/>
  <c r="O8" i="21" s="1"/>
  <c r="P8" i="21" s="1"/>
  <c r="I9" i="21" s="1"/>
  <c r="M9" i="21" s="1"/>
  <c r="L9" i="21"/>
  <c r="E10" i="21"/>
  <c r="N9" i="21"/>
  <c r="F12" i="11" l="1"/>
  <c r="H11" i="11"/>
  <c r="N11" i="11" s="1"/>
  <c r="O11" i="11" s="1"/>
  <c r="P11" i="11" s="1"/>
  <c r="I12" i="11" s="1"/>
  <c r="M12" i="11" s="1"/>
  <c r="G12" i="11"/>
  <c r="E14" i="11"/>
  <c r="L13" i="11"/>
  <c r="E13" i="25"/>
  <c r="L12" i="25"/>
  <c r="O10" i="25"/>
  <c r="P10" i="25" s="1"/>
  <c r="I11" i="25" s="1"/>
  <c r="M11" i="25" s="1"/>
  <c r="H11" i="25"/>
  <c r="N11" i="25" s="1"/>
  <c r="F12" i="25"/>
  <c r="G12" i="25"/>
  <c r="O9" i="21"/>
  <c r="P9" i="21" s="1"/>
  <c r="I10" i="21" s="1"/>
  <c r="L10" i="21"/>
  <c r="E11" i="21"/>
  <c r="F13" i="21"/>
  <c r="N10" i="21"/>
  <c r="G11" i="21"/>
  <c r="E15" i="11" l="1"/>
  <c r="L14" i="11"/>
  <c r="G13" i="11"/>
  <c r="F13" i="11"/>
  <c r="H12" i="11"/>
  <c r="N12" i="11" s="1"/>
  <c r="O12" i="11" s="1"/>
  <c r="P12" i="11" s="1"/>
  <c r="I13" i="11" s="1"/>
  <c r="M13" i="11" s="1"/>
  <c r="G13" i="25"/>
  <c r="H12" i="25"/>
  <c r="N12" i="25" s="1"/>
  <c r="F13" i="25"/>
  <c r="O11" i="25"/>
  <c r="P11" i="25" s="1"/>
  <c r="I12" i="25" s="1"/>
  <c r="M12" i="25" s="1"/>
  <c r="L13" i="25"/>
  <c r="E14" i="25"/>
  <c r="G12" i="21"/>
  <c r="N11" i="21"/>
  <c r="F14" i="21"/>
  <c r="L11" i="21"/>
  <c r="E12" i="21"/>
  <c r="M10" i="21"/>
  <c r="O10" i="21" s="1"/>
  <c r="P10" i="21" s="1"/>
  <c r="I11" i="21" s="1"/>
  <c r="G14" i="11" l="1"/>
  <c r="E16" i="11"/>
  <c r="L15" i="11"/>
  <c r="H13" i="11"/>
  <c r="N13" i="11" s="1"/>
  <c r="O13" i="11" s="1"/>
  <c r="P13" i="11" s="1"/>
  <c r="I14" i="11" s="1"/>
  <c r="M14" i="11" s="1"/>
  <c r="F14" i="11"/>
  <c r="L14" i="25"/>
  <c r="E15" i="25"/>
  <c r="F14" i="25"/>
  <c r="H13" i="25"/>
  <c r="N13" i="25" s="1"/>
  <c r="O12" i="25"/>
  <c r="P12" i="25" s="1"/>
  <c r="I13" i="25" s="1"/>
  <c r="M13" i="25" s="1"/>
  <c r="G14" i="25"/>
  <c r="M11" i="21"/>
  <c r="O11" i="21" s="1"/>
  <c r="P11" i="21" s="1"/>
  <c r="I12" i="21" s="1"/>
  <c r="F15" i="21"/>
  <c r="G13" i="21"/>
  <c r="N12" i="21"/>
  <c r="L12" i="21"/>
  <c r="E13" i="21"/>
  <c r="G15" i="11" l="1"/>
  <c r="E17" i="11"/>
  <c r="L16" i="11"/>
  <c r="F15" i="11"/>
  <c r="H14" i="11"/>
  <c r="N14" i="11" s="1"/>
  <c r="O14" i="11" s="1"/>
  <c r="P14" i="11" s="1"/>
  <c r="I15" i="11" s="1"/>
  <c r="M15" i="11" s="1"/>
  <c r="O13" i="25"/>
  <c r="P13" i="25" s="1"/>
  <c r="I14" i="25" s="1"/>
  <c r="M14" i="25" s="1"/>
  <c r="H14" i="25"/>
  <c r="N14" i="25" s="1"/>
  <c r="F15" i="25"/>
  <c r="G15" i="25"/>
  <c r="L15" i="25"/>
  <c r="E16" i="25"/>
  <c r="F16" i="21"/>
  <c r="E14" i="21"/>
  <c r="L13" i="21"/>
  <c r="M12" i="21"/>
  <c r="O12" i="21" s="1"/>
  <c r="P12" i="21" s="1"/>
  <c r="I13" i="21" s="1"/>
  <c r="M13" i="21" s="1"/>
  <c r="O13" i="21" s="1"/>
  <c r="P13" i="21" s="1"/>
  <c r="I14" i="21" s="1"/>
  <c r="N13" i="21"/>
  <c r="G14" i="21"/>
  <c r="G16" i="11" l="1"/>
  <c r="F16" i="11"/>
  <c r="H15" i="11"/>
  <c r="N15" i="11" s="1"/>
  <c r="O15" i="11" s="1"/>
  <c r="P15" i="11" s="1"/>
  <c r="I16" i="11" s="1"/>
  <c r="M16" i="11" s="1"/>
  <c r="L17" i="11"/>
  <c r="E18" i="11"/>
  <c r="G16" i="25"/>
  <c r="E17" i="25"/>
  <c r="L16" i="25"/>
  <c r="F16" i="25"/>
  <c r="H15" i="25"/>
  <c r="N15" i="25" s="1"/>
  <c r="O14" i="25"/>
  <c r="P14" i="25" s="1"/>
  <c r="I15" i="25" s="1"/>
  <c r="M15" i="25" s="1"/>
  <c r="L14" i="21"/>
  <c r="M14" i="21" s="1"/>
  <c r="E15" i="21"/>
  <c r="N14" i="21"/>
  <c r="G15" i="21"/>
  <c r="F17" i="21"/>
  <c r="H16" i="11" l="1"/>
  <c r="N16" i="11" s="1"/>
  <c r="O16" i="11" s="1"/>
  <c r="P16" i="11" s="1"/>
  <c r="I17" i="11" s="1"/>
  <c r="M17" i="11" s="1"/>
  <c r="F17" i="11"/>
  <c r="L18" i="11"/>
  <c r="E19" i="11"/>
  <c r="G17" i="11"/>
  <c r="O15" i="25"/>
  <c r="P15" i="25" s="1"/>
  <c r="I16" i="25" s="1"/>
  <c r="M16" i="25" s="1"/>
  <c r="F17" i="25"/>
  <c r="H16" i="25"/>
  <c r="N16" i="25" s="1"/>
  <c r="E18" i="25"/>
  <c r="L17" i="25"/>
  <c r="G17" i="25"/>
  <c r="O14" i="21"/>
  <c r="P14" i="21" s="1"/>
  <c r="I15" i="21" s="1"/>
  <c r="E16" i="21"/>
  <c r="L15" i="21"/>
  <c r="F18" i="21"/>
  <c r="G16" i="21"/>
  <c r="N15" i="21"/>
  <c r="F18" i="11" l="1"/>
  <c r="H17" i="11"/>
  <c r="N17" i="11" s="1"/>
  <c r="O17" i="11" s="1"/>
  <c r="P17" i="11" s="1"/>
  <c r="I18" i="11" s="1"/>
  <c r="M18" i="11" s="1"/>
  <c r="G18" i="11"/>
  <c r="E20" i="11"/>
  <c r="L19" i="11"/>
  <c r="H17" i="25"/>
  <c r="N17" i="25" s="1"/>
  <c r="F18" i="25"/>
  <c r="G18" i="25"/>
  <c r="L18" i="25"/>
  <c r="E19" i="25"/>
  <c r="O16" i="25"/>
  <c r="P16" i="25" s="1"/>
  <c r="I17" i="25" s="1"/>
  <c r="M17" i="25" s="1"/>
  <c r="M15" i="21"/>
  <c r="O15" i="21" s="1"/>
  <c r="P15" i="21" s="1"/>
  <c r="I16" i="21" s="1"/>
  <c r="G17" i="21"/>
  <c r="N16" i="21"/>
  <c r="L16" i="21"/>
  <c r="E17" i="21"/>
  <c r="F19" i="21"/>
  <c r="E21" i="11" l="1"/>
  <c r="L20" i="11"/>
  <c r="G19" i="11"/>
  <c r="F19" i="11"/>
  <c r="H18" i="11"/>
  <c r="N18" i="11" s="1"/>
  <c r="O18" i="11" s="1"/>
  <c r="P18" i="11" s="1"/>
  <c r="I19" i="11" s="1"/>
  <c r="M19" i="11" s="1"/>
  <c r="E20" i="25"/>
  <c r="L19" i="25"/>
  <c r="O17" i="25"/>
  <c r="P17" i="25" s="1"/>
  <c r="I18" i="25" s="1"/>
  <c r="M18" i="25" s="1"/>
  <c r="G19" i="25"/>
  <c r="F19" i="25"/>
  <c r="H18" i="25"/>
  <c r="N18" i="25" s="1"/>
  <c r="M16" i="21"/>
  <c r="O16" i="21" s="1"/>
  <c r="P16" i="21" s="1"/>
  <c r="I17" i="21" s="1"/>
  <c r="F20" i="21"/>
  <c r="E18" i="21"/>
  <c r="L17" i="21"/>
  <c r="M17" i="21" s="1"/>
  <c r="G18" i="21"/>
  <c r="N17" i="21"/>
  <c r="H19" i="11" l="1"/>
  <c r="N19" i="11" s="1"/>
  <c r="O19" i="11" s="1"/>
  <c r="P19" i="11" s="1"/>
  <c r="I20" i="11" s="1"/>
  <c r="M20" i="11" s="1"/>
  <c r="F20" i="11"/>
  <c r="G20" i="11"/>
  <c r="L21" i="11"/>
  <c r="E22" i="11"/>
  <c r="O18" i="25"/>
  <c r="P18" i="25" s="1"/>
  <c r="I19" i="25" s="1"/>
  <c r="M19" i="25" s="1"/>
  <c r="F20" i="25"/>
  <c r="H19" i="25"/>
  <c r="N19" i="25" s="1"/>
  <c r="G20" i="25"/>
  <c r="E21" i="25"/>
  <c r="L20" i="25"/>
  <c r="O17" i="21"/>
  <c r="P17" i="21" s="1"/>
  <c r="I18" i="21" s="1"/>
  <c r="F21" i="21"/>
  <c r="N18" i="21"/>
  <c r="G19" i="21"/>
  <c r="E19" i="21"/>
  <c r="L18" i="21"/>
  <c r="G21" i="11" l="1"/>
  <c r="H20" i="11"/>
  <c r="N20" i="11" s="1"/>
  <c r="O20" i="11" s="1"/>
  <c r="P20" i="11" s="1"/>
  <c r="I21" i="11" s="1"/>
  <c r="M21" i="11" s="1"/>
  <c r="F21" i="11"/>
  <c r="E23" i="11"/>
  <c r="L22" i="11"/>
  <c r="L21" i="25"/>
  <c r="E22" i="25"/>
  <c r="G21" i="25"/>
  <c r="H20" i="25"/>
  <c r="N20" i="25" s="1"/>
  <c r="F21" i="25"/>
  <c r="O19" i="25"/>
  <c r="P19" i="25" s="1"/>
  <c r="I20" i="25" s="1"/>
  <c r="M20" i="25" s="1"/>
  <c r="M18" i="21"/>
  <c r="O18" i="21" s="1"/>
  <c r="P18" i="21" s="1"/>
  <c r="I19" i="21" s="1"/>
  <c r="L19" i="21"/>
  <c r="E20" i="21"/>
  <c r="F22" i="21"/>
  <c r="N19" i="21"/>
  <c r="G20" i="21"/>
  <c r="H21" i="11" l="1"/>
  <c r="N21" i="11" s="1"/>
  <c r="O21" i="11" s="1"/>
  <c r="P21" i="11" s="1"/>
  <c r="I22" i="11" s="1"/>
  <c r="M22" i="11" s="1"/>
  <c r="F22" i="11"/>
  <c r="L23" i="11"/>
  <c r="E24" i="11"/>
  <c r="G22" i="11"/>
  <c r="O20" i="25"/>
  <c r="P20" i="25" s="1"/>
  <c r="I21" i="25" s="1"/>
  <c r="M21" i="25" s="1"/>
  <c r="F22" i="25"/>
  <c r="H21" i="25"/>
  <c r="N21" i="25" s="1"/>
  <c r="G22" i="25"/>
  <c r="E23" i="25"/>
  <c r="L22" i="25"/>
  <c r="M19" i="21"/>
  <c r="O19" i="21" s="1"/>
  <c r="P19" i="21" s="1"/>
  <c r="I20" i="21" s="1"/>
  <c r="F23" i="21"/>
  <c r="L20" i="21"/>
  <c r="E21" i="21"/>
  <c r="G21" i="21"/>
  <c r="N20" i="21"/>
  <c r="L24" i="11" l="1"/>
  <c r="E25" i="11"/>
  <c r="G23" i="11"/>
  <c r="H22" i="11"/>
  <c r="N22" i="11" s="1"/>
  <c r="O22" i="11" s="1"/>
  <c r="P22" i="11" s="1"/>
  <c r="I23" i="11" s="1"/>
  <c r="M23" i="11" s="1"/>
  <c r="F23" i="11"/>
  <c r="L23" i="25"/>
  <c r="E24" i="25"/>
  <c r="H22" i="25"/>
  <c r="N22" i="25" s="1"/>
  <c r="F23" i="25"/>
  <c r="G23" i="25"/>
  <c r="O21" i="25"/>
  <c r="P21" i="25" s="1"/>
  <c r="I22" i="25" s="1"/>
  <c r="M22" i="25" s="1"/>
  <c r="M20" i="21"/>
  <c r="O20" i="21" s="1"/>
  <c r="P20" i="21" s="1"/>
  <c r="I21" i="21" s="1"/>
  <c r="N21" i="21"/>
  <c r="G22" i="21"/>
  <c r="F24" i="21"/>
  <c r="L21" i="21"/>
  <c r="E22" i="21"/>
  <c r="F24" i="11" l="1"/>
  <c r="H23" i="11"/>
  <c r="N23" i="11" s="1"/>
  <c r="O23" i="11" s="1"/>
  <c r="P23" i="11" s="1"/>
  <c r="I24" i="11" s="1"/>
  <c r="M24" i="11" s="1"/>
  <c r="L25" i="11"/>
  <c r="E26" i="11"/>
  <c r="G24" i="11"/>
  <c r="F24" i="25"/>
  <c r="H23" i="25"/>
  <c r="N23" i="25" s="1"/>
  <c r="L24" i="25"/>
  <c r="E25" i="25"/>
  <c r="O22" i="25"/>
  <c r="P22" i="25" s="1"/>
  <c r="I23" i="25" s="1"/>
  <c r="M23" i="25" s="1"/>
  <c r="G24" i="25"/>
  <c r="M21" i="21"/>
  <c r="O21" i="21" s="1"/>
  <c r="P21" i="21" s="1"/>
  <c r="I22" i="21" s="1"/>
  <c r="N22" i="21"/>
  <c r="G23" i="21"/>
  <c r="F25" i="21"/>
  <c r="E23" i="21"/>
  <c r="L22" i="21"/>
  <c r="G25" i="11" l="1"/>
  <c r="F25" i="11"/>
  <c r="H24" i="11"/>
  <c r="N24" i="11" s="1"/>
  <c r="O24" i="11" s="1"/>
  <c r="P24" i="11" s="1"/>
  <c r="I25" i="11" s="1"/>
  <c r="M25" i="11" s="1"/>
  <c r="L26" i="11"/>
  <c r="E27" i="11"/>
  <c r="L27" i="11" s="1"/>
  <c r="O23" i="25"/>
  <c r="P23" i="25" s="1"/>
  <c r="I24" i="25" s="1"/>
  <c r="M24" i="25" s="1"/>
  <c r="L25" i="25"/>
  <c r="E26" i="25"/>
  <c r="G25" i="25"/>
  <c r="H24" i="25"/>
  <c r="N24" i="25" s="1"/>
  <c r="F25" i="25"/>
  <c r="M22" i="21"/>
  <c r="O22" i="21" s="1"/>
  <c r="P22" i="21" s="1"/>
  <c r="I23" i="21" s="1"/>
  <c r="L23" i="21"/>
  <c r="E24" i="21"/>
  <c r="N23" i="21"/>
  <c r="G24" i="21"/>
  <c r="F26" i="21"/>
  <c r="G26" i="11" l="1"/>
  <c r="H25" i="11"/>
  <c r="N25" i="11" s="1"/>
  <c r="O25" i="11" s="1"/>
  <c r="P25" i="11" s="1"/>
  <c r="I26" i="11" s="1"/>
  <c r="M26" i="11" s="1"/>
  <c r="F26" i="11"/>
  <c r="H25" i="25"/>
  <c r="N25" i="25" s="1"/>
  <c r="F26" i="25"/>
  <c r="L26" i="25"/>
  <c r="E27" i="25"/>
  <c r="L27" i="25" s="1"/>
  <c r="G26" i="25"/>
  <c r="O24" i="25"/>
  <c r="P24" i="25" s="1"/>
  <c r="I25" i="25" s="1"/>
  <c r="M25" i="25" s="1"/>
  <c r="M23" i="21"/>
  <c r="O23" i="21" s="1"/>
  <c r="P23" i="21" s="1"/>
  <c r="I24" i="21" s="1"/>
  <c r="L24" i="21"/>
  <c r="E25" i="21"/>
  <c r="F27" i="21"/>
  <c r="G25" i="21"/>
  <c r="N24" i="21"/>
  <c r="F27" i="11" l="1"/>
  <c r="H27" i="11" s="1"/>
  <c r="H26" i="11"/>
  <c r="N26" i="11" s="1"/>
  <c r="O26" i="11" s="1"/>
  <c r="P26" i="11" s="1"/>
  <c r="I27" i="11" s="1"/>
  <c r="M27" i="11" s="1"/>
  <c r="O27" i="11" s="1"/>
  <c r="P27" i="11" s="1"/>
  <c r="S11" i="11" s="1"/>
  <c r="S14" i="11" s="1"/>
  <c r="S15" i="11" s="1"/>
  <c r="G27" i="11"/>
  <c r="N27" i="11" s="1"/>
  <c r="G27" i="25"/>
  <c r="F27" i="25"/>
  <c r="H27" i="25" s="1"/>
  <c r="H26" i="25"/>
  <c r="N26" i="25" s="1"/>
  <c r="O25" i="25"/>
  <c r="P25" i="25" s="1"/>
  <c r="I26" i="25" s="1"/>
  <c r="M26" i="25" s="1"/>
  <c r="M24" i="21"/>
  <c r="O24" i="21"/>
  <c r="P24" i="21" s="1"/>
  <c r="I25" i="21" s="1"/>
  <c r="L25" i="21"/>
  <c r="E26" i="21"/>
  <c r="N25" i="21"/>
  <c r="G26" i="21"/>
  <c r="O26" i="25" l="1"/>
  <c r="P26" i="25" s="1"/>
  <c r="I27" i="25" s="1"/>
  <c r="M27" i="25" s="1"/>
  <c r="O27" i="25" s="1"/>
  <c r="P27" i="25" s="1"/>
  <c r="S11" i="25" s="1"/>
  <c r="S14" i="25" s="1"/>
  <c r="S15" i="25" s="1"/>
  <c r="S18" i="25" s="1"/>
  <c r="N27" i="25"/>
  <c r="M25" i="21"/>
  <c r="O25" i="21" s="1"/>
  <c r="P25" i="21" s="1"/>
  <c r="I26" i="21" s="1"/>
  <c r="N26" i="21"/>
  <c r="G27" i="21"/>
  <c r="N27" i="21" s="1"/>
  <c r="E27" i="21"/>
  <c r="L27" i="21" s="1"/>
  <c r="L26" i="21"/>
  <c r="M26" i="21" l="1"/>
  <c r="O26" i="21" s="1"/>
  <c r="P26" i="21" s="1"/>
  <c r="I27" i="21" s="1"/>
  <c r="M27" i="21" s="1"/>
  <c r="O27" i="21" s="1"/>
  <c r="P27" i="21" s="1"/>
  <c r="C7" i="5" l="1"/>
  <c r="C4" i="5"/>
  <c r="J73" i="19"/>
  <c r="S23" i="19"/>
  <c r="S22" i="19"/>
  <c r="S24" i="19" s="1"/>
  <c r="G73" i="19" s="1"/>
  <c r="S14" i="19"/>
  <c r="R15" i="19" s="1"/>
  <c r="S15" i="19" s="1"/>
  <c r="R16" i="19" s="1"/>
  <c r="S16" i="19" s="1"/>
  <c r="R17" i="19" s="1"/>
  <c r="S17" i="19" s="1"/>
  <c r="T13" i="19"/>
  <c r="T14" i="19" s="1"/>
  <c r="T15" i="19" s="1"/>
  <c r="T16" i="19" s="1"/>
  <c r="S12" i="19"/>
  <c r="R13" i="19" s="1"/>
  <c r="S13" i="19" s="1"/>
  <c r="R14" i="19" s="1"/>
  <c r="H7" i="19" s="1"/>
  <c r="F8" i="19" s="1"/>
  <c r="D10" i="19"/>
  <c r="B9" i="19"/>
  <c r="P9" i="19" s="1"/>
  <c r="E9" i="19" s="1"/>
  <c r="L8" i="19"/>
  <c r="H8" i="19"/>
  <c r="F9" i="19" s="1"/>
  <c r="B8" i="19"/>
  <c r="P8" i="19" s="1"/>
  <c r="E8" i="19" s="1"/>
  <c r="P7" i="19"/>
  <c r="E7" i="19" s="1"/>
  <c r="L7" i="19"/>
  <c r="I7" i="19"/>
  <c r="I73" i="19" s="1"/>
  <c r="C7" i="19"/>
  <c r="K7" i="19" s="1"/>
  <c r="D1" i="19"/>
  <c r="D1" i="16"/>
  <c r="J73" i="16"/>
  <c r="T13" i="16"/>
  <c r="T14" i="16" s="1"/>
  <c r="T15" i="16" s="1"/>
  <c r="T16" i="16" s="1"/>
  <c r="D10" i="16"/>
  <c r="S12" i="16"/>
  <c r="R13" i="16" s="1"/>
  <c r="S13" i="16" s="1"/>
  <c r="R14" i="16" s="1"/>
  <c r="L8" i="16"/>
  <c r="B8" i="16"/>
  <c r="B9" i="16" s="1"/>
  <c r="P7" i="16"/>
  <c r="E7" i="16" s="1"/>
  <c r="L7" i="16"/>
  <c r="I7" i="16"/>
  <c r="I73" i="16" s="1"/>
  <c r="C7" i="16"/>
  <c r="S22" i="16" s="1"/>
  <c r="K8" i="19" l="1"/>
  <c r="M8" i="19" s="1"/>
  <c r="M7" i="19"/>
  <c r="N7" i="19"/>
  <c r="L9" i="19"/>
  <c r="B10" i="19"/>
  <c r="H9" i="19"/>
  <c r="F10" i="19" s="1"/>
  <c r="B10" i="16"/>
  <c r="P9" i="16"/>
  <c r="E9" i="16" s="1"/>
  <c r="H9" i="16"/>
  <c r="F10" i="16" s="1"/>
  <c r="L9" i="16"/>
  <c r="S14" i="16"/>
  <c r="R15" i="16" s="1"/>
  <c r="S15" i="16" s="1"/>
  <c r="R16" i="16" s="1"/>
  <c r="S16" i="16" s="1"/>
  <c r="R17" i="16" s="1"/>
  <c r="S17" i="16" s="1"/>
  <c r="H7" i="16"/>
  <c r="H8" i="16"/>
  <c r="F9" i="16" s="1"/>
  <c r="K9" i="16" s="1"/>
  <c r="S23" i="16"/>
  <c r="S24" i="16" s="1"/>
  <c r="G73" i="16" s="1"/>
  <c r="P8" i="16"/>
  <c r="E8" i="16" s="1"/>
  <c r="N8" i="19" l="1"/>
  <c r="L10" i="19"/>
  <c r="H10" i="19"/>
  <c r="F11" i="19" s="1"/>
  <c r="B11" i="19"/>
  <c r="P10" i="19"/>
  <c r="E10" i="19" s="1"/>
  <c r="K10" i="19" s="1"/>
  <c r="K9" i="19"/>
  <c r="F8" i="16"/>
  <c r="K8" i="16" s="1"/>
  <c r="K7" i="16"/>
  <c r="M8" i="16"/>
  <c r="M9" i="16"/>
  <c r="P10" i="16"/>
  <c r="E10" i="16" s="1"/>
  <c r="L10" i="16"/>
  <c r="B11" i="16"/>
  <c r="H10" i="16"/>
  <c r="F11" i="16" s="1"/>
  <c r="M9" i="19" l="1"/>
  <c r="N9" i="19"/>
  <c r="N10" i="19"/>
  <c r="M10" i="19"/>
  <c r="H11" i="19"/>
  <c r="F12" i="19" s="1"/>
  <c r="B12" i="19"/>
  <c r="P11" i="19"/>
  <c r="E11" i="19" s="1"/>
  <c r="L11" i="19"/>
  <c r="K10" i="16"/>
  <c r="H11" i="16"/>
  <c r="F12" i="16" s="1"/>
  <c r="B12" i="16"/>
  <c r="P11" i="16"/>
  <c r="E11" i="16" s="1"/>
  <c r="L11" i="16"/>
  <c r="M10" i="16"/>
  <c r="N9" i="16"/>
  <c r="M7" i="16"/>
  <c r="N7" i="16"/>
  <c r="N8" i="16"/>
  <c r="K11" i="19" l="1"/>
  <c r="M11" i="19" s="1"/>
  <c r="H12" i="19"/>
  <c r="F13" i="19" s="1"/>
  <c r="B13" i="19"/>
  <c r="L12" i="19"/>
  <c r="P12" i="19"/>
  <c r="E12" i="19" s="1"/>
  <c r="N11" i="19"/>
  <c r="K11" i="16"/>
  <c r="M11" i="16"/>
  <c r="N10" i="16"/>
  <c r="B13" i="16"/>
  <c r="P12" i="16"/>
  <c r="E12" i="16" s="1"/>
  <c r="L12" i="16"/>
  <c r="H12" i="16"/>
  <c r="F13" i="16" s="1"/>
  <c r="N11" i="16"/>
  <c r="K12" i="19" l="1"/>
  <c r="B14" i="19"/>
  <c r="H13" i="19"/>
  <c r="F14" i="19" s="1"/>
  <c r="P13" i="19"/>
  <c r="E13" i="19" s="1"/>
  <c r="L13" i="19"/>
  <c r="K12" i="16"/>
  <c r="B14" i="16"/>
  <c r="H13" i="16"/>
  <c r="F14" i="16" s="1"/>
  <c r="P13" i="16"/>
  <c r="E13" i="16" s="1"/>
  <c r="L13" i="16"/>
  <c r="K13" i="19" l="1"/>
  <c r="M13" i="19" s="1"/>
  <c r="M12" i="19"/>
  <c r="N12" i="19"/>
  <c r="N13" i="19"/>
  <c r="L14" i="19"/>
  <c r="B15" i="19"/>
  <c r="H14" i="19"/>
  <c r="F15" i="19" s="1"/>
  <c r="P14" i="19"/>
  <c r="E14" i="19" s="1"/>
  <c r="K13" i="16"/>
  <c r="P14" i="16"/>
  <c r="E14" i="16" s="1"/>
  <c r="B15" i="16"/>
  <c r="L14" i="16"/>
  <c r="H14" i="16"/>
  <c r="F15" i="16" s="1"/>
  <c r="M12" i="16"/>
  <c r="N12" i="16"/>
  <c r="M13" i="16"/>
  <c r="B16" i="19" l="1"/>
  <c r="H15" i="19"/>
  <c r="F16" i="19" s="1"/>
  <c r="L15" i="19"/>
  <c r="P15" i="19"/>
  <c r="E15" i="19" s="1"/>
  <c r="K14" i="19"/>
  <c r="K14" i="16"/>
  <c r="N13" i="16"/>
  <c r="L15" i="16"/>
  <c r="H15" i="16"/>
  <c r="F16" i="16" s="1"/>
  <c r="B16" i="16"/>
  <c r="P15" i="16"/>
  <c r="E15" i="16" s="1"/>
  <c r="M14" i="16"/>
  <c r="K15" i="19" l="1"/>
  <c r="M15" i="19" s="1"/>
  <c r="M14" i="19"/>
  <c r="N14" i="19"/>
  <c r="N15" i="19"/>
  <c r="L16" i="19"/>
  <c r="B17" i="19"/>
  <c r="H16" i="19"/>
  <c r="F17" i="19" s="1"/>
  <c r="P16" i="19"/>
  <c r="E16" i="19" s="1"/>
  <c r="K15" i="16"/>
  <c r="N15" i="16" s="1"/>
  <c r="L16" i="16"/>
  <c r="H16" i="16"/>
  <c r="F17" i="16" s="1"/>
  <c r="P16" i="16"/>
  <c r="E16" i="16" s="1"/>
  <c r="B17" i="16"/>
  <c r="N14" i="16"/>
  <c r="K16" i="19" l="1"/>
  <c r="M16" i="19" s="1"/>
  <c r="P17" i="19"/>
  <c r="E17" i="19" s="1"/>
  <c r="B18" i="19"/>
  <c r="L17" i="19"/>
  <c r="H17" i="19"/>
  <c r="F18" i="19" s="1"/>
  <c r="N16" i="19"/>
  <c r="M15" i="16"/>
  <c r="K16" i="16"/>
  <c r="M16" i="16" s="1"/>
  <c r="H17" i="16"/>
  <c r="F18" i="16" s="1"/>
  <c r="B18" i="16"/>
  <c r="P17" i="16"/>
  <c r="E17" i="16" s="1"/>
  <c r="L17" i="16"/>
  <c r="K17" i="19" l="1"/>
  <c r="M17" i="19"/>
  <c r="N17" i="19"/>
  <c r="P18" i="19"/>
  <c r="E18" i="19" s="1"/>
  <c r="L18" i="19"/>
  <c r="H18" i="19"/>
  <c r="F19" i="19" s="1"/>
  <c r="B19" i="19"/>
  <c r="N16" i="16"/>
  <c r="K17" i="16"/>
  <c r="M17" i="16" s="1"/>
  <c r="N17" i="16"/>
  <c r="H18" i="16"/>
  <c r="F19" i="16" s="1"/>
  <c r="B19" i="16"/>
  <c r="P18" i="16"/>
  <c r="E18" i="16" s="1"/>
  <c r="L18" i="16"/>
  <c r="L19" i="19" l="1"/>
  <c r="P19" i="19"/>
  <c r="E19" i="19" s="1"/>
  <c r="B20" i="19"/>
  <c r="H19" i="19"/>
  <c r="F20" i="19" s="1"/>
  <c r="K18" i="19"/>
  <c r="K18" i="16"/>
  <c r="M18" i="16" s="1"/>
  <c r="B20" i="16"/>
  <c r="P19" i="16"/>
  <c r="E19" i="16" s="1"/>
  <c r="L19" i="16"/>
  <c r="H19" i="16"/>
  <c r="F20" i="16" s="1"/>
  <c r="M18" i="19" l="1"/>
  <c r="N18" i="19"/>
  <c r="P20" i="19"/>
  <c r="E20" i="19" s="1"/>
  <c r="L20" i="19"/>
  <c r="H20" i="19"/>
  <c r="F21" i="19" s="1"/>
  <c r="B21" i="19"/>
  <c r="K19" i="19"/>
  <c r="N18" i="16"/>
  <c r="K19" i="16"/>
  <c r="M19" i="16" s="1"/>
  <c r="N19" i="16"/>
  <c r="B21" i="16"/>
  <c r="P20" i="16"/>
  <c r="E20" i="16" s="1"/>
  <c r="H20" i="16"/>
  <c r="F21" i="16" s="1"/>
  <c r="L20" i="16"/>
  <c r="M19" i="19" l="1"/>
  <c r="N19" i="19"/>
  <c r="H21" i="19"/>
  <c r="F22" i="19" s="1"/>
  <c r="P21" i="19"/>
  <c r="E21" i="19" s="1"/>
  <c r="L21" i="19"/>
  <c r="B22" i="19"/>
  <c r="K20" i="19"/>
  <c r="K20" i="16"/>
  <c r="M20" i="16" s="1"/>
  <c r="N20" i="16"/>
  <c r="P21" i="16"/>
  <c r="E21" i="16" s="1"/>
  <c r="L21" i="16"/>
  <c r="B22" i="16"/>
  <c r="H21" i="16"/>
  <c r="F22" i="16" s="1"/>
  <c r="K21" i="19" l="1"/>
  <c r="M20" i="19"/>
  <c r="N20" i="19"/>
  <c r="M21" i="19"/>
  <c r="N21" i="19"/>
  <c r="B23" i="19"/>
  <c r="P22" i="19"/>
  <c r="E22" i="19" s="1"/>
  <c r="L22" i="19"/>
  <c r="H22" i="19"/>
  <c r="F23" i="19" s="1"/>
  <c r="K21" i="16"/>
  <c r="L22" i="16"/>
  <c r="B23" i="16"/>
  <c r="P22" i="16"/>
  <c r="E22" i="16" s="1"/>
  <c r="H22" i="16"/>
  <c r="F23" i="16" s="1"/>
  <c r="K22" i="19" l="1"/>
  <c r="P23" i="19"/>
  <c r="E23" i="19" s="1"/>
  <c r="L23" i="19"/>
  <c r="B24" i="19"/>
  <c r="H23" i="19"/>
  <c r="F24" i="19" s="1"/>
  <c r="K22" i="16"/>
  <c r="M21" i="16"/>
  <c r="N21" i="16"/>
  <c r="L23" i="16"/>
  <c r="H23" i="16"/>
  <c r="F24" i="16" s="1"/>
  <c r="B24" i="16"/>
  <c r="P23" i="16"/>
  <c r="E23" i="16" s="1"/>
  <c r="M22" i="16"/>
  <c r="N22" i="16"/>
  <c r="M22" i="19" l="1"/>
  <c r="N22" i="19"/>
  <c r="H24" i="19"/>
  <c r="F25" i="19" s="1"/>
  <c r="B25" i="19"/>
  <c r="L24" i="19"/>
  <c r="P24" i="19"/>
  <c r="E24" i="19" s="1"/>
  <c r="K23" i="19"/>
  <c r="K23" i="16"/>
  <c r="L24" i="16"/>
  <c r="H24" i="16"/>
  <c r="F25" i="16" s="1"/>
  <c r="P24" i="16"/>
  <c r="E24" i="16" s="1"/>
  <c r="B25" i="16"/>
  <c r="K24" i="19" l="1"/>
  <c r="M24" i="19"/>
  <c r="N24" i="19"/>
  <c r="H25" i="19"/>
  <c r="F26" i="19" s="1"/>
  <c r="B26" i="19"/>
  <c r="P25" i="19"/>
  <c r="E25" i="19" s="1"/>
  <c r="L25" i="19"/>
  <c r="M23" i="19"/>
  <c r="N23" i="19"/>
  <c r="K24" i="16"/>
  <c r="M23" i="16"/>
  <c r="N23" i="16"/>
  <c r="H25" i="16"/>
  <c r="F26" i="16" s="1"/>
  <c r="B26" i="16"/>
  <c r="L25" i="16"/>
  <c r="P25" i="16"/>
  <c r="E25" i="16" s="1"/>
  <c r="M24" i="16"/>
  <c r="N24" i="16"/>
  <c r="K25" i="19" l="1"/>
  <c r="M25" i="19"/>
  <c r="N25" i="19"/>
  <c r="H26" i="19"/>
  <c r="F27" i="19" s="1"/>
  <c r="L26" i="19"/>
  <c r="P26" i="19"/>
  <c r="E26" i="19" s="1"/>
  <c r="B27" i="19"/>
  <c r="K25" i="16"/>
  <c r="H26" i="16"/>
  <c r="F27" i="16" s="1"/>
  <c r="B27" i="16"/>
  <c r="P26" i="16"/>
  <c r="E26" i="16" s="1"/>
  <c r="L26" i="16"/>
  <c r="K26" i="19" l="1"/>
  <c r="H27" i="19"/>
  <c r="F28" i="19" s="1"/>
  <c r="P27" i="19"/>
  <c r="E27" i="19" s="1"/>
  <c r="L27" i="19"/>
  <c r="B28" i="19"/>
  <c r="M26" i="19"/>
  <c r="N26" i="19"/>
  <c r="K26" i="16"/>
  <c r="M25" i="16"/>
  <c r="N25" i="16"/>
  <c r="B28" i="16"/>
  <c r="P27" i="16"/>
  <c r="E27" i="16" s="1"/>
  <c r="L27" i="16"/>
  <c r="H27" i="16"/>
  <c r="F28" i="16" s="1"/>
  <c r="K27" i="19" l="1"/>
  <c r="M27" i="19" s="1"/>
  <c r="B29" i="19"/>
  <c r="P28" i="19"/>
  <c r="E28" i="19" s="1"/>
  <c r="L28" i="19"/>
  <c r="H28" i="19"/>
  <c r="F29" i="19" s="1"/>
  <c r="K27" i="16"/>
  <c r="M26" i="16"/>
  <c r="N26" i="16"/>
  <c r="B29" i="16"/>
  <c r="P28" i="16"/>
  <c r="E28" i="16" s="1"/>
  <c r="H28" i="16"/>
  <c r="F29" i="16" s="1"/>
  <c r="L28" i="16"/>
  <c r="N27" i="19" l="1"/>
  <c r="K28" i="19"/>
  <c r="B30" i="19"/>
  <c r="P29" i="19"/>
  <c r="E29" i="19" s="1"/>
  <c r="L29" i="19"/>
  <c r="H29" i="19"/>
  <c r="F30" i="19" s="1"/>
  <c r="K28" i="16"/>
  <c r="P29" i="16"/>
  <c r="E29" i="16" s="1"/>
  <c r="L29" i="16"/>
  <c r="H29" i="16"/>
  <c r="F30" i="16" s="1"/>
  <c r="B30" i="16"/>
  <c r="M27" i="16"/>
  <c r="N27" i="16"/>
  <c r="K29" i="19" l="1"/>
  <c r="P30" i="19"/>
  <c r="E30" i="19" s="1"/>
  <c r="H30" i="19"/>
  <c r="F31" i="19" s="1"/>
  <c r="B31" i="19"/>
  <c r="L30" i="19"/>
  <c r="M28" i="19"/>
  <c r="N28" i="19"/>
  <c r="K29" i="16"/>
  <c r="M28" i="16"/>
  <c r="N28" i="16"/>
  <c r="L30" i="16"/>
  <c r="B31" i="16"/>
  <c r="P30" i="16"/>
  <c r="E30" i="16" s="1"/>
  <c r="H30" i="16"/>
  <c r="F31" i="16" s="1"/>
  <c r="K30" i="19" l="1"/>
  <c r="B32" i="19"/>
  <c r="P31" i="19"/>
  <c r="E31" i="19" s="1"/>
  <c r="L31" i="19"/>
  <c r="H31" i="19"/>
  <c r="F32" i="19" s="1"/>
  <c r="M30" i="19"/>
  <c r="N30" i="19"/>
  <c r="M29" i="19"/>
  <c r="N29" i="19"/>
  <c r="K30" i="16"/>
  <c r="L31" i="16"/>
  <c r="H31" i="16"/>
  <c r="F32" i="16" s="1"/>
  <c r="B32" i="16"/>
  <c r="P31" i="16"/>
  <c r="E31" i="16" s="1"/>
  <c r="M29" i="16"/>
  <c r="N29" i="16"/>
  <c r="K31" i="19" l="1"/>
  <c r="L32" i="19"/>
  <c r="H32" i="19"/>
  <c r="F33" i="19" s="1"/>
  <c r="B33" i="19"/>
  <c r="P32" i="19"/>
  <c r="E32" i="19" s="1"/>
  <c r="K31" i="16"/>
  <c r="M31" i="16" s="1"/>
  <c r="L32" i="16"/>
  <c r="H32" i="16"/>
  <c r="F33" i="16" s="1"/>
  <c r="P32" i="16"/>
  <c r="E32" i="16" s="1"/>
  <c r="B33" i="16"/>
  <c r="M30" i="16"/>
  <c r="N30" i="16"/>
  <c r="K32" i="19" l="1"/>
  <c r="M31" i="19"/>
  <c r="N31" i="19"/>
  <c r="L33" i="19"/>
  <c r="P33" i="19"/>
  <c r="E33" i="19" s="1"/>
  <c r="H33" i="19"/>
  <c r="F34" i="19" s="1"/>
  <c r="B34" i="19"/>
  <c r="M32" i="19"/>
  <c r="N32" i="19"/>
  <c r="N31" i="16"/>
  <c r="K32" i="16"/>
  <c r="M32" i="16" s="1"/>
  <c r="H33" i="16"/>
  <c r="F34" i="16" s="1"/>
  <c r="B34" i="16"/>
  <c r="P33" i="16"/>
  <c r="E33" i="16" s="1"/>
  <c r="L33" i="16"/>
  <c r="N32" i="16"/>
  <c r="H34" i="19" l="1"/>
  <c r="F35" i="19" s="1"/>
  <c r="B35" i="19"/>
  <c r="L34" i="19"/>
  <c r="P34" i="19"/>
  <c r="E34" i="19" s="1"/>
  <c r="K34" i="19" s="1"/>
  <c r="K33" i="19"/>
  <c r="K33" i="16"/>
  <c r="M33" i="16" s="1"/>
  <c r="H34" i="16"/>
  <c r="F35" i="16" s="1"/>
  <c r="B35" i="16"/>
  <c r="P34" i="16"/>
  <c r="E34" i="16" s="1"/>
  <c r="L34" i="16"/>
  <c r="M33" i="19" l="1"/>
  <c r="N33" i="19"/>
  <c r="M34" i="19"/>
  <c r="N34" i="19"/>
  <c r="H35" i="19"/>
  <c r="F36" i="19" s="1"/>
  <c r="P35" i="19"/>
  <c r="E35" i="19" s="1"/>
  <c r="L35" i="19"/>
  <c r="B36" i="19"/>
  <c r="N33" i="16"/>
  <c r="K34" i="16"/>
  <c r="M34" i="16" s="1"/>
  <c r="N34" i="16"/>
  <c r="B36" i="16"/>
  <c r="P35" i="16"/>
  <c r="E35" i="16" s="1"/>
  <c r="L35" i="16"/>
  <c r="H35" i="16"/>
  <c r="F36" i="16" s="1"/>
  <c r="K35" i="19" l="1"/>
  <c r="M35" i="19" s="1"/>
  <c r="N35" i="19"/>
  <c r="B37" i="19"/>
  <c r="H36" i="19"/>
  <c r="F37" i="19" s="1"/>
  <c r="P36" i="19"/>
  <c r="E36" i="19" s="1"/>
  <c r="L36" i="19"/>
  <c r="K35" i="16"/>
  <c r="B37" i="16"/>
  <c r="P36" i="16"/>
  <c r="E36" i="16" s="1"/>
  <c r="H36" i="16"/>
  <c r="F37" i="16" s="1"/>
  <c r="L36" i="16"/>
  <c r="K36" i="19" l="1"/>
  <c r="M36" i="19" s="1"/>
  <c r="B38" i="19"/>
  <c r="P37" i="19"/>
  <c r="E37" i="19" s="1"/>
  <c r="L37" i="19"/>
  <c r="H37" i="19"/>
  <c r="F38" i="19" s="1"/>
  <c r="K36" i="16"/>
  <c r="P37" i="16"/>
  <c r="E37" i="16" s="1"/>
  <c r="L37" i="16"/>
  <c r="B38" i="16"/>
  <c r="H37" i="16"/>
  <c r="F38" i="16" s="1"/>
  <c r="M35" i="16"/>
  <c r="N35" i="16"/>
  <c r="N36" i="19" l="1"/>
  <c r="P38" i="19"/>
  <c r="E38" i="19" s="1"/>
  <c r="L38" i="19"/>
  <c r="H38" i="19"/>
  <c r="F39" i="19" s="1"/>
  <c r="B39" i="19"/>
  <c r="K37" i="19"/>
  <c r="K37" i="16"/>
  <c r="M36" i="16"/>
  <c r="N36" i="16"/>
  <c r="L38" i="16"/>
  <c r="B39" i="16"/>
  <c r="P38" i="16"/>
  <c r="E38" i="16" s="1"/>
  <c r="H38" i="16"/>
  <c r="F39" i="16" s="1"/>
  <c r="M37" i="19" l="1"/>
  <c r="N37" i="19"/>
  <c r="P39" i="19"/>
  <c r="E39" i="19" s="1"/>
  <c r="H39" i="19"/>
  <c r="F40" i="19" s="1"/>
  <c r="B40" i="19"/>
  <c r="L39" i="19"/>
  <c r="K38" i="19"/>
  <c r="K38" i="16"/>
  <c r="M38" i="16" s="1"/>
  <c r="L39" i="16"/>
  <c r="H39" i="16"/>
  <c r="F40" i="16" s="1"/>
  <c r="P39" i="16"/>
  <c r="E39" i="16" s="1"/>
  <c r="B40" i="16"/>
  <c r="N38" i="16"/>
  <c r="M37" i="16"/>
  <c r="N37" i="16"/>
  <c r="M38" i="19" l="1"/>
  <c r="N38" i="19"/>
  <c r="K39" i="19"/>
  <c r="L40" i="19"/>
  <c r="B41" i="19"/>
  <c r="H40" i="19"/>
  <c r="F41" i="19" s="1"/>
  <c r="P40" i="19"/>
  <c r="E40" i="19" s="1"/>
  <c r="K39" i="16"/>
  <c r="M39" i="16" s="1"/>
  <c r="L40" i="16"/>
  <c r="H40" i="16"/>
  <c r="F41" i="16" s="1"/>
  <c r="B41" i="16"/>
  <c r="P40" i="16"/>
  <c r="E40" i="16" s="1"/>
  <c r="N39" i="16"/>
  <c r="K40" i="19" l="1"/>
  <c r="M40" i="19" s="1"/>
  <c r="L41" i="19"/>
  <c r="P41" i="19"/>
  <c r="E41" i="19" s="1"/>
  <c r="H41" i="19"/>
  <c r="F42" i="19" s="1"/>
  <c r="B42" i="19"/>
  <c r="M39" i="19"/>
  <c r="N39" i="19"/>
  <c r="K40" i="16"/>
  <c r="M40" i="16" s="1"/>
  <c r="H41" i="16"/>
  <c r="F42" i="16" s="1"/>
  <c r="B42" i="16"/>
  <c r="L41" i="16"/>
  <c r="P41" i="16"/>
  <c r="E41" i="16" s="1"/>
  <c r="N40" i="19" l="1"/>
  <c r="H42" i="19"/>
  <c r="F43" i="19" s="1"/>
  <c r="B43" i="19"/>
  <c r="P42" i="19"/>
  <c r="E42" i="19" s="1"/>
  <c r="L42" i="19"/>
  <c r="K41" i="19"/>
  <c r="N40" i="16"/>
  <c r="K41" i="16"/>
  <c r="M41" i="16" s="1"/>
  <c r="H42" i="16"/>
  <c r="F43" i="16" s="1"/>
  <c r="B43" i="16"/>
  <c r="P42" i="16"/>
  <c r="E42" i="16" s="1"/>
  <c r="L42" i="16"/>
  <c r="M41" i="19" l="1"/>
  <c r="N41" i="19"/>
  <c r="K42" i="19"/>
  <c r="H43" i="19"/>
  <c r="F44" i="19" s="1"/>
  <c r="B44" i="19"/>
  <c r="P43" i="19"/>
  <c r="E43" i="19" s="1"/>
  <c r="L43" i="19"/>
  <c r="N41" i="16"/>
  <c r="K42" i="16"/>
  <c r="B44" i="16"/>
  <c r="P43" i="16"/>
  <c r="E43" i="16" s="1"/>
  <c r="L43" i="16"/>
  <c r="H43" i="16"/>
  <c r="F44" i="16" s="1"/>
  <c r="M42" i="16"/>
  <c r="N42" i="16"/>
  <c r="K43" i="19" l="1"/>
  <c r="M43" i="19"/>
  <c r="N43" i="19"/>
  <c r="B45" i="19"/>
  <c r="L44" i="19"/>
  <c r="H44" i="19"/>
  <c r="F45" i="19" s="1"/>
  <c r="P44" i="19"/>
  <c r="E44" i="19" s="1"/>
  <c r="M42" i="19"/>
  <c r="N42" i="19"/>
  <c r="K43" i="16"/>
  <c r="B45" i="16"/>
  <c r="P44" i="16"/>
  <c r="E44" i="16" s="1"/>
  <c r="H44" i="16"/>
  <c r="F45" i="16" s="1"/>
  <c r="L44" i="16"/>
  <c r="K44" i="19" l="1"/>
  <c r="M44" i="19"/>
  <c r="N44" i="19"/>
  <c r="B46" i="19"/>
  <c r="P45" i="19"/>
  <c r="E45" i="19" s="1"/>
  <c r="H45" i="19"/>
  <c r="F46" i="19" s="1"/>
  <c r="L45" i="19"/>
  <c r="K44" i="16"/>
  <c r="M43" i="16"/>
  <c r="N43" i="16"/>
  <c r="P45" i="16"/>
  <c r="E45" i="16" s="1"/>
  <c r="L45" i="16"/>
  <c r="H45" i="16"/>
  <c r="F46" i="16" s="1"/>
  <c r="B46" i="16"/>
  <c r="K45" i="19" l="1"/>
  <c r="P46" i="19"/>
  <c r="E46" i="19" s="1"/>
  <c r="B47" i="19"/>
  <c r="L46" i="19"/>
  <c r="H46" i="19"/>
  <c r="F47" i="19" s="1"/>
  <c r="K45" i="16"/>
  <c r="M45" i="16"/>
  <c r="N45" i="16"/>
  <c r="L46" i="16"/>
  <c r="B47" i="16"/>
  <c r="H46" i="16"/>
  <c r="F47" i="16" s="1"/>
  <c r="P46" i="16"/>
  <c r="E46" i="16" s="1"/>
  <c r="M44" i="16"/>
  <c r="N44" i="16"/>
  <c r="P47" i="19" l="1"/>
  <c r="E47" i="19" s="1"/>
  <c r="L47" i="19"/>
  <c r="H47" i="19"/>
  <c r="F48" i="19" s="1"/>
  <c r="B48" i="19"/>
  <c r="K46" i="19"/>
  <c r="M45" i="19"/>
  <c r="N45" i="19"/>
  <c r="K46" i="16"/>
  <c r="M46" i="16"/>
  <c r="N46" i="16"/>
  <c r="L47" i="16"/>
  <c r="H47" i="16"/>
  <c r="F48" i="16" s="1"/>
  <c r="P47" i="16"/>
  <c r="E47" i="16" s="1"/>
  <c r="B48" i="16"/>
  <c r="L48" i="19" l="1"/>
  <c r="B49" i="19"/>
  <c r="P48" i="19"/>
  <c r="E48" i="19" s="1"/>
  <c r="H48" i="19"/>
  <c r="F49" i="19" s="1"/>
  <c r="M46" i="19"/>
  <c r="N46" i="19"/>
  <c r="K47" i="19"/>
  <c r="K47" i="16"/>
  <c r="M47" i="16"/>
  <c r="N47" i="16"/>
  <c r="L48" i="16"/>
  <c r="H48" i="16"/>
  <c r="F49" i="16" s="1"/>
  <c r="P48" i="16"/>
  <c r="E48" i="16" s="1"/>
  <c r="B49" i="16"/>
  <c r="L49" i="19" l="1"/>
  <c r="P49" i="19"/>
  <c r="E49" i="19" s="1"/>
  <c r="B50" i="19"/>
  <c r="H49" i="19"/>
  <c r="F50" i="19" s="1"/>
  <c r="M47" i="19"/>
  <c r="N47" i="19"/>
  <c r="K48" i="19"/>
  <c r="K48" i="16"/>
  <c r="M48" i="16"/>
  <c r="N48" i="16"/>
  <c r="H49" i="16"/>
  <c r="F50" i="16" s="1"/>
  <c r="B50" i="16"/>
  <c r="P49" i="16"/>
  <c r="E49" i="16" s="1"/>
  <c r="L49" i="16"/>
  <c r="M48" i="19" l="1"/>
  <c r="N48" i="19"/>
  <c r="H50" i="19"/>
  <c r="F51" i="19" s="1"/>
  <c r="L50" i="19"/>
  <c r="B51" i="19"/>
  <c r="P50" i="19"/>
  <c r="E50" i="19" s="1"/>
  <c r="K49" i="19"/>
  <c r="K49" i="16"/>
  <c r="M49" i="16"/>
  <c r="N49" i="16"/>
  <c r="H50" i="16"/>
  <c r="F51" i="16" s="1"/>
  <c r="B51" i="16"/>
  <c r="P50" i="16"/>
  <c r="E50" i="16" s="1"/>
  <c r="L50" i="16"/>
  <c r="K50" i="19" l="1"/>
  <c r="M50" i="19"/>
  <c r="N50" i="19"/>
  <c r="H51" i="19"/>
  <c r="F52" i="19" s="1"/>
  <c r="B52" i="19"/>
  <c r="P51" i="19"/>
  <c r="E51" i="19" s="1"/>
  <c r="L51" i="19"/>
  <c r="M49" i="19"/>
  <c r="N49" i="19"/>
  <c r="K50" i="16"/>
  <c r="B52" i="16"/>
  <c r="P51" i="16"/>
  <c r="E51" i="16" s="1"/>
  <c r="H51" i="16"/>
  <c r="F52" i="16" s="1"/>
  <c r="L51" i="16"/>
  <c r="K51" i="19" l="1"/>
  <c r="B53" i="19"/>
  <c r="L52" i="19"/>
  <c r="H52" i="19"/>
  <c r="F53" i="19" s="1"/>
  <c r="P52" i="19"/>
  <c r="E52" i="19" s="1"/>
  <c r="K51" i="16"/>
  <c r="B53" i="16"/>
  <c r="P52" i="16"/>
  <c r="E52" i="16" s="1"/>
  <c r="H52" i="16"/>
  <c r="F53" i="16" s="1"/>
  <c r="L52" i="16"/>
  <c r="M50" i="16"/>
  <c r="N50" i="16"/>
  <c r="K52" i="19" l="1"/>
  <c r="M52" i="19"/>
  <c r="N52" i="19"/>
  <c r="B54" i="19"/>
  <c r="P53" i="19"/>
  <c r="E53" i="19" s="1"/>
  <c r="L53" i="19"/>
  <c r="H53" i="19"/>
  <c r="F54" i="19" s="1"/>
  <c r="M51" i="19"/>
  <c r="N51" i="19"/>
  <c r="K52" i="16"/>
  <c r="M51" i="16"/>
  <c r="N51" i="16"/>
  <c r="P53" i="16"/>
  <c r="E53" i="16" s="1"/>
  <c r="L53" i="16"/>
  <c r="H53" i="16"/>
  <c r="F54" i="16" s="1"/>
  <c r="B54" i="16"/>
  <c r="K53" i="19" l="1"/>
  <c r="P54" i="19"/>
  <c r="E54" i="19" s="1"/>
  <c r="B55" i="19"/>
  <c r="L54" i="19"/>
  <c r="H54" i="19"/>
  <c r="F55" i="19" s="1"/>
  <c r="K53" i="16"/>
  <c r="M52" i="16"/>
  <c r="N52" i="16"/>
  <c r="L54" i="16"/>
  <c r="B55" i="16"/>
  <c r="P54" i="16"/>
  <c r="E54" i="16" s="1"/>
  <c r="H54" i="16"/>
  <c r="F55" i="16" s="1"/>
  <c r="P55" i="19" l="1"/>
  <c r="E55" i="19" s="1"/>
  <c r="B56" i="19"/>
  <c r="L55" i="19"/>
  <c r="H55" i="19"/>
  <c r="F56" i="19" s="1"/>
  <c r="K54" i="19"/>
  <c r="M53" i="19"/>
  <c r="N53" i="19"/>
  <c r="K54" i="16"/>
  <c r="M53" i="16"/>
  <c r="N53" i="16"/>
  <c r="L55" i="16"/>
  <c r="H55" i="16"/>
  <c r="F56" i="16" s="1"/>
  <c r="P55" i="16"/>
  <c r="E55" i="16" s="1"/>
  <c r="B56" i="16"/>
  <c r="M54" i="19" l="1"/>
  <c r="N54" i="19"/>
  <c r="L56" i="19"/>
  <c r="H56" i="19"/>
  <c r="F57" i="19" s="1"/>
  <c r="B57" i="19"/>
  <c r="P56" i="19"/>
  <c r="E56" i="19" s="1"/>
  <c r="K55" i="19"/>
  <c r="K55" i="16"/>
  <c r="M55" i="16"/>
  <c r="N55" i="16"/>
  <c r="M54" i="16"/>
  <c r="N54" i="16"/>
  <c r="L56" i="16"/>
  <c r="H56" i="16"/>
  <c r="F57" i="16" s="1"/>
  <c r="P56" i="16"/>
  <c r="E56" i="16" s="1"/>
  <c r="B57" i="16"/>
  <c r="K56" i="19" l="1"/>
  <c r="M56" i="19"/>
  <c r="N56" i="19"/>
  <c r="M55" i="19"/>
  <c r="N55" i="19"/>
  <c r="L57" i="19"/>
  <c r="H57" i="19"/>
  <c r="F58" i="19" s="1"/>
  <c r="B58" i="19"/>
  <c r="P57" i="19"/>
  <c r="E57" i="19" s="1"/>
  <c r="K56" i="16"/>
  <c r="M56" i="16" s="1"/>
  <c r="H57" i="16"/>
  <c r="F58" i="16" s="1"/>
  <c r="B58" i="16"/>
  <c r="P57" i="16"/>
  <c r="E57" i="16" s="1"/>
  <c r="L57" i="16"/>
  <c r="H58" i="19" l="1"/>
  <c r="F59" i="19" s="1"/>
  <c r="L58" i="19"/>
  <c r="B59" i="19"/>
  <c r="P58" i="19"/>
  <c r="E58" i="19" s="1"/>
  <c r="K57" i="19"/>
  <c r="N56" i="16"/>
  <c r="K57" i="16"/>
  <c r="M57" i="16" s="1"/>
  <c r="N57" i="16"/>
  <c r="H58" i="16"/>
  <c r="F59" i="16" s="1"/>
  <c r="B59" i="16"/>
  <c r="P58" i="16"/>
  <c r="E58" i="16" s="1"/>
  <c r="L58" i="16"/>
  <c r="K58" i="19" l="1"/>
  <c r="H59" i="19"/>
  <c r="F60" i="19" s="1"/>
  <c r="P59" i="19"/>
  <c r="E59" i="19" s="1"/>
  <c r="L59" i="19"/>
  <c r="B60" i="19"/>
  <c r="M57" i="19"/>
  <c r="N57" i="19"/>
  <c r="M58" i="19"/>
  <c r="N58" i="19"/>
  <c r="K58" i="16"/>
  <c r="M58" i="16" s="1"/>
  <c r="N58" i="16"/>
  <c r="B60" i="16"/>
  <c r="P59" i="16"/>
  <c r="E59" i="16" s="1"/>
  <c r="L59" i="16"/>
  <c r="H59" i="16"/>
  <c r="F60" i="16" s="1"/>
  <c r="K59" i="19" l="1"/>
  <c r="B61" i="19"/>
  <c r="P60" i="19"/>
  <c r="E60" i="19" s="1"/>
  <c r="L60" i="19"/>
  <c r="H60" i="19"/>
  <c r="F61" i="19" s="1"/>
  <c r="M59" i="19"/>
  <c r="N59" i="19"/>
  <c r="K59" i="16"/>
  <c r="B61" i="16"/>
  <c r="P60" i="16"/>
  <c r="E60" i="16" s="1"/>
  <c r="H60" i="16"/>
  <c r="F61" i="16" s="1"/>
  <c r="L60" i="16"/>
  <c r="K60" i="19" l="1"/>
  <c r="B62" i="19"/>
  <c r="P61" i="19"/>
  <c r="E61" i="19" s="1"/>
  <c r="L61" i="19"/>
  <c r="H61" i="19"/>
  <c r="F62" i="19" s="1"/>
  <c r="K60" i="16"/>
  <c r="M60" i="16"/>
  <c r="N60" i="16"/>
  <c r="P61" i="16"/>
  <c r="E61" i="16" s="1"/>
  <c r="L61" i="16"/>
  <c r="B62" i="16"/>
  <c r="H61" i="16"/>
  <c r="F62" i="16" s="1"/>
  <c r="M59" i="16"/>
  <c r="N59" i="16"/>
  <c r="K61" i="19" l="1"/>
  <c r="M61" i="19"/>
  <c r="N61" i="19"/>
  <c r="P62" i="19"/>
  <c r="E62" i="19" s="1"/>
  <c r="H62" i="19"/>
  <c r="F63" i="19" s="1"/>
  <c r="B63" i="19"/>
  <c r="L62" i="19"/>
  <c r="M60" i="19"/>
  <c r="N60" i="19"/>
  <c r="K61" i="16"/>
  <c r="L62" i="16"/>
  <c r="B63" i="16"/>
  <c r="P62" i="16"/>
  <c r="E62" i="16" s="1"/>
  <c r="H62" i="16"/>
  <c r="F63" i="16" s="1"/>
  <c r="K62" i="19" l="1"/>
  <c r="M62" i="19" s="1"/>
  <c r="H63" i="19"/>
  <c r="F64" i="19" s="1"/>
  <c r="B64" i="19"/>
  <c r="P63" i="19"/>
  <c r="E63" i="19" s="1"/>
  <c r="L63" i="19"/>
  <c r="K62" i="16"/>
  <c r="L63" i="16"/>
  <c r="H63" i="16"/>
  <c r="F64" i="16" s="1"/>
  <c r="P63" i="16"/>
  <c r="E63" i="16" s="1"/>
  <c r="B64" i="16"/>
  <c r="M61" i="16"/>
  <c r="N61" i="16"/>
  <c r="N62" i="19" l="1"/>
  <c r="K63" i="19"/>
  <c r="M63" i="19"/>
  <c r="N63" i="19"/>
  <c r="L64" i="19"/>
  <c r="H64" i="19"/>
  <c r="F65" i="19" s="1"/>
  <c r="B65" i="19"/>
  <c r="P64" i="19"/>
  <c r="E64" i="19" s="1"/>
  <c r="K63" i="16"/>
  <c r="M63" i="16" s="1"/>
  <c r="N63" i="16"/>
  <c r="L64" i="16"/>
  <c r="H64" i="16"/>
  <c r="F65" i="16" s="1"/>
  <c r="B65" i="16"/>
  <c r="P64" i="16"/>
  <c r="E64" i="16" s="1"/>
  <c r="M62" i="16"/>
  <c r="N62" i="16"/>
  <c r="K64" i="19" l="1"/>
  <c r="L65" i="19"/>
  <c r="P65" i="19"/>
  <c r="E65" i="19" s="1"/>
  <c r="H65" i="19"/>
  <c r="F66" i="19" s="1"/>
  <c r="B66" i="19"/>
  <c r="M64" i="19"/>
  <c r="N64" i="19"/>
  <c r="K64" i="16"/>
  <c r="M64" i="16" s="1"/>
  <c r="N64" i="16"/>
  <c r="H65" i="16"/>
  <c r="F66" i="16" s="1"/>
  <c r="B66" i="16"/>
  <c r="L65" i="16"/>
  <c r="P65" i="16"/>
  <c r="E65" i="16" s="1"/>
  <c r="H66" i="19" l="1"/>
  <c r="F67" i="19" s="1"/>
  <c r="B67" i="19"/>
  <c r="P66" i="19"/>
  <c r="E66" i="19" s="1"/>
  <c r="L66" i="19"/>
  <c r="K65" i="19"/>
  <c r="K65" i="16"/>
  <c r="M65" i="16"/>
  <c r="N65" i="16"/>
  <c r="H66" i="16"/>
  <c r="F67" i="16" s="1"/>
  <c r="B67" i="16"/>
  <c r="P66" i="16"/>
  <c r="E66" i="16" s="1"/>
  <c r="L66" i="16"/>
  <c r="K66" i="19" l="1"/>
  <c r="M66" i="19" s="1"/>
  <c r="N66" i="19"/>
  <c r="M65" i="19"/>
  <c r="N65" i="19"/>
  <c r="H67" i="19"/>
  <c r="F68" i="19" s="1"/>
  <c r="B68" i="19"/>
  <c r="P67" i="19"/>
  <c r="E67" i="19" s="1"/>
  <c r="L67" i="19"/>
  <c r="K66" i="16"/>
  <c r="M66" i="16" s="1"/>
  <c r="B68" i="16"/>
  <c r="P67" i="16"/>
  <c r="E67" i="16" s="1"/>
  <c r="L67" i="16"/>
  <c r="H67" i="16"/>
  <c r="F68" i="16" s="1"/>
  <c r="K67" i="19" l="1"/>
  <c r="N67" i="19" s="1"/>
  <c r="M67" i="19"/>
  <c r="B69" i="19"/>
  <c r="P68" i="19"/>
  <c r="E68" i="19" s="1"/>
  <c r="L68" i="19"/>
  <c r="H68" i="19"/>
  <c r="F69" i="19" s="1"/>
  <c r="N66" i="16"/>
  <c r="K67" i="16"/>
  <c r="L68" i="16"/>
  <c r="B69" i="16"/>
  <c r="P68" i="16"/>
  <c r="E68" i="16" s="1"/>
  <c r="H68" i="16"/>
  <c r="F69" i="16" s="1"/>
  <c r="B70" i="19" l="1"/>
  <c r="P69" i="19"/>
  <c r="E69" i="19" s="1"/>
  <c r="K69" i="19" s="1"/>
  <c r="L69" i="19"/>
  <c r="H69" i="19"/>
  <c r="F70" i="19" s="1"/>
  <c r="K68" i="19"/>
  <c r="K68" i="16"/>
  <c r="B70" i="16"/>
  <c r="P69" i="16"/>
  <c r="E69" i="16" s="1"/>
  <c r="L69" i="16"/>
  <c r="H69" i="16"/>
  <c r="F70" i="16" s="1"/>
  <c r="M67" i="16"/>
  <c r="N67" i="16"/>
  <c r="M68" i="19" l="1"/>
  <c r="N68" i="19"/>
  <c r="M69" i="19"/>
  <c r="N69" i="19"/>
  <c r="P70" i="19"/>
  <c r="E70" i="19" s="1"/>
  <c r="B71" i="19"/>
  <c r="L70" i="19"/>
  <c r="H70" i="19"/>
  <c r="F71" i="19" s="1"/>
  <c r="K69" i="16"/>
  <c r="M69" i="16"/>
  <c r="N69" i="16"/>
  <c r="H70" i="16"/>
  <c r="F71" i="16" s="1"/>
  <c r="B71" i="16"/>
  <c r="P70" i="16"/>
  <c r="E70" i="16" s="1"/>
  <c r="L70" i="16"/>
  <c r="M68" i="16"/>
  <c r="N68" i="16"/>
  <c r="K70" i="19" l="1"/>
  <c r="L71" i="19"/>
  <c r="H71" i="19"/>
  <c r="F72" i="19" s="1"/>
  <c r="B72" i="19"/>
  <c r="P71" i="19"/>
  <c r="E71" i="19" s="1"/>
  <c r="K70" i="16"/>
  <c r="M70" i="16"/>
  <c r="N70" i="16"/>
  <c r="H71" i="16"/>
  <c r="F72" i="16" s="1"/>
  <c r="B72" i="16"/>
  <c r="P71" i="16"/>
  <c r="E71" i="16" s="1"/>
  <c r="L71" i="16"/>
  <c r="K71" i="19" l="1"/>
  <c r="L72" i="19"/>
  <c r="P72" i="19"/>
  <c r="E72" i="19" s="1"/>
  <c r="H72" i="19"/>
  <c r="F73" i="19" s="1"/>
  <c r="B73" i="19"/>
  <c r="M71" i="19"/>
  <c r="N71" i="19"/>
  <c r="M70" i="19"/>
  <c r="N70" i="19"/>
  <c r="K71" i="16"/>
  <c r="M71" i="16"/>
  <c r="N71" i="16"/>
  <c r="B73" i="16"/>
  <c r="H72" i="16"/>
  <c r="F73" i="16" s="1"/>
  <c r="P72" i="16"/>
  <c r="E72" i="16" s="1"/>
  <c r="L72" i="16"/>
  <c r="K72" i="19" l="1"/>
  <c r="M72" i="19" s="1"/>
  <c r="H73" i="19"/>
  <c r="P73" i="19"/>
  <c r="E73" i="19" s="1"/>
  <c r="K73" i="19" s="1"/>
  <c r="L73" i="19"/>
  <c r="N72" i="19"/>
  <c r="K72" i="16"/>
  <c r="M72" i="16" s="1"/>
  <c r="L73" i="16"/>
  <c r="P73" i="16"/>
  <c r="E73" i="16" s="1"/>
  <c r="H73" i="16"/>
  <c r="M73" i="19" l="1"/>
  <c r="M2" i="19" s="1"/>
  <c r="N73" i="19"/>
  <c r="N72" i="16"/>
  <c r="K73" i="16"/>
  <c r="M73" i="16" s="1"/>
  <c r="M2" i="16" s="1"/>
  <c r="N73" i="16"/>
  <c r="D3" i="18" s="1"/>
</calcChain>
</file>

<file path=xl/sharedStrings.xml><?xml version="1.0" encoding="utf-8"?>
<sst xmlns="http://schemas.openxmlformats.org/spreadsheetml/2006/main" count="258" uniqueCount="156">
  <si>
    <t>Actual Mortality Table</t>
  </si>
  <si>
    <t>Actual Investment Returns</t>
  </si>
  <si>
    <t>Actual Expenses</t>
  </si>
  <si>
    <t>Index Values</t>
  </si>
  <si>
    <t>Age</t>
  </si>
  <si>
    <r>
      <rPr>
        <sz val="11"/>
        <rFont val="Arial"/>
        <family val="2"/>
      </rPr>
      <t>q</t>
    </r>
    <r>
      <rPr>
        <sz val="8"/>
        <rFont val="Arial"/>
        <family val="2"/>
      </rPr>
      <t>x</t>
    </r>
  </si>
  <si>
    <t>Year</t>
  </si>
  <si>
    <t>Index level at Ist June of each year</t>
  </si>
  <si>
    <t>Initial Expenses
 (year 2002)</t>
  </si>
  <si>
    <t>Renewal Expenses (payable from second year of policy onwards)</t>
  </si>
  <si>
    <t>Claim expense (all years)</t>
  </si>
  <si>
    <t>Age (x)</t>
  </si>
  <si>
    <t>Mortality
rate(qx)</t>
  </si>
  <si>
    <t>NPV-&gt;</t>
  </si>
  <si>
    <t>Initial Insurance Premium</t>
  </si>
  <si>
    <t>Insurance inflation</t>
  </si>
  <si>
    <t>IRR</t>
  </si>
  <si>
    <t>Outgoes</t>
  </si>
  <si>
    <t>Inflows</t>
  </si>
  <si>
    <t>Tax on Rent</t>
  </si>
  <si>
    <t>Month</t>
  </si>
  <si>
    <t>Acquisition</t>
  </si>
  <si>
    <t>Furnishing</t>
  </si>
  <si>
    <t>Insurance</t>
  </si>
  <si>
    <t>Capital Gain tax</t>
  </si>
  <si>
    <t>Rent</t>
  </si>
  <si>
    <t>Deposit</t>
  </si>
  <si>
    <t>Sale Proceeds</t>
  </si>
  <si>
    <t>Net Cashflows</t>
  </si>
  <si>
    <t>PV Factors</t>
  </si>
  <si>
    <t>PV of Net Cashflows</t>
  </si>
  <si>
    <t>Cumulative PV of Cashflows</t>
  </si>
  <si>
    <t>Insurance Inflation adjustment</t>
  </si>
  <si>
    <t>Tax on Capital gains</t>
  </si>
  <si>
    <t>From</t>
  </si>
  <si>
    <t>To</t>
  </si>
  <si>
    <t>Monthly Rent</t>
  </si>
  <si>
    <t>Acquisition cost</t>
  </si>
  <si>
    <t>Furnishing cost</t>
  </si>
  <si>
    <t>Capital Gain</t>
  </si>
  <si>
    <t>Rs.</t>
  </si>
  <si>
    <t>Accumulated Profit-&gt;</t>
  </si>
  <si>
    <t>Present value calculation</t>
  </si>
  <si>
    <t>Answer</t>
  </si>
  <si>
    <t>Inputs</t>
  </si>
  <si>
    <t>Calculation for rent</t>
  </si>
  <si>
    <t>Calculation for capital gains</t>
  </si>
  <si>
    <t>Goal seek S21 such that M2 is 0</t>
  </si>
  <si>
    <t>Inflation on insurance premium</t>
  </si>
  <si>
    <t>Overall inflation for company</t>
  </si>
  <si>
    <t>Nominal yield</t>
  </si>
  <si>
    <t xml:space="preserve">Real yield </t>
  </si>
  <si>
    <t>Premium per annum</t>
  </si>
  <si>
    <t>Term (years)</t>
  </si>
  <si>
    <t>Basic Sum assured</t>
  </si>
  <si>
    <t>Age at entry (years)</t>
  </si>
  <si>
    <t>Return</t>
  </si>
  <si>
    <t>t</t>
  </si>
  <si>
    <t>BSA</t>
  </si>
  <si>
    <t>qx</t>
  </si>
  <si>
    <t>Gross Policy Reserve t-1V
b/f</t>
  </si>
  <si>
    <t>Premium</t>
  </si>
  <si>
    <t>IE</t>
  </si>
  <si>
    <t>RE</t>
  </si>
  <si>
    <t>Premium after expenses at the end of year (P-IE-RE)</t>
  </si>
  <si>
    <t>Death cost</t>
  </si>
  <si>
    <t>At the end of year</t>
  </si>
  <si>
    <t>Gross Premium reserve at the end of year
tV     c/f</t>
  </si>
  <si>
    <t>Policy Value at the end of term</t>
  </si>
  <si>
    <t>Terminal Bonus</t>
  </si>
  <si>
    <t>TB percentage</t>
  </si>
  <si>
    <t>What Creates PRE</t>
  </si>
  <si>
    <t>The main sources are:</t>
  </si>
  <si>
    <t>past practices of the company</t>
  </si>
  <si>
    <t>Current practice of the insurance industry</t>
  </si>
  <si>
    <t>TB percentage - target</t>
  </si>
  <si>
    <t>Check that PRE is met</t>
  </si>
  <si>
    <t>Premium to meet PRE</t>
  </si>
  <si>
    <t>Bonus distribution philosophy as communicated at time of sale of policy</t>
  </si>
  <si>
    <t>any marketing material , communication with policyholder issued post sale of policy</t>
  </si>
  <si>
    <t>Results assuming non-negative returns</t>
  </si>
  <si>
    <t>Results assuming actual returns</t>
  </si>
  <si>
    <t>Increase in TB due to gtee</t>
  </si>
  <si>
    <t>Value earned by company</t>
  </si>
  <si>
    <t>Value paid by company</t>
  </si>
  <si>
    <t>Profit / loss to company</t>
  </si>
  <si>
    <t>Identifies the random nature of input components</t>
  </si>
  <si>
    <t>Benefits of stochastic assessment:</t>
  </si>
  <si>
    <t>Output from a stochastic model is a distribution of outcomes under possible scenarios</t>
  </si>
  <si>
    <t>These outputs can then be used to estimate the probability that a particular event occurs, or to calculate approximate confidence intervals</t>
  </si>
  <si>
    <t>Key variable which could have been modelled stochastically</t>
  </si>
  <si>
    <t>Investment returns</t>
  </si>
  <si>
    <t>Annual Premium</t>
  </si>
  <si>
    <t>Premium Payment Term</t>
  </si>
  <si>
    <t>years</t>
  </si>
  <si>
    <t>Policy term</t>
  </si>
  <si>
    <t>Age at entry</t>
  </si>
  <si>
    <t>Policy Year</t>
  </si>
  <si>
    <t>Premium Allocation</t>
  </si>
  <si>
    <t>Commission (% of annual premium)</t>
  </si>
  <si>
    <t>Unit Fund Cashflows</t>
  </si>
  <si>
    <t>Non Unit Cashflows</t>
  </si>
  <si>
    <t>Charges</t>
  </si>
  <si>
    <t>Expenses</t>
  </si>
  <si>
    <t>Charge Income</t>
  </si>
  <si>
    <t>Benefits Paid</t>
  </si>
  <si>
    <t>Other Income</t>
  </si>
  <si>
    <t>Policy year</t>
  </si>
  <si>
    <t>Attained Age</t>
  </si>
  <si>
    <t>Allocation charge</t>
  </si>
  <si>
    <t>GST - Allocation charge</t>
  </si>
  <si>
    <t>Allocated Premium</t>
  </si>
  <si>
    <t>Policy Administration Charge</t>
  </si>
  <si>
    <t>Mortality Charge</t>
  </si>
  <si>
    <t>FMC</t>
  </si>
  <si>
    <t>Opening Unit Fund</t>
  </si>
  <si>
    <t>Loyalty Addition</t>
  </si>
  <si>
    <t>Closing Unit Fund</t>
  </si>
  <si>
    <t>Death Sum at Risk</t>
  </si>
  <si>
    <t>Stamp Duty</t>
  </si>
  <si>
    <t>Maintenance</t>
  </si>
  <si>
    <t>Commission</t>
  </si>
  <si>
    <t>Death claims</t>
  </si>
  <si>
    <t>Investment income on Non Unit CF</t>
  </si>
  <si>
    <t>probability of death in a month</t>
  </si>
  <si>
    <t>probability of surviving a month</t>
  </si>
  <si>
    <t>GST</t>
  </si>
  <si>
    <t>Policy Administration charge</t>
  </si>
  <si>
    <t>Policy Administration charge Cap</t>
  </si>
  <si>
    <t>Unit Fund Growth Rate</t>
  </si>
  <si>
    <t>p.a.</t>
  </si>
  <si>
    <t>Non Unit Interest Rate</t>
  </si>
  <si>
    <t>Mortality Charge Multiple</t>
  </si>
  <si>
    <t>Fund Management Charge</t>
  </si>
  <si>
    <t>per 1000 DB</t>
  </si>
  <si>
    <t>Acquisition expenses</t>
  </si>
  <si>
    <t>Acquisition expenses Cap</t>
  </si>
  <si>
    <t>Maintenance expenses</t>
  </si>
  <si>
    <t>Inflation</t>
  </si>
  <si>
    <t>Mortality Assumption</t>
  </si>
  <si>
    <t>Unit Fund Growth rate</t>
  </si>
  <si>
    <t>Policy Administration Charge (before GST)</t>
  </si>
  <si>
    <t>Mortality Charge (before GST)</t>
  </si>
  <si>
    <t>FMC (before GST)</t>
  </si>
  <si>
    <t>Unit Fund Before FMC (after GST)</t>
  </si>
  <si>
    <t>Allocation charge (before GST)</t>
  </si>
  <si>
    <t>Non-unit fund</t>
  </si>
  <si>
    <t>Based on part (i)</t>
  </si>
  <si>
    <t>Non-unit reserve</t>
  </si>
  <si>
    <t>Interest rate</t>
  </si>
  <si>
    <t>Monthly interest rate</t>
  </si>
  <si>
    <t>Investment income on NU Reserve</t>
  </si>
  <si>
    <t>Profit Before Tax</t>
  </si>
  <si>
    <t>Increase in non-unit reserve</t>
  </si>
  <si>
    <t>ANSWER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</si>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</sst>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(* #,##0.00_);_(* \(#,##0.00\);_(* &quot;-&quot;??_);_(@_)"/>
    <numFmt numFmtId="165" formatCode="0.000000"/>
    <numFmt numFmtId="166" formatCode="_(* #,##0_);_(* \(#,##0\);_(* &quot;-&quot;??_);_(@_)"/>
    <numFmt numFmtId="167" formatCode="_-* #,##0.0000000_-;\-* #,##0.0000000_-;_-* &quot;-&quot;??_-;_-@_-"/>
    <numFmt numFmtId="168" formatCode="_-* #,##0.00_-;\-* #,##0.00_-;_-* &quot;-&quot;??_-;_-@_-"/>
    <numFmt numFmtId="169" formatCode="_-* #,##0.000_-;\-* #,##0.000_-;_-* &quot;-&quot;??_-;_-@_-"/>
    <numFmt numFmtId="170" formatCode="_-* #,##0_-;\-* #,##0_-;_-* &quot;-&quot;??_-;_-@_-"/>
    <numFmt numFmtId="171" formatCode="0.000%"/>
    <numFmt numFmtId="172" formatCode="0.00000"/>
    <numFmt numFmtId="173" formatCode="_(* #,##0.0_);_(* \(#,##0.0\);_(* &quot;-&quot;??_);_(@_)"/>
    <numFmt numFmtId="174" formatCode="_(* #,##0.00000_);_(* \(#,##0.00000\);_(* &quot;-&quot;??_);_(@_)"/>
    <numFmt numFmtId="175" formatCode="_(* #,##0.000000_);_(* \(#,##0.000000\);_(* &quot;-&quot;??_);_(@_)"/>
  </numFmts>
  <fonts count="1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b/>
      <sz val="10"/>
      <name val="Tahoma"/>
      <family val="2"/>
    </font>
    <font>
      <sz val="10"/>
      <name val="Arial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4" fillId="0" borderId="2" xfId="0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right" indent="1"/>
    </xf>
    <xf numFmtId="165" fontId="4" fillId="0" borderId="2" xfId="0" applyNumberFormat="1" applyFont="1" applyBorder="1" applyAlignment="1">
      <alignment horizontal="right" indent="1"/>
    </xf>
    <xf numFmtId="2" fontId="4" fillId="0" borderId="2" xfId="0" applyNumberFormat="1" applyFont="1" applyBorder="1" applyAlignment="1">
      <alignment horizontal="right" indent="1"/>
    </xf>
    <xf numFmtId="166" fontId="0" fillId="0" borderId="2" xfId="0" applyNumberFormat="1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7" xfId="0" applyBorder="1"/>
    <xf numFmtId="167" fontId="0" fillId="0" borderId="8" xfId="0" applyNumberFormat="1" applyFont="1" applyBorder="1"/>
    <xf numFmtId="0" fontId="0" fillId="0" borderId="9" xfId="0" applyBorder="1"/>
    <xf numFmtId="167" fontId="0" fillId="0" borderId="10" xfId="0" applyNumberFormat="1" applyFont="1" applyBorder="1"/>
    <xf numFmtId="3" fontId="0" fillId="0" borderId="0" xfId="0" applyNumberFormat="1"/>
    <xf numFmtId="9" fontId="0" fillId="0" borderId="0" xfId="0" applyNumberFormat="1"/>
    <xf numFmtId="0" fontId="0" fillId="4" borderId="0" xfId="0" applyFill="1" applyAlignment="1">
      <alignment wrapText="1"/>
    </xf>
    <xf numFmtId="4" fontId="0" fillId="0" borderId="0" xfId="0" applyNumberFormat="1"/>
    <xf numFmtId="0" fontId="0" fillId="0" borderId="12" xfId="0" applyBorder="1"/>
    <xf numFmtId="0" fontId="11" fillId="0" borderId="0" xfId="0" applyFont="1"/>
    <xf numFmtId="0" fontId="10" fillId="0" borderId="0" xfId="0" applyFont="1"/>
    <xf numFmtId="0" fontId="1" fillId="0" borderId="0" xfId="0" applyFont="1"/>
    <xf numFmtId="3" fontId="1" fillId="0" borderId="0" xfId="0" applyNumberFormat="1" applyFont="1"/>
    <xf numFmtId="0" fontId="8" fillId="0" borderId="0" xfId="0" applyFont="1"/>
    <xf numFmtId="3" fontId="8" fillId="0" borderId="0" xfId="0" applyNumberFormat="1" applyFont="1"/>
    <xf numFmtId="9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1" xfId="0" applyFont="1" applyBorder="1"/>
    <xf numFmtId="3" fontId="1" fillId="0" borderId="11" xfId="0" applyNumberFormat="1" applyFont="1" applyBorder="1"/>
    <xf numFmtId="169" fontId="1" fillId="0" borderId="11" xfId="0" applyNumberFormat="1" applyFont="1" applyBorder="1"/>
    <xf numFmtId="170" fontId="1" fillId="0" borderId="0" xfId="0" applyNumberFormat="1" applyFont="1"/>
    <xf numFmtId="4" fontId="1" fillId="0" borderId="0" xfId="0" applyNumberFormat="1" applyFont="1"/>
    <xf numFmtId="0" fontId="9" fillId="0" borderId="0" xfId="0" applyFont="1"/>
    <xf numFmtId="0" fontId="1" fillId="0" borderId="12" xfId="0" applyFont="1" applyBorder="1"/>
    <xf numFmtId="3" fontId="1" fillId="0" borderId="12" xfId="0" applyNumberFormat="1" applyFont="1" applyBorder="1"/>
    <xf numFmtId="169" fontId="1" fillId="0" borderId="12" xfId="0" applyNumberFormat="1" applyFont="1" applyBorder="1"/>
    <xf numFmtId="3" fontId="1" fillId="0" borderId="0" xfId="0" applyNumberFormat="1" applyFont="1"/>
    <xf numFmtId="0" fontId="1" fillId="4" borderId="0" xfId="0" applyFont="1" applyFill="1"/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/>
    <xf numFmtId="0" fontId="1" fillId="4" borderId="1" xfId="0" applyFont="1" applyFill="1" applyBorder="1"/>
    <xf numFmtId="0" fontId="1" fillId="4" borderId="4" xfId="0" applyFont="1" applyFill="1" applyBorder="1"/>
    <xf numFmtId="3" fontId="9" fillId="0" borderId="3" xfId="0" applyNumberFormat="1" applyFont="1" applyBorder="1"/>
    <xf numFmtId="3" fontId="9" fillId="0" borderId="4" xfId="0" applyNumberFormat="1" applyFont="1" applyBorder="1"/>
    <xf numFmtId="164" fontId="9" fillId="4" borderId="2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Border="1"/>
    <xf numFmtId="164" fontId="1" fillId="0" borderId="12" xfId="0" applyNumberFormat="1" applyFont="1" applyBorder="1"/>
    <xf numFmtId="0" fontId="9" fillId="0" borderId="0" xfId="0" applyFont="1" applyAlignment="1">
      <alignment horizontal="center" vertical="center"/>
    </xf>
    <xf numFmtId="3" fontId="1" fillId="5" borderId="0" xfId="0" applyNumberFormat="1" applyFont="1" applyFill="1"/>
    <xf numFmtId="3" fontId="9" fillId="5" borderId="4" xfId="0" applyNumberFormat="1" applyFont="1" applyFill="1" applyBorder="1"/>
    <xf numFmtId="10" fontId="0" fillId="0" borderId="0" xfId="0" applyNumberFormat="1" applyFont="1"/>
    <xf numFmtId="0" fontId="0" fillId="0" borderId="13" xfId="0" applyBorder="1"/>
    <xf numFmtId="171" fontId="1" fillId="0" borderId="0" xfId="0" applyNumberFormat="1" applyFont="1"/>
    <xf numFmtId="0" fontId="1" fillId="0" borderId="13" xfId="0" applyFont="1" applyBorder="1"/>
    <xf numFmtId="10" fontId="1" fillId="0" borderId="14" xfId="0" applyNumberFormat="1" applyFont="1" applyBorder="1"/>
    <xf numFmtId="0" fontId="12" fillId="0" borderId="0" xfId="0" applyFont="1"/>
    <xf numFmtId="0" fontId="0" fillId="0" borderId="0" xfId="0" applyAlignment="1">
      <alignment wrapText="1"/>
    </xf>
    <xf numFmtId="0" fontId="0" fillId="5" borderId="0" xfId="0" applyFill="1"/>
    <xf numFmtId="172" fontId="0" fillId="0" borderId="0" xfId="0" applyNumberFormat="1"/>
    <xf numFmtId="2" fontId="0" fillId="0" borderId="0" xfId="0" applyNumberFormat="1"/>
    <xf numFmtId="10" fontId="0" fillId="0" borderId="0" xfId="0" applyNumberFormat="1"/>
    <xf numFmtId="0" fontId="11" fillId="0" borderId="0" xfId="0" applyFont="1" applyFill="1"/>
    <xf numFmtId="164" fontId="0" fillId="0" borderId="0" xfId="1" applyFont="1"/>
    <xf numFmtId="173" fontId="0" fillId="5" borderId="0" xfId="1" applyNumberFormat="1" applyFont="1" applyFill="1"/>
    <xf numFmtId="173" fontId="0" fillId="0" borderId="0" xfId="1" applyNumberFormat="1" applyFont="1"/>
    <xf numFmtId="166" fontId="0" fillId="5" borderId="0" xfId="1" applyNumberFormat="1" applyFont="1" applyFill="1"/>
    <xf numFmtId="166" fontId="0" fillId="0" borderId="0" xfId="1" applyNumberFormat="1" applyFont="1"/>
    <xf numFmtId="166" fontId="0" fillId="0" borderId="0" xfId="1" applyNumberFormat="1" applyFont="1" applyAlignment="1">
      <alignment wrapText="1"/>
    </xf>
    <xf numFmtId="0" fontId="0" fillId="0" borderId="0" xfId="0" applyFill="1"/>
    <xf numFmtId="0" fontId="13" fillId="0" borderId="0" xfId="0" applyFont="1" applyFill="1"/>
    <xf numFmtId="0" fontId="14" fillId="0" borderId="0" xfId="0" applyFont="1"/>
    <xf numFmtId="0" fontId="13" fillId="0" borderId="0" xfId="0" applyFont="1"/>
    <xf numFmtId="166" fontId="0" fillId="0" borderId="0" xfId="0" applyNumberFormat="1"/>
    <xf numFmtId="166" fontId="0" fillId="0" borderId="14" xfId="0" applyNumberFormat="1" applyBorder="1"/>
    <xf numFmtId="0" fontId="15" fillId="0" borderId="0" xfId="0" applyFont="1"/>
    <xf numFmtId="166" fontId="0" fillId="0" borderId="0" xfId="1" applyNumberFormat="1" applyFont="1" applyFill="1"/>
    <xf numFmtId="172" fontId="0" fillId="0" borderId="0" xfId="0" applyNumberFormat="1" applyFill="1"/>
    <xf numFmtId="173" fontId="0" fillId="0" borderId="0" xfId="1" applyNumberFormat="1" applyFont="1" applyFill="1"/>
    <xf numFmtId="0" fontId="0" fillId="0" borderId="5" xfId="0" applyBorder="1"/>
    <xf numFmtId="3" fontId="0" fillId="0" borderId="15" xfId="0" applyNumberFormat="1" applyBorder="1"/>
    <xf numFmtId="0" fontId="0" fillId="0" borderId="6" xfId="0" applyBorder="1"/>
    <xf numFmtId="0" fontId="0" fillId="0" borderId="8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9" fontId="0" fillId="0" borderId="8" xfId="0" applyNumberFormat="1" applyBorder="1"/>
    <xf numFmtId="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 wrapText="1"/>
    </xf>
    <xf numFmtId="10" fontId="0" fillId="0" borderId="21" xfId="0" applyNumberFormat="1" applyBorder="1"/>
    <xf numFmtId="9" fontId="0" fillId="0" borderId="10" xfId="0" applyNumberFormat="1" applyBorder="1"/>
    <xf numFmtId="0" fontId="0" fillId="0" borderId="22" xfId="0" applyBorder="1"/>
    <xf numFmtId="3" fontId="0" fillId="0" borderId="12" xfId="0" quotePrefix="1" applyNumberFormat="1" applyBorder="1"/>
    <xf numFmtId="3" fontId="0" fillId="0" borderId="12" xfId="0" applyNumberFormat="1" applyBorder="1"/>
    <xf numFmtId="4" fontId="0" fillId="0" borderId="12" xfId="0" applyNumberFormat="1" applyBorder="1"/>
    <xf numFmtId="4" fontId="0" fillId="0" borderId="12" xfId="0" quotePrefix="1" applyNumberFormat="1" applyBorder="1"/>
    <xf numFmtId="4" fontId="0" fillId="5" borderId="12" xfId="0" applyNumberFormat="1" applyFill="1" applyBorder="1"/>
    <xf numFmtId="3" fontId="0" fillId="0" borderId="23" xfId="0" applyNumberFormat="1" applyBorder="1"/>
    <xf numFmtId="164" fontId="0" fillId="0" borderId="22" xfId="1" applyFont="1" applyBorder="1"/>
    <xf numFmtId="164" fontId="0" fillId="0" borderId="12" xfId="1" applyFont="1" applyBorder="1"/>
    <xf numFmtId="170" fontId="0" fillId="0" borderId="12" xfId="1" applyNumberFormat="1" applyFont="1" applyBorder="1"/>
    <xf numFmtId="168" fontId="0" fillId="0" borderId="12" xfId="0" applyNumberFormat="1" applyBorder="1"/>
    <xf numFmtId="168" fontId="0" fillId="0" borderId="23" xfId="0" applyNumberFormat="1" applyBorder="1"/>
    <xf numFmtId="168" fontId="0" fillId="0" borderId="0" xfId="0" applyNumberFormat="1"/>
    <xf numFmtId="9" fontId="0" fillId="0" borderId="15" xfId="0" applyNumberFormat="1" applyBorder="1"/>
    <xf numFmtId="164" fontId="0" fillId="0" borderId="0" xfId="1" applyFont="1" applyBorder="1"/>
    <xf numFmtId="170" fontId="0" fillId="0" borderId="0" xfId="1" applyNumberFormat="1" applyFont="1" applyBorder="1"/>
    <xf numFmtId="9" fontId="0" fillId="0" borderId="21" xfId="0" applyNumberFormat="1" applyBorder="1"/>
    <xf numFmtId="0" fontId="0" fillId="0" borderId="10" xfId="0" applyBorder="1"/>
    <xf numFmtId="0" fontId="0" fillId="0" borderId="24" xfId="0" applyBorder="1"/>
    <xf numFmtId="0" fontId="0" fillId="0" borderId="25" xfId="0" applyBorder="1"/>
    <xf numFmtId="3" fontId="0" fillId="0" borderId="25" xfId="0" quotePrefix="1" applyNumberFormat="1" applyBorder="1"/>
    <xf numFmtId="3" fontId="0" fillId="0" borderId="25" xfId="0" applyNumberFormat="1" applyBorder="1"/>
    <xf numFmtId="4" fontId="0" fillId="0" borderId="25" xfId="0" applyNumberFormat="1" applyBorder="1"/>
    <xf numFmtId="4" fontId="0" fillId="0" borderId="25" xfId="0" quotePrefix="1" applyNumberFormat="1" applyBorder="1"/>
    <xf numFmtId="3" fontId="0" fillId="0" borderId="26" xfId="0" applyNumberFormat="1" applyBorder="1"/>
    <xf numFmtId="164" fontId="0" fillId="0" borderId="24" xfId="1" applyFont="1" applyBorder="1"/>
    <xf numFmtId="164" fontId="0" fillId="0" borderId="25" xfId="1" applyFont="1" applyBorder="1"/>
    <xf numFmtId="170" fontId="0" fillId="0" borderId="25" xfId="1" applyNumberFormat="1" applyFont="1" applyBorder="1"/>
    <xf numFmtId="168" fontId="0" fillId="0" borderId="25" xfId="0" applyNumberFormat="1" applyBorder="1"/>
    <xf numFmtId="168" fontId="0" fillId="0" borderId="26" xfId="0" applyNumberFormat="1" applyBorder="1"/>
    <xf numFmtId="0" fontId="10" fillId="4" borderId="2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0" fillId="6" borderId="0" xfId="0" applyFill="1"/>
    <xf numFmtId="171" fontId="0" fillId="0" borderId="8" xfId="2" applyNumberFormat="1" applyFont="1" applyBorder="1"/>
    <xf numFmtId="168" fontId="0" fillId="0" borderId="27" xfId="0" applyNumberFormat="1" applyBorder="1"/>
    <xf numFmtId="0" fontId="10" fillId="4" borderId="28" xfId="0" applyFont="1" applyFill="1" applyBorder="1" applyAlignment="1">
      <alignment horizontal="center" vertical="center" wrapText="1"/>
    </xf>
    <xf numFmtId="168" fontId="0" fillId="0" borderId="29" xfId="0" applyNumberFormat="1" applyBorder="1"/>
    <xf numFmtId="168" fontId="0" fillId="0" borderId="30" xfId="0" applyNumberFormat="1" applyBorder="1"/>
    <xf numFmtId="4" fontId="13" fillId="0" borderId="0" xfId="0" applyNumberFormat="1" applyFont="1"/>
    <xf numFmtId="3" fontId="13" fillId="0" borderId="0" xfId="0" applyNumberFormat="1" applyFont="1"/>
    <xf numFmtId="164" fontId="13" fillId="0" borderId="0" xfId="1" applyFont="1"/>
    <xf numFmtId="174" fontId="0" fillId="0" borderId="0" xfId="1" applyNumberFormat="1" applyFont="1"/>
    <xf numFmtId="175" fontId="0" fillId="0" borderId="0" xfId="1" applyNumberFormat="1" applyFont="1"/>
    <xf numFmtId="0" fontId="10" fillId="6" borderId="28" xfId="0" applyFont="1" applyFill="1" applyBorder="1" applyAlignment="1">
      <alignment horizontal="center" vertical="center" wrapText="1"/>
    </xf>
    <xf numFmtId="168" fontId="0" fillId="6" borderId="29" xfId="0" applyNumberFormat="1" applyFill="1" applyBorder="1"/>
    <xf numFmtId="168" fontId="0" fillId="6" borderId="30" xfId="0" applyNumberFormat="1" applyFill="1" applyBorder="1"/>
    <xf numFmtId="0" fontId="9" fillId="4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 customBuiltin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bhis543\OneDrive%20-%20Willis%20Towers%20Watson\Documents\IAI-IFoA\CM1_2022\July\Alka\CM1B_Solution%2007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 data"/>
      <sheetName val="Q.2 (i)"/>
      <sheetName val="Q.2 (ii)"/>
      <sheetName val="Q.2 (iii)"/>
    </sheetNames>
    <sheetDataSet>
      <sheetData sheetId="0">
        <row r="10">
          <cell r="L10">
            <v>2002</v>
          </cell>
          <cell r="M10">
            <v>8.89</v>
          </cell>
        </row>
        <row r="11">
          <cell r="L11">
            <v>2003</v>
          </cell>
          <cell r="M11">
            <v>8.89</v>
          </cell>
        </row>
        <row r="12">
          <cell r="L12">
            <v>2004</v>
          </cell>
          <cell r="M12">
            <v>12.13</v>
          </cell>
        </row>
        <row r="13">
          <cell r="L13">
            <v>2005</v>
          </cell>
          <cell r="M13">
            <v>12.89</v>
          </cell>
        </row>
        <row r="14">
          <cell r="L14">
            <v>2006</v>
          </cell>
          <cell r="M14">
            <v>13.68</v>
          </cell>
        </row>
        <row r="15">
          <cell r="L15">
            <v>2007</v>
          </cell>
          <cell r="M15">
            <v>14.63</v>
          </cell>
        </row>
        <row r="16">
          <cell r="L16">
            <v>2008</v>
          </cell>
          <cell r="M16">
            <v>14.63</v>
          </cell>
        </row>
        <row r="17">
          <cell r="L17">
            <v>2009</v>
          </cell>
          <cell r="M17">
            <v>15.36</v>
          </cell>
        </row>
        <row r="18">
          <cell r="L18">
            <v>2010</v>
          </cell>
          <cell r="M18">
            <v>15.47</v>
          </cell>
        </row>
        <row r="19">
          <cell r="L19">
            <v>2011</v>
          </cell>
          <cell r="M19">
            <v>19.7</v>
          </cell>
        </row>
        <row r="20">
          <cell r="L20">
            <v>2012</v>
          </cell>
          <cell r="M20">
            <v>12.1</v>
          </cell>
        </row>
        <row r="21">
          <cell r="L21">
            <v>2013</v>
          </cell>
          <cell r="M21">
            <v>15.41</v>
          </cell>
        </row>
        <row r="22">
          <cell r="L22">
            <v>2014</v>
          </cell>
          <cell r="M22">
            <v>15.76</v>
          </cell>
        </row>
        <row r="23">
          <cell r="L23">
            <v>2015</v>
          </cell>
          <cell r="M23">
            <v>15.7</v>
          </cell>
        </row>
        <row r="24">
          <cell r="L24">
            <v>2016</v>
          </cell>
          <cell r="M24">
            <v>16.440000000000001</v>
          </cell>
        </row>
        <row r="25">
          <cell r="L25">
            <v>2017</v>
          </cell>
          <cell r="M25">
            <v>16.690000000000001</v>
          </cell>
        </row>
        <row r="26">
          <cell r="L26">
            <v>2018</v>
          </cell>
          <cell r="M26">
            <v>18.190000000000001</v>
          </cell>
        </row>
        <row r="27">
          <cell r="L27">
            <v>2019</v>
          </cell>
          <cell r="M27">
            <v>18.989999999999998</v>
          </cell>
        </row>
        <row r="28">
          <cell r="L28">
            <v>2020</v>
          </cell>
          <cell r="M28">
            <v>18.510000000000002</v>
          </cell>
        </row>
        <row r="29">
          <cell r="L29">
            <v>2021</v>
          </cell>
          <cell r="M29">
            <v>19.149999999999999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63666A"/>
      </a:dk2>
      <a:lt2>
        <a:srgbClr val="EEECE1"/>
      </a:lt2>
      <a:accent1>
        <a:srgbClr val="702082"/>
      </a:accent1>
      <a:accent2>
        <a:srgbClr val="FFB81C"/>
      </a:accent2>
      <a:accent3>
        <a:srgbClr val="00A0D2"/>
      </a:accent3>
      <a:accent4>
        <a:srgbClr val="C110A0"/>
      </a:accent4>
      <a:accent5>
        <a:srgbClr val="00C389"/>
      </a:accent5>
      <a:accent6>
        <a:srgbClr val="63666A"/>
      </a:accent6>
      <a:hlink>
        <a:srgbClr val="00A0D2"/>
      </a:hlink>
      <a:folHlink>
        <a:srgbClr val="63666A"/>
      </a:folHlink>
    </a:clrScheme>
    <a:fontScheme name="Office">
      <a:majorFont>
        <a:latin typeface="Arial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3"/>
  <sheetViews>
    <sheetView tabSelected="1" topLeftCell="C1" zoomScale="90" zoomScaleNormal="90" workbookViewId="0">
      <selection activeCell="C3" sqref="C3"/>
    </sheetView>
  </sheetViews>
  <sheetFormatPr defaultColWidth="8.7109375" defaultRowHeight="12.75" x14ac:dyDescent="0.2"/>
  <cols>
    <col min="1" max="1" width="8.7109375" style="29"/>
    <col min="2" max="2" width="7" style="29" customWidth="1"/>
    <col min="3" max="3" width="11.5703125" style="46" customWidth="1"/>
    <col min="4" max="4" width="10.42578125" style="46" customWidth="1"/>
    <col min="5" max="5" width="9.5703125" style="46" customWidth="1"/>
    <col min="6" max="6" width="7.7109375" style="46" customWidth="1"/>
    <col min="7" max="7" width="11.28515625" style="46" customWidth="1"/>
    <col min="8" max="8" width="7.28515625" style="46" customWidth="1"/>
    <col min="9" max="9" width="10.42578125" style="46" customWidth="1"/>
    <col min="10" max="10" width="13.42578125" style="46" customWidth="1"/>
    <col min="11" max="11" width="13.85546875" style="46" customWidth="1"/>
    <col min="12" max="12" width="10.28515625" style="29" customWidth="1"/>
    <col min="13" max="13" width="11.5703125" style="29" customWidth="1"/>
    <col min="14" max="14" width="12.28515625" style="29" customWidth="1"/>
    <col min="15" max="15" width="8.7109375" style="29"/>
    <col min="16" max="16" width="17.28515625" style="29" customWidth="1"/>
    <col min="17" max="17" width="8.5703125" style="29" customWidth="1"/>
    <col min="18" max="18" width="24.7109375" style="29" customWidth="1"/>
    <col min="19" max="19" width="12.7109375" style="29" customWidth="1"/>
    <col min="20" max="20" width="13.28515625" style="29" customWidth="1"/>
    <col min="21" max="22" width="15.28515625" style="29" customWidth="1"/>
    <col min="23" max="23" width="11.5703125" style="29" customWidth="1"/>
    <col min="24" max="24" width="8.7109375" style="29"/>
    <col min="25" max="25" width="9.5703125" style="29" bestFit="1" customWidth="1"/>
    <col min="26" max="16384" width="8.7109375" style="29"/>
  </cols>
  <sheetData>
    <row r="1" spans="2:20" x14ac:dyDescent="0.2">
      <c r="C1" s="52" t="s">
        <v>43</v>
      </c>
      <c r="D1" s="53">
        <f>S21</f>
        <v>28404692.409857906</v>
      </c>
      <c r="E1" s="30"/>
      <c r="F1" s="30"/>
      <c r="G1" s="30"/>
      <c r="H1" s="30"/>
      <c r="I1" s="30"/>
      <c r="J1" s="29"/>
      <c r="K1" s="29"/>
      <c r="R1" s="42" t="s">
        <v>44</v>
      </c>
    </row>
    <row r="2" spans="2:20" x14ac:dyDescent="0.2">
      <c r="C2" s="30"/>
      <c r="D2" s="30"/>
      <c r="E2" s="30"/>
      <c r="F2" s="30"/>
      <c r="G2" s="30"/>
      <c r="H2" s="30"/>
      <c r="I2" s="30"/>
      <c r="J2" s="29"/>
      <c r="K2" s="29"/>
      <c r="L2" s="29" t="s">
        <v>13</v>
      </c>
      <c r="M2" s="30">
        <f>SUM(M7:M73)</f>
        <v>0</v>
      </c>
      <c r="N2" s="31"/>
      <c r="R2" s="29" t="s">
        <v>14</v>
      </c>
      <c r="S2" s="30">
        <v>17500</v>
      </c>
      <c r="T2" s="31"/>
    </row>
    <row r="3" spans="2:20" x14ac:dyDescent="0.2"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1"/>
      <c r="R3" s="29" t="s">
        <v>15</v>
      </c>
      <c r="S3" s="33">
        <v>0.08</v>
      </c>
      <c r="T3" s="31"/>
    </row>
    <row r="4" spans="2:20" x14ac:dyDescent="0.2">
      <c r="C4" s="30"/>
      <c r="D4" s="30"/>
      <c r="E4" s="30"/>
      <c r="F4" s="30"/>
      <c r="G4" s="30"/>
      <c r="H4" s="30"/>
      <c r="I4" s="30"/>
      <c r="J4" s="29"/>
      <c r="K4" s="29"/>
      <c r="R4" s="29" t="s">
        <v>16</v>
      </c>
      <c r="S4" s="33">
        <v>0.12</v>
      </c>
      <c r="T4" s="31"/>
    </row>
    <row r="5" spans="2:20" x14ac:dyDescent="0.2">
      <c r="B5" s="47"/>
      <c r="C5" s="147" t="s">
        <v>17</v>
      </c>
      <c r="D5" s="147"/>
      <c r="E5" s="147"/>
      <c r="F5" s="147"/>
      <c r="G5" s="147"/>
      <c r="H5" s="147" t="s">
        <v>18</v>
      </c>
      <c r="I5" s="147"/>
      <c r="J5" s="147"/>
      <c r="K5" s="49" t="s">
        <v>42</v>
      </c>
      <c r="L5" s="50"/>
      <c r="M5" s="50"/>
      <c r="N5" s="51"/>
      <c r="R5" s="29" t="s">
        <v>19</v>
      </c>
      <c r="S5" s="33">
        <v>0.22</v>
      </c>
      <c r="T5" s="31"/>
    </row>
    <row r="6" spans="2:20" s="35" customFormat="1" ht="38.25" x14ac:dyDescent="0.2">
      <c r="B6" s="48" t="s">
        <v>20</v>
      </c>
      <c r="C6" s="48" t="s">
        <v>21</v>
      </c>
      <c r="D6" s="48" t="s">
        <v>22</v>
      </c>
      <c r="E6" s="48" t="s">
        <v>23</v>
      </c>
      <c r="F6" s="48" t="s">
        <v>19</v>
      </c>
      <c r="G6" s="48" t="s">
        <v>24</v>
      </c>
      <c r="H6" s="48" t="s">
        <v>25</v>
      </c>
      <c r="I6" s="48" t="s">
        <v>26</v>
      </c>
      <c r="J6" s="48" t="s">
        <v>27</v>
      </c>
      <c r="K6" s="48" t="s">
        <v>28</v>
      </c>
      <c r="L6" s="48" t="s">
        <v>29</v>
      </c>
      <c r="M6" s="48" t="s">
        <v>30</v>
      </c>
      <c r="N6" s="48" t="s">
        <v>31</v>
      </c>
      <c r="O6" s="29"/>
      <c r="P6" s="54" t="s">
        <v>32</v>
      </c>
      <c r="Q6" s="34"/>
      <c r="R6" s="29" t="s">
        <v>33</v>
      </c>
      <c r="S6" s="33">
        <v>0.15</v>
      </c>
      <c r="T6" s="31"/>
    </row>
    <row r="7" spans="2:20" x14ac:dyDescent="0.2">
      <c r="B7" s="37">
        <v>0</v>
      </c>
      <c r="C7" s="38">
        <f>1.5*10^7*-1</f>
        <v>-15000000</v>
      </c>
      <c r="D7" s="38"/>
      <c r="E7" s="38">
        <f t="shared" ref="E7:E70" si="0">+$S$2*P7*-1</f>
        <v>-17500</v>
      </c>
      <c r="F7" s="38"/>
      <c r="G7" s="38"/>
      <c r="H7" s="38">
        <f t="shared" ref="H7:H38" si="1">IFERROR(VLOOKUP(B7,$R$12:$T$17,3,1),0)</f>
        <v>0</v>
      </c>
      <c r="I7" s="38">
        <f>15*10^5</f>
        <v>1500000</v>
      </c>
      <c r="J7" s="38"/>
      <c r="K7" s="38">
        <f>SUM(C7:J7)</f>
        <v>-13517500</v>
      </c>
      <c r="L7" s="39">
        <f>+(1+$S$4)^-(B7/12)</f>
        <v>1</v>
      </c>
      <c r="M7" s="38">
        <f t="shared" ref="M7:M70" si="2">+K7*L7</f>
        <v>-13517500</v>
      </c>
      <c r="N7" s="38">
        <f>+SUM(K$7:K7)</f>
        <v>-13517500</v>
      </c>
      <c r="O7" s="40"/>
      <c r="P7" s="55">
        <f t="shared" ref="P7:P70" si="3">+IF(MOD(B7,12)=0,(1+$S$3)^(B7/12),0)</f>
        <v>1</v>
      </c>
      <c r="Q7" s="41"/>
      <c r="R7" s="35"/>
      <c r="S7" s="35"/>
      <c r="T7" s="35"/>
    </row>
    <row r="8" spans="2:20" x14ac:dyDescent="0.2">
      <c r="B8" s="43">
        <f>+B7+1</f>
        <v>1</v>
      </c>
      <c r="C8" s="44"/>
      <c r="D8" s="44"/>
      <c r="E8" s="44">
        <f t="shared" si="0"/>
        <v>0</v>
      </c>
      <c r="F8" s="44">
        <f t="shared" ref="F8:F71" si="4">H7*$S$5*-1</f>
        <v>0</v>
      </c>
      <c r="G8" s="44"/>
      <c r="H8" s="44">
        <f t="shared" si="1"/>
        <v>0</v>
      </c>
      <c r="I8" s="44"/>
      <c r="J8" s="44"/>
      <c r="K8" s="38">
        <f t="shared" ref="K8:K71" si="5">SUM(C8:J8)</f>
        <v>0</v>
      </c>
      <c r="L8" s="45">
        <f t="shared" ref="L8:L71" si="6">+(1+$S$4)^-(B8/12)</f>
        <v>0.99060039794300325</v>
      </c>
      <c r="M8" s="44">
        <f t="shared" si="2"/>
        <v>0</v>
      </c>
      <c r="N8" s="44">
        <f>+SUM(K$7:K8)</f>
        <v>-13517500</v>
      </c>
      <c r="O8" s="40"/>
      <c r="P8" s="56">
        <f t="shared" si="3"/>
        <v>0</v>
      </c>
      <c r="Q8" s="41"/>
    </row>
    <row r="9" spans="2:20" x14ac:dyDescent="0.2">
      <c r="B9" s="43">
        <f t="shared" ref="B9:B72" si="7">+B8+1</f>
        <v>2</v>
      </c>
      <c r="C9" s="44"/>
      <c r="D9" s="44"/>
      <c r="E9" s="44">
        <f t="shared" si="0"/>
        <v>0</v>
      </c>
      <c r="F9" s="44">
        <f t="shared" si="4"/>
        <v>0</v>
      </c>
      <c r="G9" s="44"/>
      <c r="H9" s="44">
        <f t="shared" si="1"/>
        <v>0</v>
      </c>
      <c r="I9" s="44"/>
      <c r="J9" s="44"/>
      <c r="K9" s="38">
        <f t="shared" si="5"/>
        <v>0</v>
      </c>
      <c r="L9" s="45">
        <f t="shared" si="6"/>
        <v>0.98128914840483661</v>
      </c>
      <c r="M9" s="44">
        <f t="shared" si="2"/>
        <v>0</v>
      </c>
      <c r="N9" s="44">
        <f>+SUM(K$7:K9)</f>
        <v>-13517500</v>
      </c>
      <c r="O9" s="40"/>
      <c r="P9" s="56">
        <f t="shared" si="3"/>
        <v>0</v>
      </c>
      <c r="Q9" s="41"/>
    </row>
    <row r="10" spans="2:20" x14ac:dyDescent="0.2">
      <c r="B10" s="43">
        <f t="shared" si="7"/>
        <v>3</v>
      </c>
      <c r="C10" s="44"/>
      <c r="D10" s="44">
        <f>20*10^5*-1</f>
        <v>-2000000</v>
      </c>
      <c r="E10" s="44">
        <f t="shared" si="0"/>
        <v>0</v>
      </c>
      <c r="F10" s="44">
        <f t="shared" si="4"/>
        <v>0</v>
      </c>
      <c r="G10" s="44"/>
      <c r="H10" s="44">
        <f t="shared" si="1"/>
        <v>0</v>
      </c>
      <c r="I10" s="44"/>
      <c r="J10" s="44"/>
      <c r="K10" s="38">
        <f t="shared" si="5"/>
        <v>-2000000</v>
      </c>
      <c r="L10" s="45">
        <f t="shared" si="6"/>
        <v>0.972065420906982</v>
      </c>
      <c r="M10" s="44">
        <f t="shared" si="2"/>
        <v>-1944130.8418139641</v>
      </c>
      <c r="N10" s="44">
        <f>+SUM(K$7:K10)</f>
        <v>-15517500</v>
      </c>
      <c r="O10" s="40"/>
      <c r="P10" s="56">
        <f t="shared" si="3"/>
        <v>0</v>
      </c>
      <c r="Q10" s="41"/>
      <c r="R10" s="42" t="s">
        <v>45</v>
      </c>
    </row>
    <row r="11" spans="2:20" x14ac:dyDescent="0.2">
      <c r="B11" s="43">
        <f t="shared" si="7"/>
        <v>4</v>
      </c>
      <c r="C11" s="44"/>
      <c r="D11" s="44"/>
      <c r="E11" s="44">
        <f t="shared" si="0"/>
        <v>0</v>
      </c>
      <c r="F11" s="44">
        <f t="shared" si="4"/>
        <v>0</v>
      </c>
      <c r="G11" s="44"/>
      <c r="H11" s="44">
        <f t="shared" si="1"/>
        <v>0</v>
      </c>
      <c r="I11" s="44"/>
      <c r="J11" s="44"/>
      <c r="K11" s="38">
        <f t="shared" si="5"/>
        <v>0</v>
      </c>
      <c r="L11" s="45">
        <f t="shared" si="6"/>
        <v>0.96292839277708941</v>
      </c>
      <c r="M11" s="44">
        <f t="shared" si="2"/>
        <v>0</v>
      </c>
      <c r="N11" s="44">
        <f>+SUM(K$7:K11)</f>
        <v>-15517500</v>
      </c>
      <c r="O11" s="40"/>
      <c r="P11" s="56">
        <f t="shared" si="3"/>
        <v>0</v>
      </c>
      <c r="Q11" s="41"/>
      <c r="R11" s="29" t="s">
        <v>34</v>
      </c>
      <c r="S11" s="29" t="s">
        <v>35</v>
      </c>
      <c r="T11" s="29" t="s">
        <v>36</v>
      </c>
    </row>
    <row r="12" spans="2:20" x14ac:dyDescent="0.2">
      <c r="B12" s="43">
        <f t="shared" si="7"/>
        <v>5</v>
      </c>
      <c r="C12" s="44"/>
      <c r="D12" s="44"/>
      <c r="E12" s="44">
        <f t="shared" si="0"/>
        <v>0</v>
      </c>
      <c r="F12" s="44">
        <f t="shared" si="4"/>
        <v>0</v>
      </c>
      <c r="G12" s="44"/>
      <c r="H12" s="44">
        <f t="shared" si="1"/>
        <v>0</v>
      </c>
      <c r="I12" s="44"/>
      <c r="J12" s="44"/>
      <c r="K12" s="38">
        <f t="shared" si="5"/>
        <v>0</v>
      </c>
      <c r="L12" s="45">
        <f t="shared" si="6"/>
        <v>0.95387724907560134</v>
      </c>
      <c r="M12" s="44">
        <f t="shared" si="2"/>
        <v>0</v>
      </c>
      <c r="N12" s="44">
        <f>+SUM(K$7:K12)</f>
        <v>-15517500</v>
      </c>
      <c r="O12" s="40"/>
      <c r="P12" s="56">
        <f t="shared" si="3"/>
        <v>0</v>
      </c>
      <c r="Q12" s="41"/>
      <c r="R12" s="29">
        <v>6</v>
      </c>
      <c r="S12" s="29">
        <f>+R12+11</f>
        <v>17</v>
      </c>
      <c r="T12" s="30">
        <v>50000</v>
      </c>
    </row>
    <row r="13" spans="2:20" x14ac:dyDescent="0.2">
      <c r="B13" s="43">
        <f t="shared" si="7"/>
        <v>6</v>
      </c>
      <c r="C13" s="44"/>
      <c r="D13" s="44"/>
      <c r="E13" s="44">
        <f t="shared" si="0"/>
        <v>0</v>
      </c>
      <c r="F13" s="44">
        <f t="shared" si="4"/>
        <v>0</v>
      </c>
      <c r="G13" s="44"/>
      <c r="H13" s="44">
        <f t="shared" si="1"/>
        <v>50000</v>
      </c>
      <c r="I13" s="44"/>
      <c r="J13" s="44"/>
      <c r="K13" s="38">
        <f t="shared" si="5"/>
        <v>50000</v>
      </c>
      <c r="L13" s="45">
        <f t="shared" si="6"/>
        <v>0.94491118252306794</v>
      </c>
      <c r="M13" s="44">
        <f t="shared" si="2"/>
        <v>47245.559126153399</v>
      </c>
      <c r="N13" s="44">
        <f>+SUM(K$7:K13)</f>
        <v>-15467500</v>
      </c>
      <c r="O13" s="40"/>
      <c r="P13" s="56">
        <f t="shared" si="3"/>
        <v>0</v>
      </c>
      <c r="Q13" s="41"/>
      <c r="R13" s="29">
        <f>+S12+1</f>
        <v>18</v>
      </c>
      <c r="S13" s="29">
        <f t="shared" ref="S13:S17" si="8">+R13+11</f>
        <v>29</v>
      </c>
      <c r="T13" s="30">
        <f>+T12*1.1</f>
        <v>55000.000000000007</v>
      </c>
    </row>
    <row r="14" spans="2:20" x14ac:dyDescent="0.2">
      <c r="B14" s="43">
        <f t="shared" si="7"/>
        <v>7</v>
      </c>
      <c r="C14" s="44"/>
      <c r="D14" s="44"/>
      <c r="E14" s="44">
        <f t="shared" si="0"/>
        <v>0</v>
      </c>
      <c r="F14" s="44">
        <f t="shared" si="4"/>
        <v>-11000</v>
      </c>
      <c r="G14" s="44"/>
      <c r="H14" s="44">
        <f t="shared" si="1"/>
        <v>50000</v>
      </c>
      <c r="I14" s="44"/>
      <c r="J14" s="44"/>
      <c r="K14" s="38">
        <f t="shared" si="5"/>
        <v>39000</v>
      </c>
      <c r="L14" s="45">
        <f t="shared" si="6"/>
        <v>0.93602939342814506</v>
      </c>
      <c r="M14" s="44">
        <f t="shared" si="2"/>
        <v>36505.146343697656</v>
      </c>
      <c r="N14" s="44">
        <f>+SUM(K$7:K14)</f>
        <v>-15428500</v>
      </c>
      <c r="O14" s="40"/>
      <c r="P14" s="56">
        <f t="shared" si="3"/>
        <v>0</v>
      </c>
      <c r="Q14" s="41"/>
      <c r="R14" s="29">
        <f>+S13+1</f>
        <v>30</v>
      </c>
      <c r="S14" s="29">
        <f t="shared" si="8"/>
        <v>41</v>
      </c>
      <c r="T14" s="30">
        <f t="shared" ref="T14:T16" si="9">+T13*1.1</f>
        <v>60500.000000000015</v>
      </c>
    </row>
    <row r="15" spans="2:20" x14ac:dyDescent="0.2">
      <c r="B15" s="43">
        <f t="shared" si="7"/>
        <v>8</v>
      </c>
      <c r="C15" s="44"/>
      <c r="D15" s="44"/>
      <c r="E15" s="44">
        <f t="shared" si="0"/>
        <v>0</v>
      </c>
      <c r="F15" s="44">
        <f t="shared" si="4"/>
        <v>-11000</v>
      </c>
      <c r="G15" s="44"/>
      <c r="H15" s="44">
        <f t="shared" si="1"/>
        <v>50000</v>
      </c>
      <c r="I15" s="44"/>
      <c r="J15" s="44"/>
      <c r="K15" s="38">
        <f t="shared" si="5"/>
        <v>39000</v>
      </c>
      <c r="L15" s="45">
        <f t="shared" si="6"/>
        <v>0.92723108961626854</v>
      </c>
      <c r="M15" s="44">
        <f t="shared" si="2"/>
        <v>36162.012495034476</v>
      </c>
      <c r="N15" s="44">
        <f>+SUM(K$7:K15)</f>
        <v>-15389500</v>
      </c>
      <c r="O15" s="40"/>
      <c r="P15" s="56">
        <f t="shared" si="3"/>
        <v>0</v>
      </c>
      <c r="Q15" s="41"/>
      <c r="R15" s="29">
        <f>+S14+1</f>
        <v>42</v>
      </c>
      <c r="S15" s="29">
        <f t="shared" si="8"/>
        <v>53</v>
      </c>
      <c r="T15" s="30">
        <f t="shared" si="9"/>
        <v>66550.000000000015</v>
      </c>
    </row>
    <row r="16" spans="2:20" x14ac:dyDescent="0.2">
      <c r="B16" s="43">
        <f t="shared" si="7"/>
        <v>9</v>
      </c>
      <c r="C16" s="44"/>
      <c r="D16" s="44"/>
      <c r="E16" s="44">
        <f t="shared" si="0"/>
        <v>0</v>
      </c>
      <c r="F16" s="44">
        <f t="shared" si="4"/>
        <v>-11000</v>
      </c>
      <c r="G16" s="44"/>
      <c r="H16" s="44">
        <f t="shared" si="1"/>
        <v>50000</v>
      </c>
      <c r="I16" s="44"/>
      <c r="J16" s="44"/>
      <c r="K16" s="38">
        <f t="shared" si="5"/>
        <v>39000</v>
      </c>
      <c r="L16" s="45">
        <f t="shared" si="6"/>
        <v>0.91851548635900027</v>
      </c>
      <c r="M16" s="44">
        <f t="shared" si="2"/>
        <v>35822.103968001007</v>
      </c>
      <c r="N16" s="44">
        <f>+SUM(K$7:K16)</f>
        <v>-15350500</v>
      </c>
      <c r="O16" s="40"/>
      <c r="P16" s="56">
        <f t="shared" si="3"/>
        <v>0</v>
      </c>
      <c r="Q16" s="41"/>
      <c r="R16" s="29">
        <f>+S15+1</f>
        <v>54</v>
      </c>
      <c r="S16" s="29">
        <f t="shared" si="8"/>
        <v>65</v>
      </c>
      <c r="T16" s="30">
        <f t="shared" si="9"/>
        <v>73205.000000000029</v>
      </c>
    </row>
    <row r="17" spans="2:22" x14ac:dyDescent="0.2">
      <c r="B17" s="43">
        <f t="shared" si="7"/>
        <v>10</v>
      </c>
      <c r="C17" s="44"/>
      <c r="D17" s="44"/>
      <c r="E17" s="44">
        <f t="shared" si="0"/>
        <v>0</v>
      </c>
      <c r="F17" s="44">
        <f t="shared" si="4"/>
        <v>-11000</v>
      </c>
      <c r="G17" s="44"/>
      <c r="H17" s="44">
        <f t="shared" si="1"/>
        <v>50000</v>
      </c>
      <c r="I17" s="44"/>
      <c r="J17" s="44"/>
      <c r="K17" s="38">
        <f t="shared" si="5"/>
        <v>39000</v>
      </c>
      <c r="L17" s="45">
        <f t="shared" si="6"/>
        <v>0.90988180630403681</v>
      </c>
      <c r="M17" s="44">
        <f t="shared" si="2"/>
        <v>35485.390445857432</v>
      </c>
      <c r="N17" s="44">
        <f>+SUM(K$7:K17)</f>
        <v>-15311500</v>
      </c>
      <c r="O17" s="40"/>
      <c r="P17" s="56">
        <f t="shared" si="3"/>
        <v>0</v>
      </c>
      <c r="Q17" s="41"/>
      <c r="R17" s="29">
        <f>+S16+1</f>
        <v>66</v>
      </c>
      <c r="S17" s="29">
        <f t="shared" si="8"/>
        <v>77</v>
      </c>
      <c r="T17" s="29">
        <v>0</v>
      </c>
    </row>
    <row r="18" spans="2:22" x14ac:dyDescent="0.2">
      <c r="B18" s="43">
        <f t="shared" si="7"/>
        <v>11</v>
      </c>
      <c r="C18" s="44"/>
      <c r="D18" s="44"/>
      <c r="E18" s="44">
        <f t="shared" si="0"/>
        <v>0</v>
      </c>
      <c r="F18" s="44">
        <f t="shared" si="4"/>
        <v>-11000</v>
      </c>
      <c r="G18" s="44"/>
      <c r="H18" s="44">
        <f t="shared" si="1"/>
        <v>50000</v>
      </c>
      <c r="I18" s="44"/>
      <c r="J18" s="44"/>
      <c r="K18" s="38">
        <f t="shared" si="5"/>
        <v>39000</v>
      </c>
      <c r="L18" s="45">
        <f t="shared" si="6"/>
        <v>0.90132927940587759</v>
      </c>
      <c r="M18" s="44">
        <f t="shared" si="2"/>
        <v>35151.841896829224</v>
      </c>
      <c r="N18" s="44">
        <f>+SUM(K$7:K18)</f>
        <v>-15272500</v>
      </c>
      <c r="O18" s="40"/>
      <c r="P18" s="56">
        <f t="shared" si="3"/>
        <v>0</v>
      </c>
      <c r="Q18" s="41"/>
    </row>
    <row r="19" spans="2:22" x14ac:dyDescent="0.2">
      <c r="B19" s="43">
        <f t="shared" si="7"/>
        <v>12</v>
      </c>
      <c r="C19" s="44"/>
      <c r="D19" s="44"/>
      <c r="E19" s="44">
        <f t="shared" si="0"/>
        <v>-18900</v>
      </c>
      <c r="F19" s="44">
        <f t="shared" si="4"/>
        <v>-11000</v>
      </c>
      <c r="G19" s="44"/>
      <c r="H19" s="44">
        <f t="shared" si="1"/>
        <v>50000</v>
      </c>
      <c r="I19" s="44"/>
      <c r="J19" s="44"/>
      <c r="K19" s="38">
        <f t="shared" si="5"/>
        <v>20100</v>
      </c>
      <c r="L19" s="45">
        <f t="shared" si="6"/>
        <v>0.89285714285714279</v>
      </c>
      <c r="M19" s="44">
        <f t="shared" si="2"/>
        <v>17946.428571428569</v>
      </c>
      <c r="N19" s="44">
        <f>+SUM(K$7:K19)</f>
        <v>-15252400</v>
      </c>
      <c r="O19" s="40"/>
      <c r="P19" s="56">
        <f t="shared" si="3"/>
        <v>1.08</v>
      </c>
      <c r="Q19" s="41"/>
    </row>
    <row r="20" spans="2:22" x14ac:dyDescent="0.2">
      <c r="B20" s="43">
        <f t="shared" si="7"/>
        <v>13</v>
      </c>
      <c r="C20" s="44"/>
      <c r="D20" s="44"/>
      <c r="E20" s="44">
        <f t="shared" si="0"/>
        <v>0</v>
      </c>
      <c r="F20" s="44">
        <f t="shared" si="4"/>
        <v>-11000</v>
      </c>
      <c r="G20" s="44"/>
      <c r="H20" s="44">
        <f t="shared" si="1"/>
        <v>50000</v>
      </c>
      <c r="I20" s="44"/>
      <c r="J20" s="44"/>
      <c r="K20" s="38">
        <f t="shared" si="5"/>
        <v>39000</v>
      </c>
      <c r="L20" s="45">
        <f t="shared" si="6"/>
        <v>0.88446464102053857</v>
      </c>
      <c r="M20" s="44">
        <f t="shared" si="2"/>
        <v>34494.120999801002</v>
      </c>
      <c r="N20" s="44">
        <f>+SUM(K$7:K20)</f>
        <v>-15213400</v>
      </c>
      <c r="O20" s="40"/>
      <c r="P20" s="56">
        <f t="shared" si="3"/>
        <v>0</v>
      </c>
      <c r="Q20" s="41"/>
      <c r="R20" s="57" t="s">
        <v>46</v>
      </c>
      <c r="S20" s="35"/>
      <c r="T20" s="35"/>
      <c r="U20" s="36"/>
      <c r="V20" s="35"/>
    </row>
    <row r="21" spans="2:22" x14ac:dyDescent="0.2">
      <c r="B21" s="43">
        <f t="shared" si="7"/>
        <v>14</v>
      </c>
      <c r="C21" s="44"/>
      <c r="D21" s="44"/>
      <c r="E21" s="44">
        <f t="shared" si="0"/>
        <v>0</v>
      </c>
      <c r="F21" s="44">
        <f t="shared" si="4"/>
        <v>-11000</v>
      </c>
      <c r="G21" s="44"/>
      <c r="H21" s="44">
        <f t="shared" si="1"/>
        <v>50000</v>
      </c>
      <c r="I21" s="44"/>
      <c r="J21" s="44"/>
      <c r="K21" s="38">
        <f t="shared" si="5"/>
        <v>39000</v>
      </c>
      <c r="L21" s="45">
        <f t="shared" si="6"/>
        <v>0.87615102536146106</v>
      </c>
      <c r="M21" s="44">
        <f t="shared" si="2"/>
        <v>34169.889989096984</v>
      </c>
      <c r="N21" s="44">
        <f>+SUM(K$7:K21)</f>
        <v>-15174400</v>
      </c>
      <c r="O21" s="40"/>
      <c r="P21" s="56">
        <f t="shared" si="3"/>
        <v>0</v>
      </c>
      <c r="Q21" s="41"/>
      <c r="R21" s="29" t="s">
        <v>27</v>
      </c>
      <c r="S21" s="30">
        <v>28404692.409857906</v>
      </c>
      <c r="T21" s="42" t="s">
        <v>47</v>
      </c>
      <c r="U21" s="30"/>
    </row>
    <row r="22" spans="2:22" x14ac:dyDescent="0.2">
      <c r="B22" s="43">
        <f t="shared" si="7"/>
        <v>15</v>
      </c>
      <c r="C22" s="44"/>
      <c r="D22" s="44"/>
      <c r="E22" s="44">
        <f t="shared" si="0"/>
        <v>0</v>
      </c>
      <c r="F22" s="44">
        <f t="shared" si="4"/>
        <v>-11000</v>
      </c>
      <c r="G22" s="44"/>
      <c r="H22" s="44">
        <f t="shared" si="1"/>
        <v>50000</v>
      </c>
      <c r="I22" s="44"/>
      <c r="J22" s="44"/>
      <c r="K22" s="38">
        <f t="shared" si="5"/>
        <v>39000</v>
      </c>
      <c r="L22" s="45">
        <f t="shared" si="6"/>
        <v>0.8679155543812338</v>
      </c>
      <c r="M22" s="44">
        <f t="shared" si="2"/>
        <v>33848.706620868121</v>
      </c>
      <c r="N22" s="44">
        <f>+SUM(K$7:K22)</f>
        <v>-15135400</v>
      </c>
      <c r="O22" s="40"/>
      <c r="P22" s="56">
        <f t="shared" si="3"/>
        <v>0</v>
      </c>
      <c r="Q22" s="41"/>
      <c r="R22" s="29" t="s">
        <v>37</v>
      </c>
      <c r="S22" s="30">
        <f>+C7</f>
        <v>-15000000</v>
      </c>
    </row>
    <row r="23" spans="2:22" x14ac:dyDescent="0.2">
      <c r="B23" s="43">
        <f t="shared" si="7"/>
        <v>16</v>
      </c>
      <c r="C23" s="44"/>
      <c r="D23" s="44"/>
      <c r="E23" s="44">
        <f t="shared" si="0"/>
        <v>0</v>
      </c>
      <c r="F23" s="44">
        <f t="shared" si="4"/>
        <v>-11000</v>
      </c>
      <c r="G23" s="44"/>
      <c r="H23" s="44">
        <f t="shared" si="1"/>
        <v>50000</v>
      </c>
      <c r="I23" s="44"/>
      <c r="J23" s="44"/>
      <c r="K23" s="38">
        <f t="shared" si="5"/>
        <v>39000</v>
      </c>
      <c r="L23" s="45">
        <f t="shared" si="6"/>
        <v>0.85975749355097253</v>
      </c>
      <c r="M23" s="44">
        <f t="shared" si="2"/>
        <v>33530.542248487931</v>
      </c>
      <c r="N23" s="44">
        <f>+SUM(K$7:K23)</f>
        <v>-15096400</v>
      </c>
      <c r="O23" s="40"/>
      <c r="P23" s="56">
        <f t="shared" si="3"/>
        <v>0</v>
      </c>
      <c r="Q23" s="41"/>
      <c r="R23" s="29" t="s">
        <v>38</v>
      </c>
      <c r="S23" s="30">
        <f>+D10</f>
        <v>-2000000</v>
      </c>
    </row>
    <row r="24" spans="2:22" x14ac:dyDescent="0.2">
      <c r="B24" s="43">
        <f t="shared" si="7"/>
        <v>17</v>
      </c>
      <c r="C24" s="44"/>
      <c r="D24" s="44"/>
      <c r="E24" s="44">
        <f t="shared" si="0"/>
        <v>0</v>
      </c>
      <c r="F24" s="44">
        <f t="shared" si="4"/>
        <v>-11000</v>
      </c>
      <c r="G24" s="44"/>
      <c r="H24" s="44">
        <f t="shared" si="1"/>
        <v>50000</v>
      </c>
      <c r="I24" s="44"/>
      <c r="J24" s="44"/>
      <c r="K24" s="38">
        <f t="shared" si="5"/>
        <v>39000</v>
      </c>
      <c r="L24" s="45">
        <f t="shared" si="6"/>
        <v>0.85167611524607267</v>
      </c>
      <c r="M24" s="44">
        <f t="shared" si="2"/>
        <v>33215.368494596834</v>
      </c>
      <c r="N24" s="44">
        <f>+SUM(K$7:K24)</f>
        <v>-15057400</v>
      </c>
      <c r="O24" s="40"/>
      <c r="P24" s="56">
        <f t="shared" si="3"/>
        <v>0</v>
      </c>
      <c r="Q24" s="41"/>
      <c r="R24" s="29" t="s">
        <v>39</v>
      </c>
      <c r="S24" s="30">
        <f>SUM(S21:S23)</f>
        <v>11404692.409857906</v>
      </c>
    </row>
    <row r="25" spans="2:22" x14ac:dyDescent="0.2">
      <c r="B25" s="43">
        <f t="shared" si="7"/>
        <v>18</v>
      </c>
      <c r="C25" s="44"/>
      <c r="D25" s="44"/>
      <c r="E25" s="44">
        <f t="shared" si="0"/>
        <v>0</v>
      </c>
      <c r="F25" s="44">
        <f t="shared" si="4"/>
        <v>-11000</v>
      </c>
      <c r="G25" s="44"/>
      <c r="H25" s="44">
        <f t="shared" si="1"/>
        <v>55000.000000000007</v>
      </c>
      <c r="I25" s="44"/>
      <c r="J25" s="44"/>
      <c r="K25" s="38">
        <f t="shared" si="5"/>
        <v>44000.000000000007</v>
      </c>
      <c r="L25" s="45">
        <f t="shared" si="6"/>
        <v>0.84367069868131062</v>
      </c>
      <c r="M25" s="44">
        <f t="shared" si="2"/>
        <v>37121.510741977676</v>
      </c>
      <c r="N25" s="44">
        <f>+SUM(K$7:K25)</f>
        <v>-15013400</v>
      </c>
      <c r="O25" s="40"/>
      <c r="P25" s="56">
        <f t="shared" si="3"/>
        <v>0</v>
      </c>
      <c r="Q25" s="41"/>
    </row>
    <row r="26" spans="2:22" x14ac:dyDescent="0.2">
      <c r="B26" s="43">
        <f t="shared" si="7"/>
        <v>19</v>
      </c>
      <c r="C26" s="44"/>
      <c r="D26" s="44"/>
      <c r="E26" s="44">
        <f t="shared" si="0"/>
        <v>0</v>
      </c>
      <c r="F26" s="44">
        <f t="shared" si="4"/>
        <v>-12100.000000000002</v>
      </c>
      <c r="G26" s="44"/>
      <c r="H26" s="44">
        <f t="shared" si="1"/>
        <v>55000.000000000007</v>
      </c>
      <c r="I26" s="44"/>
      <c r="J26" s="44"/>
      <c r="K26" s="38">
        <f t="shared" si="5"/>
        <v>42900.000000000007</v>
      </c>
      <c r="L26" s="45">
        <f t="shared" si="6"/>
        <v>0.835740529846558</v>
      </c>
      <c r="M26" s="44">
        <f t="shared" si="2"/>
        <v>35853.268730417345</v>
      </c>
      <c r="N26" s="44">
        <f>+SUM(K$7:K26)</f>
        <v>-14970500</v>
      </c>
      <c r="O26" s="40"/>
      <c r="P26" s="56">
        <f t="shared" si="3"/>
        <v>0</v>
      </c>
      <c r="Q26" s="41"/>
    </row>
    <row r="27" spans="2:22" x14ac:dyDescent="0.2">
      <c r="B27" s="43">
        <f t="shared" si="7"/>
        <v>20</v>
      </c>
      <c r="C27" s="44"/>
      <c r="D27" s="44"/>
      <c r="E27" s="44">
        <f t="shared" si="0"/>
        <v>0</v>
      </c>
      <c r="F27" s="44">
        <f t="shared" si="4"/>
        <v>-12100.000000000002</v>
      </c>
      <c r="G27" s="44"/>
      <c r="H27" s="44">
        <f t="shared" si="1"/>
        <v>55000.000000000007</v>
      </c>
      <c r="I27" s="44"/>
      <c r="J27" s="44"/>
      <c r="K27" s="38">
        <f t="shared" si="5"/>
        <v>42900.000000000007</v>
      </c>
      <c r="L27" s="45">
        <f t="shared" si="6"/>
        <v>0.82788490144309679</v>
      </c>
      <c r="M27" s="44">
        <f t="shared" si="2"/>
        <v>35516.262271908861</v>
      </c>
      <c r="N27" s="44">
        <f>+SUM(K$7:K27)</f>
        <v>-14927600</v>
      </c>
      <c r="O27" s="40"/>
      <c r="P27" s="56">
        <f t="shared" si="3"/>
        <v>0</v>
      </c>
      <c r="Q27" s="41"/>
    </row>
    <row r="28" spans="2:22" x14ac:dyDescent="0.2">
      <c r="B28" s="43">
        <f t="shared" si="7"/>
        <v>21</v>
      </c>
      <c r="C28" s="44"/>
      <c r="D28" s="44"/>
      <c r="E28" s="44">
        <f t="shared" si="0"/>
        <v>0</v>
      </c>
      <c r="F28" s="44">
        <f t="shared" si="4"/>
        <v>-12100.000000000002</v>
      </c>
      <c r="G28" s="44"/>
      <c r="H28" s="44">
        <f t="shared" si="1"/>
        <v>55000.000000000007</v>
      </c>
      <c r="I28" s="44"/>
      <c r="J28" s="44"/>
      <c r="K28" s="38">
        <f t="shared" si="5"/>
        <v>42900.000000000007</v>
      </c>
      <c r="L28" s="45">
        <f t="shared" si="6"/>
        <v>0.82010311282053572</v>
      </c>
      <c r="M28" s="44">
        <f t="shared" si="2"/>
        <v>35182.423540000986</v>
      </c>
      <c r="N28" s="44">
        <f>+SUM(K$7:K28)</f>
        <v>-14884700</v>
      </c>
      <c r="O28" s="40"/>
      <c r="P28" s="56">
        <f t="shared" si="3"/>
        <v>0</v>
      </c>
      <c r="Q28" s="41"/>
    </row>
    <row r="29" spans="2:22" x14ac:dyDescent="0.2">
      <c r="B29" s="43">
        <f t="shared" si="7"/>
        <v>22</v>
      </c>
      <c r="C29" s="44"/>
      <c r="D29" s="44"/>
      <c r="E29" s="44">
        <f t="shared" si="0"/>
        <v>0</v>
      </c>
      <c r="F29" s="44">
        <f t="shared" si="4"/>
        <v>-12100.000000000002</v>
      </c>
      <c r="G29" s="44"/>
      <c r="H29" s="44">
        <f t="shared" si="1"/>
        <v>55000.000000000007</v>
      </c>
      <c r="I29" s="44"/>
      <c r="J29" s="44"/>
      <c r="K29" s="38">
        <f t="shared" si="5"/>
        <v>42900.000000000007</v>
      </c>
      <c r="L29" s="45">
        <f t="shared" si="6"/>
        <v>0.81239446991431852</v>
      </c>
      <c r="M29" s="44">
        <f t="shared" si="2"/>
        <v>34851.722759324271</v>
      </c>
      <c r="N29" s="44">
        <f>+SUM(K$7:K29)</f>
        <v>-14841800</v>
      </c>
      <c r="O29" s="40"/>
      <c r="P29" s="56">
        <f t="shared" si="3"/>
        <v>0</v>
      </c>
      <c r="Q29" s="41"/>
    </row>
    <row r="30" spans="2:22" x14ac:dyDescent="0.2">
      <c r="B30" s="43">
        <f t="shared" si="7"/>
        <v>23</v>
      </c>
      <c r="C30" s="44"/>
      <c r="D30" s="44"/>
      <c r="E30" s="44">
        <f t="shared" si="0"/>
        <v>0</v>
      </c>
      <c r="F30" s="44">
        <f t="shared" si="4"/>
        <v>-12100.000000000002</v>
      </c>
      <c r="G30" s="44"/>
      <c r="H30" s="44">
        <f t="shared" si="1"/>
        <v>55000.000000000007</v>
      </c>
      <c r="I30" s="44"/>
      <c r="J30" s="44"/>
      <c r="K30" s="38">
        <f t="shared" si="5"/>
        <v>42900.000000000007</v>
      </c>
      <c r="L30" s="45">
        <f t="shared" si="6"/>
        <v>0.8047582851838192</v>
      </c>
      <c r="M30" s="44">
        <f t="shared" si="2"/>
        <v>34524.13043438585</v>
      </c>
      <c r="N30" s="44">
        <f>+SUM(K$7:K30)</f>
        <v>-14798900</v>
      </c>
      <c r="O30" s="40"/>
      <c r="P30" s="56">
        <f t="shared" si="3"/>
        <v>0</v>
      </c>
      <c r="Q30" s="41"/>
    </row>
    <row r="31" spans="2:22" x14ac:dyDescent="0.2">
      <c r="B31" s="43">
        <f t="shared" si="7"/>
        <v>24</v>
      </c>
      <c r="C31" s="44"/>
      <c r="D31" s="44"/>
      <c r="E31" s="44">
        <f t="shared" si="0"/>
        <v>-20412</v>
      </c>
      <c r="F31" s="44">
        <f t="shared" si="4"/>
        <v>-12100.000000000002</v>
      </c>
      <c r="G31" s="44"/>
      <c r="H31" s="44">
        <f t="shared" si="1"/>
        <v>55000.000000000007</v>
      </c>
      <c r="I31" s="44"/>
      <c r="J31" s="44"/>
      <c r="K31" s="38">
        <f t="shared" si="5"/>
        <v>22488.000000000007</v>
      </c>
      <c r="L31" s="45">
        <f t="shared" si="6"/>
        <v>0.79719387755102034</v>
      </c>
      <c r="M31" s="44">
        <f t="shared" si="2"/>
        <v>17927.295918367352</v>
      </c>
      <c r="N31" s="44">
        <f>+SUM(K$7:K31)</f>
        <v>-14776412</v>
      </c>
      <c r="O31" s="40"/>
      <c r="P31" s="56">
        <f t="shared" si="3"/>
        <v>1.1664000000000001</v>
      </c>
      <c r="Q31" s="41"/>
    </row>
    <row r="32" spans="2:22" x14ac:dyDescent="0.2">
      <c r="B32" s="43">
        <f t="shared" si="7"/>
        <v>25</v>
      </c>
      <c r="C32" s="44"/>
      <c r="D32" s="44"/>
      <c r="E32" s="44">
        <f t="shared" si="0"/>
        <v>0</v>
      </c>
      <c r="F32" s="44">
        <f t="shared" si="4"/>
        <v>-12100.000000000002</v>
      </c>
      <c r="G32" s="44"/>
      <c r="H32" s="44">
        <f t="shared" si="1"/>
        <v>55000.000000000007</v>
      </c>
      <c r="I32" s="44"/>
      <c r="J32" s="44"/>
      <c r="K32" s="38">
        <f t="shared" si="5"/>
        <v>42900.000000000007</v>
      </c>
      <c r="L32" s="45">
        <f t="shared" si="6"/>
        <v>0.78970057233976654</v>
      </c>
      <c r="M32" s="44">
        <f t="shared" si="2"/>
        <v>33878.154553375993</v>
      </c>
      <c r="N32" s="44">
        <f>+SUM(K$7:K32)</f>
        <v>-14733512</v>
      </c>
      <c r="O32" s="40"/>
      <c r="P32" s="56">
        <f t="shared" si="3"/>
        <v>0</v>
      </c>
      <c r="Q32" s="41"/>
    </row>
    <row r="33" spans="2:17" x14ac:dyDescent="0.2">
      <c r="B33" s="43">
        <f t="shared" si="7"/>
        <v>26</v>
      </c>
      <c r="C33" s="44"/>
      <c r="D33" s="44"/>
      <c r="E33" s="44">
        <f t="shared" si="0"/>
        <v>0</v>
      </c>
      <c r="F33" s="44">
        <f t="shared" si="4"/>
        <v>-12100.000000000002</v>
      </c>
      <c r="G33" s="44"/>
      <c r="H33" s="44">
        <f t="shared" si="1"/>
        <v>55000.000000000007</v>
      </c>
      <c r="I33" s="44"/>
      <c r="J33" s="44"/>
      <c r="K33" s="38">
        <f t="shared" si="5"/>
        <v>42900.000000000007</v>
      </c>
      <c r="L33" s="45">
        <f t="shared" si="6"/>
        <v>0.78227770121559026</v>
      </c>
      <c r="M33" s="44">
        <f t="shared" si="2"/>
        <v>33559.713382148831</v>
      </c>
      <c r="N33" s="44">
        <f>+SUM(K$7:K33)</f>
        <v>-14690612</v>
      </c>
      <c r="O33" s="40"/>
      <c r="P33" s="56">
        <f t="shared" si="3"/>
        <v>0</v>
      </c>
      <c r="Q33" s="41"/>
    </row>
    <row r="34" spans="2:17" x14ac:dyDescent="0.2">
      <c r="B34" s="43">
        <f t="shared" si="7"/>
        <v>27</v>
      </c>
      <c r="C34" s="44"/>
      <c r="D34" s="44"/>
      <c r="E34" s="44">
        <f t="shared" si="0"/>
        <v>0</v>
      </c>
      <c r="F34" s="44">
        <f t="shared" si="4"/>
        <v>-12100.000000000002</v>
      </c>
      <c r="G34" s="44"/>
      <c r="H34" s="44">
        <f t="shared" si="1"/>
        <v>55000.000000000007</v>
      </c>
      <c r="I34" s="44"/>
      <c r="J34" s="44"/>
      <c r="K34" s="38">
        <f t="shared" si="5"/>
        <v>42900.000000000007</v>
      </c>
      <c r="L34" s="45">
        <f t="shared" si="6"/>
        <v>0.77492460212610159</v>
      </c>
      <c r="M34" s="44">
        <f t="shared" si="2"/>
        <v>33244.265431209766</v>
      </c>
      <c r="N34" s="44">
        <f>+SUM(K$7:K34)</f>
        <v>-14647712</v>
      </c>
      <c r="O34" s="40"/>
      <c r="P34" s="56">
        <f t="shared" si="3"/>
        <v>0</v>
      </c>
      <c r="Q34" s="41"/>
    </row>
    <row r="35" spans="2:17" x14ac:dyDescent="0.2">
      <c r="B35" s="43">
        <f t="shared" si="7"/>
        <v>28</v>
      </c>
      <c r="C35" s="44"/>
      <c r="D35" s="44"/>
      <c r="E35" s="44">
        <f t="shared" si="0"/>
        <v>0</v>
      </c>
      <c r="F35" s="44">
        <f t="shared" si="4"/>
        <v>-12100.000000000002</v>
      </c>
      <c r="G35" s="44"/>
      <c r="H35" s="44">
        <f t="shared" si="1"/>
        <v>55000.000000000007</v>
      </c>
      <c r="I35" s="44"/>
      <c r="J35" s="44"/>
      <c r="K35" s="38">
        <f t="shared" si="5"/>
        <v>42900.000000000007</v>
      </c>
      <c r="L35" s="45">
        <f t="shared" si="6"/>
        <v>0.76764061924193971</v>
      </c>
      <c r="M35" s="44">
        <f t="shared" si="2"/>
        <v>32931.782565479218</v>
      </c>
      <c r="N35" s="44">
        <f>+SUM(K$7:K35)</f>
        <v>-14604812</v>
      </c>
      <c r="O35" s="40"/>
      <c r="P35" s="56">
        <f t="shared" si="3"/>
        <v>0</v>
      </c>
      <c r="Q35" s="41"/>
    </row>
    <row r="36" spans="2:17" x14ac:dyDescent="0.2">
      <c r="B36" s="43">
        <f t="shared" si="7"/>
        <v>29</v>
      </c>
      <c r="C36" s="44"/>
      <c r="D36" s="44"/>
      <c r="E36" s="44">
        <f t="shared" si="0"/>
        <v>0</v>
      </c>
      <c r="F36" s="44">
        <f t="shared" si="4"/>
        <v>-12100.000000000002</v>
      </c>
      <c r="G36" s="44"/>
      <c r="H36" s="44">
        <f t="shared" si="1"/>
        <v>55000.000000000007</v>
      </c>
      <c r="I36" s="44"/>
      <c r="J36" s="44"/>
      <c r="K36" s="38">
        <f t="shared" si="5"/>
        <v>42900.000000000007</v>
      </c>
      <c r="L36" s="45">
        <f t="shared" si="6"/>
        <v>0.76042510289827903</v>
      </c>
      <c r="M36" s="44">
        <f t="shared" si="2"/>
        <v>32622.236914336176</v>
      </c>
      <c r="N36" s="44">
        <f>+SUM(K$7:K36)</f>
        <v>-14561912</v>
      </c>
      <c r="O36" s="40"/>
      <c r="P36" s="56">
        <f t="shared" si="3"/>
        <v>0</v>
      </c>
      <c r="Q36" s="41"/>
    </row>
    <row r="37" spans="2:17" x14ac:dyDescent="0.2">
      <c r="B37" s="43">
        <f t="shared" si="7"/>
        <v>30</v>
      </c>
      <c r="C37" s="44"/>
      <c r="D37" s="44"/>
      <c r="E37" s="44">
        <f t="shared" si="0"/>
        <v>0</v>
      </c>
      <c r="F37" s="44">
        <f t="shared" si="4"/>
        <v>-12100.000000000002</v>
      </c>
      <c r="G37" s="44"/>
      <c r="H37" s="44">
        <f t="shared" si="1"/>
        <v>60500.000000000015</v>
      </c>
      <c r="I37" s="44"/>
      <c r="J37" s="44"/>
      <c r="K37" s="38">
        <f t="shared" si="5"/>
        <v>48400.000000000015</v>
      </c>
      <c r="L37" s="45">
        <f t="shared" si="6"/>
        <v>0.75327740953688449</v>
      </c>
      <c r="M37" s="44">
        <f t="shared" si="2"/>
        <v>36458.626621585223</v>
      </c>
      <c r="N37" s="44">
        <f>+SUM(K$7:K37)</f>
        <v>-14513512</v>
      </c>
      <c r="O37" s="40"/>
      <c r="P37" s="56">
        <f t="shared" si="3"/>
        <v>0</v>
      </c>
      <c r="Q37" s="41"/>
    </row>
    <row r="38" spans="2:17" x14ac:dyDescent="0.2">
      <c r="B38" s="43">
        <f t="shared" si="7"/>
        <v>31</v>
      </c>
      <c r="C38" s="44"/>
      <c r="D38" s="44"/>
      <c r="E38" s="44">
        <f t="shared" si="0"/>
        <v>0</v>
      </c>
      <c r="F38" s="44">
        <f t="shared" si="4"/>
        <v>-13310.000000000004</v>
      </c>
      <c r="G38" s="44"/>
      <c r="H38" s="44">
        <f t="shared" si="1"/>
        <v>60500.000000000015</v>
      </c>
      <c r="I38" s="44"/>
      <c r="J38" s="44"/>
      <c r="K38" s="38">
        <f t="shared" si="5"/>
        <v>47190.000000000015</v>
      </c>
      <c r="L38" s="45">
        <f t="shared" si="6"/>
        <v>0.74619690164871233</v>
      </c>
      <c r="M38" s="44">
        <f t="shared" si="2"/>
        <v>35213.031788802742</v>
      </c>
      <c r="N38" s="44">
        <f>+SUM(K$7:K38)</f>
        <v>-14466322</v>
      </c>
      <c r="O38" s="40"/>
      <c r="P38" s="56">
        <f t="shared" si="3"/>
        <v>0</v>
      </c>
      <c r="Q38" s="41"/>
    </row>
    <row r="39" spans="2:17" x14ac:dyDescent="0.2">
      <c r="B39" s="43">
        <f t="shared" si="7"/>
        <v>32</v>
      </c>
      <c r="C39" s="44"/>
      <c r="D39" s="44"/>
      <c r="E39" s="44">
        <f t="shared" si="0"/>
        <v>0</v>
      </c>
      <c r="F39" s="44">
        <f t="shared" si="4"/>
        <v>-13310.000000000004</v>
      </c>
      <c r="G39" s="44"/>
      <c r="H39" s="44">
        <f t="shared" ref="H39:H73" si="10">IFERROR(VLOOKUP(B39,$R$12:$T$17,3,1),0)</f>
        <v>60500.000000000015</v>
      </c>
      <c r="I39" s="44"/>
      <c r="J39" s="44"/>
      <c r="K39" s="38">
        <f t="shared" si="5"/>
        <v>47190.000000000015</v>
      </c>
      <c r="L39" s="45">
        <f t="shared" si="6"/>
        <v>0.73918294771705073</v>
      </c>
      <c r="M39" s="44">
        <f t="shared" si="2"/>
        <v>34882.043302767634</v>
      </c>
      <c r="N39" s="44">
        <f>+SUM(K$7:K39)</f>
        <v>-14419132</v>
      </c>
      <c r="O39" s="40"/>
      <c r="P39" s="56">
        <f t="shared" si="3"/>
        <v>0</v>
      </c>
      <c r="Q39" s="41"/>
    </row>
    <row r="40" spans="2:17" x14ac:dyDescent="0.2">
      <c r="B40" s="43">
        <f t="shared" si="7"/>
        <v>33</v>
      </c>
      <c r="C40" s="44"/>
      <c r="D40" s="44"/>
      <c r="E40" s="44">
        <f t="shared" si="0"/>
        <v>0</v>
      </c>
      <c r="F40" s="44">
        <f t="shared" si="4"/>
        <v>-13310.000000000004</v>
      </c>
      <c r="G40" s="44"/>
      <c r="H40" s="44">
        <f t="shared" si="10"/>
        <v>60500.000000000015</v>
      </c>
      <c r="I40" s="44"/>
      <c r="J40" s="44"/>
      <c r="K40" s="38">
        <f t="shared" si="5"/>
        <v>47190.000000000015</v>
      </c>
      <c r="L40" s="45">
        <f t="shared" si="6"/>
        <v>0.73223492216119268</v>
      </c>
      <c r="M40" s="44">
        <f t="shared" si="2"/>
        <v>34554.165976786695</v>
      </c>
      <c r="N40" s="44">
        <f>+SUM(K$7:K40)</f>
        <v>-14371942</v>
      </c>
      <c r="O40" s="40"/>
      <c r="P40" s="56">
        <f t="shared" si="3"/>
        <v>0</v>
      </c>
      <c r="Q40" s="41"/>
    </row>
    <row r="41" spans="2:17" x14ac:dyDescent="0.2">
      <c r="B41" s="43">
        <f t="shared" si="7"/>
        <v>34</v>
      </c>
      <c r="C41" s="44"/>
      <c r="D41" s="44"/>
      <c r="E41" s="44">
        <f t="shared" si="0"/>
        <v>0</v>
      </c>
      <c r="F41" s="44">
        <f t="shared" si="4"/>
        <v>-13310.000000000004</v>
      </c>
      <c r="G41" s="44"/>
      <c r="H41" s="44">
        <f t="shared" si="10"/>
        <v>60500.000000000015</v>
      </c>
      <c r="I41" s="44"/>
      <c r="J41" s="44"/>
      <c r="K41" s="38">
        <f t="shared" si="5"/>
        <v>47190.000000000015</v>
      </c>
      <c r="L41" s="45">
        <f t="shared" si="6"/>
        <v>0.72535220528064148</v>
      </c>
      <c r="M41" s="44">
        <f t="shared" si="2"/>
        <v>34229.37056719348</v>
      </c>
      <c r="N41" s="44">
        <f>+SUM(K$7:K41)</f>
        <v>-14324752</v>
      </c>
      <c r="O41" s="40"/>
      <c r="P41" s="56">
        <f t="shared" si="3"/>
        <v>0</v>
      </c>
      <c r="Q41" s="41"/>
    </row>
    <row r="42" spans="2:17" x14ac:dyDescent="0.2">
      <c r="B42" s="43">
        <f t="shared" si="7"/>
        <v>35</v>
      </c>
      <c r="C42" s="44"/>
      <c r="D42" s="44"/>
      <c r="E42" s="44">
        <f t="shared" si="0"/>
        <v>0</v>
      </c>
      <c r="F42" s="44">
        <f t="shared" si="4"/>
        <v>-13310.000000000004</v>
      </c>
      <c r="G42" s="44"/>
      <c r="H42" s="44">
        <f t="shared" si="10"/>
        <v>60500.000000000015</v>
      </c>
      <c r="I42" s="44"/>
      <c r="J42" s="44"/>
      <c r="K42" s="38">
        <f t="shared" si="5"/>
        <v>47190.000000000015</v>
      </c>
      <c r="L42" s="45">
        <f t="shared" si="6"/>
        <v>0.71853418319983853</v>
      </c>
      <c r="M42" s="44">
        <f t="shared" si="2"/>
        <v>33907.628105200391</v>
      </c>
      <c r="N42" s="44">
        <f>+SUM(K$7:K42)</f>
        <v>-14277562</v>
      </c>
      <c r="O42" s="40"/>
      <c r="P42" s="56">
        <f t="shared" si="3"/>
        <v>0</v>
      </c>
      <c r="Q42" s="41"/>
    </row>
    <row r="43" spans="2:17" x14ac:dyDescent="0.2">
      <c r="B43" s="43">
        <f t="shared" si="7"/>
        <v>36</v>
      </c>
      <c r="C43" s="44"/>
      <c r="D43" s="44"/>
      <c r="E43" s="44">
        <f t="shared" si="0"/>
        <v>-22044.960000000003</v>
      </c>
      <c r="F43" s="44">
        <f t="shared" si="4"/>
        <v>-13310.000000000004</v>
      </c>
      <c r="G43" s="44"/>
      <c r="H43" s="44">
        <f t="shared" si="10"/>
        <v>60500.000000000015</v>
      </c>
      <c r="I43" s="44"/>
      <c r="J43" s="44"/>
      <c r="K43" s="38">
        <f t="shared" si="5"/>
        <v>25145.040000000008</v>
      </c>
      <c r="L43" s="45">
        <f t="shared" si="6"/>
        <v>0.71178024781341087</v>
      </c>
      <c r="M43" s="44">
        <f t="shared" si="2"/>
        <v>17897.742802478133</v>
      </c>
      <c r="N43" s="44">
        <f>+SUM(K$7:K43)</f>
        <v>-14252416.960000001</v>
      </c>
      <c r="O43" s="40"/>
      <c r="P43" s="56">
        <f t="shared" si="3"/>
        <v>1.2597120000000002</v>
      </c>
      <c r="Q43" s="41"/>
    </row>
    <row r="44" spans="2:17" x14ac:dyDescent="0.2">
      <c r="B44" s="43">
        <f t="shared" si="7"/>
        <v>37</v>
      </c>
      <c r="C44" s="44"/>
      <c r="D44" s="44"/>
      <c r="E44" s="44">
        <f t="shared" si="0"/>
        <v>0</v>
      </c>
      <c r="F44" s="44">
        <f t="shared" si="4"/>
        <v>-13310.000000000004</v>
      </c>
      <c r="G44" s="44"/>
      <c r="H44" s="44">
        <f t="shared" si="10"/>
        <v>60500.000000000015</v>
      </c>
      <c r="I44" s="44"/>
      <c r="J44" s="44"/>
      <c r="K44" s="38">
        <f t="shared" si="5"/>
        <v>47190.000000000015</v>
      </c>
      <c r="L44" s="45">
        <f t="shared" si="6"/>
        <v>0.70508979673193428</v>
      </c>
      <c r="M44" s="44">
        <f t="shared" si="2"/>
        <v>33273.187507779992</v>
      </c>
      <c r="N44" s="44">
        <f>+SUM(K$7:K44)</f>
        <v>-14205226.960000001</v>
      </c>
      <c r="O44" s="40"/>
      <c r="P44" s="56">
        <f t="shared" si="3"/>
        <v>0</v>
      </c>
      <c r="Q44" s="41"/>
    </row>
    <row r="45" spans="2:17" x14ac:dyDescent="0.2">
      <c r="B45" s="43">
        <f t="shared" si="7"/>
        <v>38</v>
      </c>
      <c r="C45" s="44"/>
      <c r="D45" s="44"/>
      <c r="E45" s="44">
        <f t="shared" si="0"/>
        <v>0</v>
      </c>
      <c r="F45" s="44">
        <f t="shared" si="4"/>
        <v>-13310.000000000004</v>
      </c>
      <c r="G45" s="44"/>
      <c r="H45" s="44">
        <f t="shared" si="10"/>
        <v>60500.000000000015</v>
      </c>
      <c r="I45" s="44"/>
      <c r="J45" s="44"/>
      <c r="K45" s="38">
        <f t="shared" si="5"/>
        <v>47190.000000000015</v>
      </c>
      <c r="L45" s="45">
        <f t="shared" si="6"/>
        <v>0.69846223322820555</v>
      </c>
      <c r="M45" s="44">
        <f t="shared" si="2"/>
        <v>32960.432786039033</v>
      </c>
      <c r="N45" s="44">
        <f>+SUM(K$7:K45)</f>
        <v>-14158036.960000001</v>
      </c>
      <c r="O45" s="40"/>
      <c r="P45" s="56">
        <f t="shared" si="3"/>
        <v>0</v>
      </c>
      <c r="Q45" s="41"/>
    </row>
    <row r="46" spans="2:17" x14ac:dyDescent="0.2">
      <c r="B46" s="43">
        <f t="shared" si="7"/>
        <v>39</v>
      </c>
      <c r="C46" s="44"/>
      <c r="D46" s="44"/>
      <c r="E46" s="44">
        <f t="shared" si="0"/>
        <v>0</v>
      </c>
      <c r="F46" s="44">
        <f t="shared" si="4"/>
        <v>-13310.000000000004</v>
      </c>
      <c r="G46" s="44"/>
      <c r="H46" s="44">
        <f t="shared" si="10"/>
        <v>60500.000000000015</v>
      </c>
      <c r="I46" s="44"/>
      <c r="J46" s="44"/>
      <c r="K46" s="38">
        <f t="shared" si="5"/>
        <v>47190.000000000015</v>
      </c>
      <c r="L46" s="45">
        <f t="shared" si="6"/>
        <v>0.69189696618401919</v>
      </c>
      <c r="M46" s="44">
        <f t="shared" si="2"/>
        <v>32650.617834223875</v>
      </c>
      <c r="N46" s="44">
        <f>+SUM(K$7:K46)</f>
        <v>-14110846.960000001</v>
      </c>
      <c r="O46" s="40"/>
      <c r="P46" s="56">
        <f t="shared" si="3"/>
        <v>0</v>
      </c>
      <c r="Q46" s="41"/>
    </row>
    <row r="47" spans="2:17" x14ac:dyDescent="0.2">
      <c r="B47" s="43">
        <f t="shared" si="7"/>
        <v>40</v>
      </c>
      <c r="C47" s="44"/>
      <c r="D47" s="44"/>
      <c r="E47" s="44">
        <f t="shared" si="0"/>
        <v>0</v>
      </c>
      <c r="F47" s="44">
        <f t="shared" si="4"/>
        <v>-13310.000000000004</v>
      </c>
      <c r="G47" s="44"/>
      <c r="H47" s="44">
        <f t="shared" si="10"/>
        <v>60500.000000000015</v>
      </c>
      <c r="I47" s="44"/>
      <c r="J47" s="44"/>
      <c r="K47" s="38">
        <f t="shared" si="5"/>
        <v>47190.000000000015</v>
      </c>
      <c r="L47" s="45">
        <f t="shared" si="6"/>
        <v>0.68539341003744614</v>
      </c>
      <c r="M47" s="44">
        <f t="shared" si="2"/>
        <v>32343.715019667092</v>
      </c>
      <c r="N47" s="44">
        <f>+SUM(K$7:K47)</f>
        <v>-14063656.960000001</v>
      </c>
      <c r="O47" s="40"/>
      <c r="P47" s="56">
        <f t="shared" si="3"/>
        <v>0</v>
      </c>
      <c r="Q47" s="41"/>
    </row>
    <row r="48" spans="2:17" x14ac:dyDescent="0.2">
      <c r="B48" s="43">
        <f t="shared" si="7"/>
        <v>41</v>
      </c>
      <c r="C48" s="44"/>
      <c r="D48" s="44"/>
      <c r="E48" s="44">
        <f t="shared" si="0"/>
        <v>0</v>
      </c>
      <c r="F48" s="44">
        <f t="shared" si="4"/>
        <v>-13310.000000000004</v>
      </c>
      <c r="G48" s="44"/>
      <c r="H48" s="44">
        <f t="shared" si="10"/>
        <v>60500.000000000015</v>
      </c>
      <c r="I48" s="44"/>
      <c r="J48" s="44"/>
      <c r="K48" s="38">
        <f t="shared" si="5"/>
        <v>47190.000000000015</v>
      </c>
      <c r="L48" s="45">
        <f t="shared" si="6"/>
        <v>0.67895098473060622</v>
      </c>
      <c r="M48" s="44">
        <f t="shared" si="2"/>
        <v>32039.696969437318</v>
      </c>
      <c r="N48" s="44">
        <f>+SUM(K$7:K48)</f>
        <v>-14016466.960000001</v>
      </c>
      <c r="O48" s="40"/>
      <c r="P48" s="56">
        <f t="shared" si="3"/>
        <v>0</v>
      </c>
      <c r="Q48" s="41"/>
    </row>
    <row r="49" spans="2:17" x14ac:dyDescent="0.2">
      <c r="B49" s="43">
        <f t="shared" si="7"/>
        <v>42</v>
      </c>
      <c r="C49" s="44"/>
      <c r="D49" s="44"/>
      <c r="E49" s="44">
        <f t="shared" si="0"/>
        <v>0</v>
      </c>
      <c r="F49" s="44">
        <f t="shared" si="4"/>
        <v>-13310.000000000004</v>
      </c>
      <c r="G49" s="44"/>
      <c r="H49" s="44">
        <f t="shared" si="10"/>
        <v>66550.000000000015</v>
      </c>
      <c r="I49" s="44"/>
      <c r="J49" s="44"/>
      <c r="K49" s="38">
        <f t="shared" si="5"/>
        <v>53240.000000000015</v>
      </c>
      <c r="L49" s="45">
        <f t="shared" si="6"/>
        <v>0.67256911565793243</v>
      </c>
      <c r="M49" s="44">
        <f t="shared" si="2"/>
        <v>35807.57971762833</v>
      </c>
      <c r="N49" s="44">
        <f>+SUM(K$7:K49)</f>
        <v>-13963226.960000001</v>
      </c>
      <c r="O49" s="40"/>
      <c r="P49" s="56">
        <f t="shared" si="3"/>
        <v>0</v>
      </c>
      <c r="Q49" s="41"/>
    </row>
    <row r="50" spans="2:17" x14ac:dyDescent="0.2">
      <c r="B50" s="43">
        <f t="shared" si="7"/>
        <v>43</v>
      </c>
      <c r="C50" s="44"/>
      <c r="D50" s="44"/>
      <c r="E50" s="44">
        <f t="shared" si="0"/>
        <v>0</v>
      </c>
      <c r="F50" s="44">
        <f t="shared" si="4"/>
        <v>-14641.000000000004</v>
      </c>
      <c r="G50" s="44"/>
      <c r="H50" s="44">
        <f t="shared" si="10"/>
        <v>66550.000000000015</v>
      </c>
      <c r="I50" s="44"/>
      <c r="J50" s="44"/>
      <c r="K50" s="38">
        <f t="shared" si="5"/>
        <v>51909.000000000015</v>
      </c>
      <c r="L50" s="45">
        <f t="shared" si="6"/>
        <v>0.66624723361492177</v>
      </c>
      <c r="M50" s="44">
        <f t="shared" si="2"/>
        <v>34584.227649716981</v>
      </c>
      <c r="N50" s="44">
        <f>+SUM(K$7:K50)</f>
        <v>-13911317.960000001</v>
      </c>
      <c r="O50" s="40"/>
      <c r="P50" s="56">
        <f t="shared" si="3"/>
        <v>0</v>
      </c>
      <c r="Q50" s="41"/>
    </row>
    <row r="51" spans="2:17" x14ac:dyDescent="0.2">
      <c r="B51" s="43">
        <f t="shared" si="7"/>
        <v>44</v>
      </c>
      <c r="C51" s="44"/>
      <c r="D51" s="44"/>
      <c r="E51" s="44">
        <f t="shared" si="0"/>
        <v>0</v>
      </c>
      <c r="F51" s="44">
        <f t="shared" si="4"/>
        <v>-14641.000000000004</v>
      </c>
      <c r="G51" s="44"/>
      <c r="H51" s="44">
        <f t="shared" si="10"/>
        <v>66550.000000000015</v>
      </c>
      <c r="I51" s="44"/>
      <c r="J51" s="44"/>
      <c r="K51" s="38">
        <f t="shared" si="5"/>
        <v>51909.000000000015</v>
      </c>
      <c r="L51" s="45">
        <f t="shared" si="6"/>
        <v>0.65998477474736661</v>
      </c>
      <c r="M51" s="44">
        <f t="shared" si="2"/>
        <v>34259.149672361062</v>
      </c>
      <c r="N51" s="44">
        <f>+SUM(K$7:K51)</f>
        <v>-13859408.960000001</v>
      </c>
      <c r="O51" s="40"/>
      <c r="P51" s="56">
        <f t="shared" si="3"/>
        <v>0</v>
      </c>
      <c r="Q51" s="41"/>
    </row>
    <row r="52" spans="2:17" x14ac:dyDescent="0.2">
      <c r="B52" s="43">
        <f t="shared" si="7"/>
        <v>45</v>
      </c>
      <c r="C52" s="44"/>
      <c r="D52" s="44"/>
      <c r="E52" s="44">
        <f t="shared" si="0"/>
        <v>0</v>
      </c>
      <c r="F52" s="44">
        <f t="shared" si="4"/>
        <v>-14641.000000000004</v>
      </c>
      <c r="G52" s="44"/>
      <c r="H52" s="44">
        <f t="shared" si="10"/>
        <v>66550.000000000015</v>
      </c>
      <c r="I52" s="44"/>
      <c r="J52" s="44"/>
      <c r="K52" s="38">
        <f t="shared" si="5"/>
        <v>51909.000000000015</v>
      </c>
      <c r="L52" s="45">
        <f t="shared" si="6"/>
        <v>0.65378118050106482</v>
      </c>
      <c r="M52" s="44">
        <f t="shared" si="2"/>
        <v>33937.127298629784</v>
      </c>
      <c r="N52" s="44">
        <f>+SUM(K$7:K52)</f>
        <v>-13807499.960000001</v>
      </c>
      <c r="O52" s="40"/>
      <c r="P52" s="56">
        <f t="shared" si="3"/>
        <v>0</v>
      </c>
      <c r="Q52" s="41"/>
    </row>
    <row r="53" spans="2:17" x14ac:dyDescent="0.2">
      <c r="B53" s="43">
        <f t="shared" si="7"/>
        <v>46</v>
      </c>
      <c r="C53" s="44"/>
      <c r="D53" s="44"/>
      <c r="E53" s="44">
        <f t="shared" si="0"/>
        <v>0</v>
      </c>
      <c r="F53" s="44">
        <f t="shared" si="4"/>
        <v>-14641.000000000004</v>
      </c>
      <c r="G53" s="44"/>
      <c r="H53" s="44">
        <f t="shared" si="10"/>
        <v>66550.000000000015</v>
      </c>
      <c r="I53" s="44"/>
      <c r="J53" s="44"/>
      <c r="K53" s="38">
        <f t="shared" si="5"/>
        <v>51909.000000000015</v>
      </c>
      <c r="L53" s="45">
        <f t="shared" si="6"/>
        <v>0.64763589757200124</v>
      </c>
      <c r="M53" s="44">
        <f t="shared" si="2"/>
        <v>33618.131807065023</v>
      </c>
      <c r="N53" s="44">
        <f>+SUM(K$7:K53)</f>
        <v>-13755590.960000001</v>
      </c>
      <c r="O53" s="40"/>
      <c r="P53" s="56">
        <f t="shared" si="3"/>
        <v>0</v>
      </c>
      <c r="Q53" s="41"/>
    </row>
    <row r="54" spans="2:17" x14ac:dyDescent="0.2">
      <c r="B54" s="43">
        <f t="shared" si="7"/>
        <v>47</v>
      </c>
      <c r="C54" s="44"/>
      <c r="D54" s="44"/>
      <c r="E54" s="44">
        <f t="shared" si="0"/>
        <v>0</v>
      </c>
      <c r="F54" s="44">
        <f t="shared" si="4"/>
        <v>-14641.000000000004</v>
      </c>
      <c r="G54" s="44"/>
      <c r="H54" s="44">
        <f t="shared" si="10"/>
        <v>66550.000000000015</v>
      </c>
      <c r="I54" s="44"/>
      <c r="J54" s="44"/>
      <c r="K54" s="38">
        <f t="shared" si="5"/>
        <v>51909.000000000015</v>
      </c>
      <c r="L54" s="45">
        <f t="shared" si="6"/>
        <v>0.64154837785699859</v>
      </c>
      <c r="M54" s="44">
        <f t="shared" si="2"/>
        <v>33302.134746178948</v>
      </c>
      <c r="N54" s="44">
        <f>+SUM(K$7:K54)</f>
        <v>-13703681.960000001</v>
      </c>
      <c r="O54" s="40"/>
      <c r="P54" s="56">
        <f t="shared" si="3"/>
        <v>0</v>
      </c>
      <c r="Q54" s="41"/>
    </row>
    <row r="55" spans="2:17" x14ac:dyDescent="0.2">
      <c r="B55" s="43">
        <f t="shared" si="7"/>
        <v>48</v>
      </c>
      <c r="C55" s="44"/>
      <c r="D55" s="44"/>
      <c r="E55" s="44">
        <f t="shared" si="0"/>
        <v>-23808.556800000006</v>
      </c>
      <c r="F55" s="44">
        <f t="shared" si="4"/>
        <v>-14641.000000000004</v>
      </c>
      <c r="G55" s="44"/>
      <c r="H55" s="44">
        <f t="shared" si="10"/>
        <v>66550.000000000015</v>
      </c>
      <c r="I55" s="44"/>
      <c r="J55" s="44"/>
      <c r="K55" s="38">
        <f t="shared" si="5"/>
        <v>28100.443200000009</v>
      </c>
      <c r="L55" s="45">
        <f t="shared" si="6"/>
        <v>0.63551807840483121</v>
      </c>
      <c r="M55" s="44">
        <f t="shared" si="2"/>
        <v>17858.339664788113</v>
      </c>
      <c r="N55" s="44">
        <f>+SUM(K$7:K55)</f>
        <v>-13675581.516800001</v>
      </c>
      <c r="O55" s="40"/>
      <c r="P55" s="56">
        <f t="shared" si="3"/>
        <v>1.3604889600000003</v>
      </c>
      <c r="Q55" s="41"/>
    </row>
    <row r="56" spans="2:17" x14ac:dyDescent="0.2">
      <c r="B56" s="43">
        <f t="shared" si="7"/>
        <v>49</v>
      </c>
      <c r="C56" s="44"/>
      <c r="D56" s="44"/>
      <c r="E56" s="44">
        <f t="shared" si="0"/>
        <v>0</v>
      </c>
      <c r="F56" s="44">
        <f t="shared" si="4"/>
        <v>-14641.000000000004</v>
      </c>
      <c r="G56" s="44"/>
      <c r="H56" s="44">
        <f t="shared" si="10"/>
        <v>66550.000000000015</v>
      </c>
      <c r="I56" s="44"/>
      <c r="J56" s="44"/>
      <c r="K56" s="38">
        <f t="shared" si="5"/>
        <v>51909.000000000015</v>
      </c>
      <c r="L56" s="45">
        <f t="shared" si="6"/>
        <v>0.62954446136779851</v>
      </c>
      <c r="M56" s="44">
        <f t="shared" si="2"/>
        <v>32679.023445141062</v>
      </c>
      <c r="N56" s="44">
        <f>+SUM(K$7:K56)</f>
        <v>-13623672.516800001</v>
      </c>
      <c r="O56" s="40"/>
      <c r="P56" s="56">
        <f t="shared" si="3"/>
        <v>0</v>
      </c>
      <c r="Q56" s="41"/>
    </row>
    <row r="57" spans="2:17" x14ac:dyDescent="0.2">
      <c r="B57" s="43">
        <f t="shared" si="7"/>
        <v>50</v>
      </c>
      <c r="C57" s="44"/>
      <c r="D57" s="44"/>
      <c r="E57" s="44">
        <f t="shared" si="0"/>
        <v>0</v>
      </c>
      <c r="F57" s="44">
        <f t="shared" si="4"/>
        <v>-14641.000000000004</v>
      </c>
      <c r="G57" s="44"/>
      <c r="H57" s="44">
        <f t="shared" si="10"/>
        <v>66550.000000000015</v>
      </c>
      <c r="I57" s="44"/>
      <c r="J57" s="44"/>
      <c r="K57" s="38">
        <f t="shared" si="5"/>
        <v>51909.000000000015</v>
      </c>
      <c r="L57" s="45">
        <f t="shared" si="6"/>
        <v>0.62362699395375476</v>
      </c>
      <c r="M57" s="44">
        <f t="shared" si="2"/>
        <v>32371.853629145466</v>
      </c>
      <c r="N57" s="44">
        <f>+SUM(K$7:K57)</f>
        <v>-13571763.516800001</v>
      </c>
      <c r="O57" s="40"/>
      <c r="P57" s="56">
        <f t="shared" si="3"/>
        <v>0</v>
      </c>
      <c r="Q57" s="41"/>
    </row>
    <row r="58" spans="2:17" x14ac:dyDescent="0.2">
      <c r="B58" s="43">
        <f t="shared" si="7"/>
        <v>51</v>
      </c>
      <c r="C58" s="44"/>
      <c r="D58" s="44"/>
      <c r="E58" s="44">
        <f t="shared" si="0"/>
        <v>0</v>
      </c>
      <c r="F58" s="44">
        <f t="shared" si="4"/>
        <v>-14641.000000000004</v>
      </c>
      <c r="G58" s="44"/>
      <c r="H58" s="44">
        <f t="shared" si="10"/>
        <v>66550.000000000015</v>
      </c>
      <c r="I58" s="44"/>
      <c r="J58" s="44"/>
      <c r="K58" s="38">
        <f t="shared" si="5"/>
        <v>51909.000000000015</v>
      </c>
      <c r="L58" s="45">
        <f t="shared" si="6"/>
        <v>0.61776514837858854</v>
      </c>
      <c r="M58" s="44">
        <f t="shared" si="2"/>
        <v>32067.571087184162</v>
      </c>
      <c r="N58" s="44">
        <f>+SUM(K$7:K58)</f>
        <v>-13519854.516800001</v>
      </c>
      <c r="O58" s="40"/>
      <c r="P58" s="56">
        <f t="shared" si="3"/>
        <v>0</v>
      </c>
      <c r="Q58" s="41"/>
    </row>
    <row r="59" spans="2:17" x14ac:dyDescent="0.2">
      <c r="B59" s="43">
        <f t="shared" si="7"/>
        <v>52</v>
      </c>
      <c r="C59" s="44"/>
      <c r="D59" s="44"/>
      <c r="E59" s="44">
        <f t="shared" si="0"/>
        <v>0</v>
      </c>
      <c r="F59" s="44">
        <f t="shared" si="4"/>
        <v>-14641.000000000004</v>
      </c>
      <c r="G59" s="44"/>
      <c r="H59" s="44">
        <f t="shared" si="10"/>
        <v>66550.000000000015</v>
      </c>
      <c r="I59" s="44"/>
      <c r="J59" s="44"/>
      <c r="K59" s="38">
        <f t="shared" si="5"/>
        <v>51909.000000000015</v>
      </c>
      <c r="L59" s="45">
        <f t="shared" si="6"/>
        <v>0.61195840181914829</v>
      </c>
      <c r="M59" s="44">
        <f t="shared" si="2"/>
        <v>31766.148680030179</v>
      </c>
      <c r="N59" s="44">
        <f>+SUM(K$7:K59)</f>
        <v>-13467945.516800001</v>
      </c>
      <c r="O59" s="40"/>
      <c r="P59" s="56">
        <f t="shared" si="3"/>
        <v>0</v>
      </c>
      <c r="Q59" s="41"/>
    </row>
    <row r="60" spans="2:17" x14ac:dyDescent="0.2">
      <c r="B60" s="43">
        <f t="shared" si="7"/>
        <v>53</v>
      </c>
      <c r="C60" s="44"/>
      <c r="D60" s="44"/>
      <c r="E60" s="44">
        <f t="shared" si="0"/>
        <v>0</v>
      </c>
      <c r="F60" s="44">
        <f t="shared" si="4"/>
        <v>-14641.000000000004</v>
      </c>
      <c r="G60" s="44"/>
      <c r="H60" s="44">
        <f t="shared" si="10"/>
        <v>66550.000000000015</v>
      </c>
      <c r="I60" s="44"/>
      <c r="J60" s="44"/>
      <c r="K60" s="38">
        <f t="shared" si="5"/>
        <v>51909.000000000015</v>
      </c>
      <c r="L60" s="45">
        <f t="shared" si="6"/>
        <v>0.60620623636661264</v>
      </c>
      <c r="M60" s="44">
        <f t="shared" si="2"/>
        <v>31467.559523554504</v>
      </c>
      <c r="N60" s="44">
        <f>+SUM(K$7:K60)</f>
        <v>-13416036.516800001</v>
      </c>
      <c r="O60" s="40"/>
      <c r="P60" s="56">
        <f t="shared" si="3"/>
        <v>0</v>
      </c>
      <c r="Q60" s="41"/>
    </row>
    <row r="61" spans="2:17" x14ac:dyDescent="0.2">
      <c r="B61" s="43">
        <f t="shared" si="7"/>
        <v>54</v>
      </c>
      <c r="C61" s="44"/>
      <c r="D61" s="44"/>
      <c r="E61" s="44">
        <f t="shared" si="0"/>
        <v>0</v>
      </c>
      <c r="F61" s="44">
        <f t="shared" si="4"/>
        <v>-14641.000000000004</v>
      </c>
      <c r="G61" s="44"/>
      <c r="H61" s="44">
        <f t="shared" si="10"/>
        <v>73205.000000000029</v>
      </c>
      <c r="I61" s="44"/>
      <c r="J61" s="44"/>
      <c r="K61" s="38">
        <f t="shared" si="5"/>
        <v>58564.000000000029</v>
      </c>
      <c r="L61" s="45">
        <f t="shared" si="6"/>
        <v>0.60050813898029676</v>
      </c>
      <c r="M61" s="44">
        <f t="shared" si="2"/>
        <v>35168.15865124212</v>
      </c>
      <c r="N61" s="44">
        <f>+SUM(K$7:K61)</f>
        <v>-13357472.516800001</v>
      </c>
      <c r="O61" s="40"/>
      <c r="P61" s="56">
        <f t="shared" si="3"/>
        <v>0</v>
      </c>
      <c r="Q61" s="41"/>
    </row>
    <row r="62" spans="2:17" x14ac:dyDescent="0.2">
      <c r="B62" s="43">
        <f t="shared" si="7"/>
        <v>55</v>
      </c>
      <c r="C62" s="44"/>
      <c r="D62" s="44"/>
      <c r="E62" s="44">
        <f t="shared" si="0"/>
        <v>0</v>
      </c>
      <c r="F62" s="44">
        <f t="shared" si="4"/>
        <v>-16105.100000000006</v>
      </c>
      <c r="G62" s="44"/>
      <c r="H62" s="44">
        <f t="shared" si="10"/>
        <v>73205.000000000029</v>
      </c>
      <c r="I62" s="44"/>
      <c r="J62" s="44"/>
      <c r="K62" s="38">
        <f t="shared" si="5"/>
        <v>57099.900000000023</v>
      </c>
      <c r="L62" s="45">
        <f t="shared" si="6"/>
        <v>0.59486360144189432</v>
      </c>
      <c r="M62" s="44">
        <f t="shared" si="2"/>
        <v>33966.652155972035</v>
      </c>
      <c r="N62" s="44">
        <f>+SUM(K$7:K62)</f>
        <v>-13300372.616800001</v>
      </c>
      <c r="O62" s="40"/>
      <c r="P62" s="56">
        <f t="shared" si="3"/>
        <v>0</v>
      </c>
      <c r="Q62" s="41"/>
    </row>
    <row r="63" spans="2:17" x14ac:dyDescent="0.2">
      <c r="B63" s="43">
        <f t="shared" si="7"/>
        <v>56</v>
      </c>
      <c r="C63" s="44"/>
      <c r="D63" s="44"/>
      <c r="E63" s="44">
        <f t="shared" si="0"/>
        <v>0</v>
      </c>
      <c r="F63" s="44">
        <f t="shared" si="4"/>
        <v>-16105.100000000006</v>
      </c>
      <c r="G63" s="44"/>
      <c r="H63" s="44">
        <f t="shared" si="10"/>
        <v>73205.000000000029</v>
      </c>
      <c r="I63" s="44"/>
      <c r="J63" s="44"/>
      <c r="K63" s="38">
        <f t="shared" si="5"/>
        <v>57099.900000000023</v>
      </c>
      <c r="L63" s="45">
        <f t="shared" si="6"/>
        <v>0.58927212031014864</v>
      </c>
      <c r="M63" s="44">
        <f t="shared" si="2"/>
        <v>33647.37914249747</v>
      </c>
      <c r="N63" s="44">
        <f>+SUM(K$7:K63)</f>
        <v>-13243272.716800001</v>
      </c>
      <c r="O63" s="40"/>
      <c r="P63" s="56">
        <f t="shared" si="3"/>
        <v>0</v>
      </c>
      <c r="Q63" s="41"/>
    </row>
    <row r="64" spans="2:17" x14ac:dyDescent="0.2">
      <c r="B64" s="43">
        <f t="shared" si="7"/>
        <v>57</v>
      </c>
      <c r="C64" s="44"/>
      <c r="D64" s="44"/>
      <c r="E64" s="44">
        <f t="shared" si="0"/>
        <v>0</v>
      </c>
      <c r="F64" s="44">
        <f t="shared" si="4"/>
        <v>-16105.100000000006</v>
      </c>
      <c r="G64" s="44"/>
      <c r="H64" s="44">
        <f t="shared" si="10"/>
        <v>73205.000000000029</v>
      </c>
      <c r="I64" s="44"/>
      <c r="J64" s="44"/>
      <c r="K64" s="38">
        <f t="shared" si="5"/>
        <v>57099.900000000023</v>
      </c>
      <c r="L64" s="45">
        <f t="shared" si="6"/>
        <v>0.5837331968759506</v>
      </c>
      <c r="M64" s="44">
        <f t="shared" si="2"/>
        <v>33331.107168297109</v>
      </c>
      <c r="N64" s="44">
        <f>+SUM(K$7:K64)</f>
        <v>-13186172.8168</v>
      </c>
      <c r="O64" s="40"/>
      <c r="P64" s="56">
        <f t="shared" si="3"/>
        <v>0</v>
      </c>
      <c r="Q64" s="41"/>
    </row>
    <row r="65" spans="2:17" x14ac:dyDescent="0.2">
      <c r="B65" s="43">
        <f t="shared" si="7"/>
        <v>58</v>
      </c>
      <c r="C65" s="44"/>
      <c r="D65" s="44"/>
      <c r="E65" s="44">
        <f t="shared" si="0"/>
        <v>0</v>
      </c>
      <c r="F65" s="44">
        <f t="shared" si="4"/>
        <v>-16105.100000000006</v>
      </c>
      <c r="G65" s="44"/>
      <c r="H65" s="44">
        <f t="shared" si="10"/>
        <v>73205.000000000029</v>
      </c>
      <c r="I65" s="44"/>
      <c r="J65" s="44"/>
      <c r="K65" s="38">
        <f t="shared" si="5"/>
        <v>57099.900000000023</v>
      </c>
      <c r="L65" s="45">
        <f t="shared" si="6"/>
        <v>0.57824633711785822</v>
      </c>
      <c r="M65" s="44">
        <f t="shared" si="2"/>
        <v>33017.80802479601</v>
      </c>
      <c r="N65" s="44">
        <f>+SUM(K$7:K65)</f>
        <v>-13129072.9168</v>
      </c>
      <c r="O65" s="40"/>
      <c r="P65" s="56">
        <f t="shared" si="3"/>
        <v>0</v>
      </c>
      <c r="Q65" s="41"/>
    </row>
    <row r="66" spans="2:17" x14ac:dyDescent="0.2">
      <c r="B66" s="43">
        <f t="shared" si="7"/>
        <v>59</v>
      </c>
      <c r="C66" s="44"/>
      <c r="D66" s="44"/>
      <c r="E66" s="44">
        <f t="shared" si="0"/>
        <v>0</v>
      </c>
      <c r="F66" s="44">
        <f t="shared" si="4"/>
        <v>-16105.100000000006</v>
      </c>
      <c r="G66" s="44"/>
      <c r="H66" s="44">
        <f t="shared" si="10"/>
        <v>73205.000000000029</v>
      </c>
      <c r="I66" s="44"/>
      <c r="J66" s="44"/>
      <c r="K66" s="38">
        <f t="shared" si="5"/>
        <v>57099.900000000023</v>
      </c>
      <c r="L66" s="45">
        <f t="shared" si="6"/>
        <v>0.57281105165803436</v>
      </c>
      <c r="M66" s="44">
        <f t="shared" si="2"/>
        <v>32707.453768568608</v>
      </c>
      <c r="N66" s="44">
        <f>+SUM(K$7:K66)</f>
        <v>-13071973.016799999</v>
      </c>
      <c r="O66" s="40"/>
      <c r="P66" s="56">
        <f t="shared" si="3"/>
        <v>0</v>
      </c>
      <c r="Q66" s="41"/>
    </row>
    <row r="67" spans="2:17" x14ac:dyDescent="0.2">
      <c r="B67" s="43">
        <f t="shared" si="7"/>
        <v>60</v>
      </c>
      <c r="C67" s="44"/>
      <c r="D67" s="44"/>
      <c r="E67" s="44">
        <f t="shared" si="0"/>
        <v>-25713.241344000005</v>
      </c>
      <c r="F67" s="44">
        <f t="shared" si="4"/>
        <v>-16105.100000000006</v>
      </c>
      <c r="G67" s="44"/>
      <c r="H67" s="44">
        <f t="shared" si="10"/>
        <v>73205.000000000029</v>
      </c>
      <c r="I67" s="44"/>
      <c r="J67" s="44"/>
      <c r="K67" s="38">
        <f t="shared" si="5"/>
        <v>31386.658656000014</v>
      </c>
      <c r="L67" s="45">
        <f t="shared" si="6"/>
        <v>0.56742685571859919</v>
      </c>
      <c r="M67" s="44">
        <f t="shared" si="2"/>
        <v>17809.633032687041</v>
      </c>
      <c r="N67" s="44">
        <f>+SUM(K$7:K67)</f>
        <v>-13040586.358144</v>
      </c>
      <c r="O67" s="40"/>
      <c r="P67" s="56">
        <f t="shared" si="3"/>
        <v>1.4693280768000003</v>
      </c>
      <c r="Q67" s="41"/>
    </row>
    <row r="68" spans="2:17" x14ac:dyDescent="0.2">
      <c r="B68" s="43">
        <f t="shared" si="7"/>
        <v>61</v>
      </c>
      <c r="C68" s="44"/>
      <c r="D68" s="44"/>
      <c r="E68" s="44">
        <f t="shared" si="0"/>
        <v>0</v>
      </c>
      <c r="F68" s="44">
        <f t="shared" si="4"/>
        <v>-16105.100000000006</v>
      </c>
      <c r="G68" s="44"/>
      <c r="H68" s="44">
        <f t="shared" si="10"/>
        <v>73205.000000000029</v>
      </c>
      <c r="I68" s="44"/>
      <c r="J68" s="44"/>
      <c r="K68" s="38">
        <f t="shared" si="5"/>
        <v>57099.900000000023</v>
      </c>
      <c r="L68" s="45">
        <f t="shared" si="6"/>
        <v>0.56209326907839152</v>
      </c>
      <c r="M68" s="44">
        <f t="shared" si="2"/>
        <v>32095.46945504926</v>
      </c>
      <c r="N68" s="44">
        <f>+SUM(K$7:K68)</f>
        <v>-12983486.458144</v>
      </c>
      <c r="O68" s="40"/>
      <c r="P68" s="56">
        <f t="shared" si="3"/>
        <v>0</v>
      </c>
      <c r="Q68" s="41"/>
    </row>
    <row r="69" spans="2:17" x14ac:dyDescent="0.2">
      <c r="B69" s="43">
        <f t="shared" si="7"/>
        <v>62</v>
      </c>
      <c r="C69" s="44"/>
      <c r="D69" s="44"/>
      <c r="E69" s="44">
        <f t="shared" si="0"/>
        <v>0</v>
      </c>
      <c r="F69" s="44">
        <f t="shared" si="4"/>
        <v>-16105.100000000006</v>
      </c>
      <c r="G69" s="44"/>
      <c r="H69" s="44">
        <f t="shared" si="10"/>
        <v>73205.000000000029</v>
      </c>
      <c r="I69" s="44"/>
      <c r="J69" s="44"/>
      <c r="K69" s="38">
        <f t="shared" si="5"/>
        <v>57099.900000000023</v>
      </c>
      <c r="L69" s="45">
        <f t="shared" si="6"/>
        <v>0.55680981603013813</v>
      </c>
      <c r="M69" s="44">
        <f t="shared" si="2"/>
        <v>31793.784814339298</v>
      </c>
      <c r="N69" s="44">
        <f>+SUM(K$7:K69)</f>
        <v>-12926386.558143999</v>
      </c>
      <c r="O69" s="40"/>
      <c r="P69" s="56">
        <f t="shared" si="3"/>
        <v>0</v>
      </c>
      <c r="Q69" s="41"/>
    </row>
    <row r="70" spans="2:17" x14ac:dyDescent="0.2">
      <c r="B70" s="43">
        <f t="shared" si="7"/>
        <v>63</v>
      </c>
      <c r="C70" s="44"/>
      <c r="D70" s="44"/>
      <c r="E70" s="44">
        <f t="shared" si="0"/>
        <v>0</v>
      </c>
      <c r="F70" s="44">
        <f t="shared" si="4"/>
        <v>-16105.100000000006</v>
      </c>
      <c r="G70" s="44"/>
      <c r="H70" s="44">
        <f t="shared" si="10"/>
        <v>73205.000000000029</v>
      </c>
      <c r="I70" s="44"/>
      <c r="J70" s="44"/>
      <c r="K70" s="38">
        <f t="shared" si="5"/>
        <v>57099.900000000023</v>
      </c>
      <c r="L70" s="45">
        <f t="shared" si="6"/>
        <v>0.55157602533802541</v>
      </c>
      <c r="M70" s="44">
        <f t="shared" si="2"/>
        <v>31494.935889198729</v>
      </c>
      <c r="N70" s="44">
        <f>+SUM(K$7:K70)</f>
        <v>-12869286.658143999</v>
      </c>
      <c r="O70" s="40"/>
      <c r="P70" s="56">
        <f t="shared" si="3"/>
        <v>0</v>
      </c>
      <c r="Q70" s="41"/>
    </row>
    <row r="71" spans="2:17" x14ac:dyDescent="0.2">
      <c r="B71" s="43">
        <f t="shared" si="7"/>
        <v>64</v>
      </c>
      <c r="C71" s="44"/>
      <c r="D71" s="44"/>
      <c r="E71" s="44">
        <f t="shared" ref="E71:E73" si="11">+$S$2*P71*-1</f>
        <v>0</v>
      </c>
      <c r="F71" s="44">
        <f t="shared" si="4"/>
        <v>-16105.100000000006</v>
      </c>
      <c r="G71" s="44"/>
      <c r="H71" s="44">
        <f t="shared" si="10"/>
        <v>73205.000000000029</v>
      </c>
      <c r="I71" s="44"/>
      <c r="J71" s="44"/>
      <c r="K71" s="38">
        <f t="shared" si="5"/>
        <v>57099.900000000023</v>
      </c>
      <c r="L71" s="45">
        <f t="shared" si="6"/>
        <v>0.54639143019566805</v>
      </c>
      <c r="M71" s="44">
        <f t="shared" ref="M71:M73" si="12">+K71*L71</f>
        <v>31198.89602502964</v>
      </c>
      <c r="N71" s="44">
        <f>+SUM(K$7:K71)</f>
        <v>-12812186.758143999</v>
      </c>
      <c r="O71" s="40"/>
      <c r="P71" s="56">
        <f t="shared" ref="P71:P73" si="13">+IF(MOD(B71,12)=0,(1+$S$3)^(B71/12),0)</f>
        <v>0</v>
      </c>
      <c r="Q71" s="41"/>
    </row>
    <row r="72" spans="2:17" x14ac:dyDescent="0.2">
      <c r="B72" s="43">
        <f t="shared" si="7"/>
        <v>65</v>
      </c>
      <c r="C72" s="44"/>
      <c r="D72" s="44"/>
      <c r="E72" s="44">
        <f t="shared" si="11"/>
        <v>0</v>
      </c>
      <c r="F72" s="44">
        <f t="shared" ref="F72:F73" si="14">H71*$S$5*-1</f>
        <v>-16105.100000000006</v>
      </c>
      <c r="G72" s="44"/>
      <c r="H72" s="44">
        <f t="shared" si="10"/>
        <v>73205.000000000029</v>
      </c>
      <c r="I72" s="44"/>
      <c r="J72" s="44"/>
      <c r="K72" s="38">
        <f t="shared" ref="K72:K73" si="15">SUM(C72:J72)</f>
        <v>57099.900000000023</v>
      </c>
      <c r="L72" s="45">
        <f t="shared" ref="L72:L73" si="16">+(1+$S$4)^-(B72/12)</f>
        <v>0.5412555681844754</v>
      </c>
      <c r="M72" s="44">
        <f t="shared" si="12"/>
        <v>30905.63881777674</v>
      </c>
      <c r="N72" s="44">
        <f>+SUM(K$7:K72)</f>
        <v>-12755086.858143998</v>
      </c>
      <c r="O72" s="40"/>
      <c r="P72" s="56">
        <f t="shared" si="13"/>
        <v>0</v>
      </c>
      <c r="Q72" s="41"/>
    </row>
    <row r="73" spans="2:17" x14ac:dyDescent="0.2">
      <c r="B73" s="43">
        <f t="shared" ref="B73" si="17">+B72+1</f>
        <v>66</v>
      </c>
      <c r="C73" s="44"/>
      <c r="D73" s="44"/>
      <c r="E73" s="44">
        <f t="shared" si="11"/>
        <v>0</v>
      </c>
      <c r="F73" s="44">
        <f t="shared" si="14"/>
        <v>-16105.100000000006</v>
      </c>
      <c r="G73" s="44">
        <f>+S24*S6*-1</f>
        <v>-1710703.8614786859</v>
      </c>
      <c r="H73" s="44">
        <f t="shared" si="10"/>
        <v>0</v>
      </c>
      <c r="I73" s="44">
        <f>+-I7</f>
        <v>-1500000</v>
      </c>
      <c r="J73" s="44">
        <f>S21</f>
        <v>28404692.409857906</v>
      </c>
      <c r="K73" s="38">
        <f t="shared" si="15"/>
        <v>25177883.448379219</v>
      </c>
      <c r="L73" s="45">
        <f t="shared" si="16"/>
        <v>0.53616798123240783</v>
      </c>
      <c r="M73" s="44">
        <f t="shared" si="12"/>
        <v>13499574.94022234</v>
      </c>
      <c r="N73" s="44">
        <f>+SUM(K$7:K73)</f>
        <v>12422796.59023522</v>
      </c>
      <c r="O73" s="40"/>
      <c r="P73" s="56">
        <f t="shared" si="13"/>
        <v>0</v>
      </c>
      <c r="Q73" s="41"/>
    </row>
  </sheetData>
  <mergeCells count="2">
    <mergeCell ref="C5:G5"/>
    <mergeCell ref="H5:J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"/>
  <sheetViews>
    <sheetView workbookViewId="0"/>
  </sheetViews>
  <sheetFormatPr defaultColWidth="8.7109375" defaultRowHeight="12.75" x14ac:dyDescent="0.2"/>
  <cols>
    <col min="1" max="1" width="8.7109375" style="29"/>
    <col min="2" max="2" width="20" style="29" customWidth="1"/>
    <col min="3" max="3" width="8.7109375" style="29"/>
    <col min="4" max="4" width="10.5703125" style="29" customWidth="1"/>
    <col min="5" max="16384" width="8.7109375" style="29"/>
  </cols>
  <sheetData>
    <row r="3" spans="2:6" x14ac:dyDescent="0.2">
      <c r="B3" s="29" t="s">
        <v>41</v>
      </c>
      <c r="C3" s="29" t="s">
        <v>40</v>
      </c>
      <c r="D3" s="30">
        <f>'Q.1 (i)'!N73</f>
        <v>12422796.59023522</v>
      </c>
      <c r="F3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3"/>
  <sheetViews>
    <sheetView workbookViewId="0"/>
  </sheetViews>
  <sheetFormatPr defaultColWidth="8.7109375" defaultRowHeight="12.75" x14ac:dyDescent="0.2"/>
  <cols>
    <col min="1" max="1" width="8.7109375" style="29"/>
    <col min="2" max="2" width="7" style="29" customWidth="1"/>
    <col min="3" max="3" width="11.5703125" style="46" customWidth="1"/>
    <col min="4" max="4" width="10.42578125" style="46" customWidth="1"/>
    <col min="5" max="5" width="9.5703125" style="46" customWidth="1"/>
    <col min="6" max="6" width="7.7109375" style="46" customWidth="1"/>
    <col min="7" max="7" width="11.28515625" style="46" customWidth="1"/>
    <col min="8" max="8" width="7.28515625" style="46" customWidth="1"/>
    <col min="9" max="9" width="10.42578125" style="46" customWidth="1"/>
    <col min="10" max="10" width="13.42578125" style="46" customWidth="1"/>
    <col min="11" max="11" width="13.85546875" style="46" customWidth="1"/>
    <col min="12" max="12" width="10.28515625" style="29" customWidth="1"/>
    <col min="13" max="13" width="11.5703125" style="29" customWidth="1"/>
    <col min="14" max="14" width="12.28515625" style="29" customWidth="1"/>
    <col min="15" max="15" width="8.7109375" style="29"/>
    <col min="16" max="16" width="17.28515625" style="29" customWidth="1"/>
    <col min="17" max="17" width="8.5703125" style="29" customWidth="1"/>
    <col min="18" max="18" width="24.7109375" style="29" customWidth="1"/>
    <col min="19" max="19" width="12.7109375" style="29" customWidth="1"/>
    <col min="20" max="20" width="13.28515625" style="29" customWidth="1"/>
    <col min="21" max="22" width="15.28515625" style="29" customWidth="1"/>
    <col min="23" max="23" width="11.5703125" style="29" customWidth="1"/>
    <col min="24" max="24" width="8.7109375" style="29"/>
    <col min="25" max="25" width="9.5703125" style="29" bestFit="1" customWidth="1"/>
    <col min="26" max="16384" width="8.7109375" style="29"/>
  </cols>
  <sheetData>
    <row r="1" spans="2:21" x14ac:dyDescent="0.2">
      <c r="C1" s="52" t="s">
        <v>43</v>
      </c>
      <c r="D1" s="59">
        <f>S21</f>
        <v>27067108.640523598</v>
      </c>
      <c r="E1" s="30"/>
      <c r="F1" s="30"/>
      <c r="G1" s="30"/>
      <c r="H1" s="30"/>
      <c r="I1" s="30"/>
      <c r="J1" s="29"/>
      <c r="K1" s="29"/>
      <c r="R1" s="42" t="s">
        <v>44</v>
      </c>
    </row>
    <row r="2" spans="2:21" x14ac:dyDescent="0.2">
      <c r="C2" s="30"/>
      <c r="D2" s="30"/>
      <c r="E2" s="30"/>
      <c r="F2" s="30"/>
      <c r="G2" s="30"/>
      <c r="H2" s="30"/>
      <c r="I2" s="30"/>
      <c r="J2" s="29"/>
      <c r="K2" s="29"/>
      <c r="L2" s="29" t="s">
        <v>13</v>
      </c>
      <c r="M2" s="30">
        <f>SUM(M7:M73)</f>
        <v>0</v>
      </c>
      <c r="N2" s="31"/>
      <c r="R2" s="29" t="s">
        <v>14</v>
      </c>
      <c r="S2" s="30">
        <v>17500</v>
      </c>
      <c r="T2" s="31"/>
    </row>
    <row r="3" spans="2:21" x14ac:dyDescent="0.2"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1"/>
      <c r="R3" s="29" t="s">
        <v>15</v>
      </c>
      <c r="S3" s="33">
        <v>0.08</v>
      </c>
      <c r="T3" s="31"/>
    </row>
    <row r="4" spans="2:21" x14ac:dyDescent="0.2">
      <c r="C4" s="30"/>
      <c r="D4" s="30"/>
      <c r="E4" s="30"/>
      <c r="F4" s="30"/>
      <c r="G4" s="30"/>
      <c r="H4" s="30"/>
      <c r="I4" s="30"/>
      <c r="J4" s="29"/>
      <c r="K4" s="29"/>
      <c r="R4" s="29" t="s">
        <v>16</v>
      </c>
      <c r="S4" s="33">
        <v>0.12</v>
      </c>
      <c r="T4" s="31"/>
    </row>
    <row r="5" spans="2:21" x14ac:dyDescent="0.2">
      <c r="B5" s="47"/>
      <c r="C5" s="147" t="s">
        <v>17</v>
      </c>
      <c r="D5" s="147"/>
      <c r="E5" s="147"/>
      <c r="F5" s="147"/>
      <c r="G5" s="147"/>
      <c r="H5" s="147" t="s">
        <v>18</v>
      </c>
      <c r="I5" s="147"/>
      <c r="J5" s="147"/>
      <c r="K5" s="49" t="s">
        <v>42</v>
      </c>
      <c r="L5" s="50"/>
      <c r="M5" s="50"/>
      <c r="N5" s="51"/>
      <c r="R5" s="29" t="s">
        <v>19</v>
      </c>
      <c r="S5" s="33">
        <v>0.22</v>
      </c>
      <c r="T5" s="31"/>
    </row>
    <row r="6" spans="2:21" s="35" customFormat="1" ht="38.25" x14ac:dyDescent="0.2">
      <c r="B6" s="48" t="s">
        <v>20</v>
      </c>
      <c r="C6" s="48" t="s">
        <v>21</v>
      </c>
      <c r="D6" s="48" t="s">
        <v>22</v>
      </c>
      <c r="E6" s="48" t="s">
        <v>23</v>
      </c>
      <c r="F6" s="48" t="s">
        <v>19</v>
      </c>
      <c r="G6" s="48" t="s">
        <v>24</v>
      </c>
      <c r="H6" s="48" t="s">
        <v>25</v>
      </c>
      <c r="I6" s="48" t="s">
        <v>26</v>
      </c>
      <c r="J6" s="48" t="s">
        <v>27</v>
      </c>
      <c r="K6" s="48" t="s">
        <v>28</v>
      </c>
      <c r="L6" s="48" t="s">
        <v>29</v>
      </c>
      <c r="M6" s="48" t="s">
        <v>30</v>
      </c>
      <c r="N6" s="48" t="s">
        <v>31</v>
      </c>
      <c r="O6" s="29"/>
      <c r="P6" s="54" t="s">
        <v>32</v>
      </c>
      <c r="Q6" s="34"/>
      <c r="R6" s="29" t="s">
        <v>33</v>
      </c>
      <c r="S6" s="33">
        <v>0.15</v>
      </c>
      <c r="T6" s="31"/>
    </row>
    <row r="7" spans="2:21" x14ac:dyDescent="0.2">
      <c r="B7" s="37">
        <v>0</v>
      </c>
      <c r="C7" s="38">
        <f>1.5*10^7*-1</f>
        <v>-15000000</v>
      </c>
      <c r="D7" s="38"/>
      <c r="E7" s="38">
        <f t="shared" ref="E7:E70" si="0">+$S$2*P7*-1</f>
        <v>-17500</v>
      </c>
      <c r="F7" s="38"/>
      <c r="G7" s="38"/>
      <c r="H7" s="38">
        <f t="shared" ref="H7:H38" si="1">IFERROR(VLOOKUP(B7,$R$12:$T$17,3,1),0)</f>
        <v>0</v>
      </c>
      <c r="I7" s="38">
        <f>15*10^5</f>
        <v>1500000</v>
      </c>
      <c r="J7" s="38"/>
      <c r="K7" s="38">
        <f>SUM(C7:J7)</f>
        <v>-13517500</v>
      </c>
      <c r="L7" s="39">
        <f>+(1+$S$4)^-(B7/12)</f>
        <v>1</v>
      </c>
      <c r="M7" s="38">
        <f t="shared" ref="M7:M70" si="2">+K7*L7</f>
        <v>-13517500</v>
      </c>
      <c r="N7" s="38">
        <f>+SUM(K$7:K7)</f>
        <v>-13517500</v>
      </c>
      <c r="O7" s="40"/>
      <c r="P7" s="55">
        <f t="shared" ref="P7:P70" si="3">+IF(MOD(B7,12)=0,(1+$S$3)^(B7/12),0)</f>
        <v>1</v>
      </c>
      <c r="Q7" s="41"/>
      <c r="R7" s="35"/>
      <c r="S7" s="35"/>
      <c r="T7" s="35"/>
    </row>
    <row r="8" spans="2:21" x14ac:dyDescent="0.2">
      <c r="B8" s="43">
        <f>+B7+1</f>
        <v>1</v>
      </c>
      <c r="C8" s="44"/>
      <c r="D8" s="44"/>
      <c r="E8" s="44">
        <f t="shared" si="0"/>
        <v>0</v>
      </c>
      <c r="F8" s="44">
        <f t="shared" ref="F8:F71" si="4">H7*$S$5*-1</f>
        <v>0</v>
      </c>
      <c r="G8" s="44"/>
      <c r="H8" s="44">
        <f t="shared" si="1"/>
        <v>0</v>
      </c>
      <c r="I8" s="44"/>
      <c r="J8" s="44"/>
      <c r="K8" s="38">
        <f t="shared" ref="K8:K71" si="5">SUM(C8:J8)</f>
        <v>0</v>
      </c>
      <c r="L8" s="45">
        <f t="shared" ref="L8:L71" si="6">+(1+$S$4)^-(B8/12)</f>
        <v>0.99060039794300325</v>
      </c>
      <c r="M8" s="44">
        <f t="shared" si="2"/>
        <v>0</v>
      </c>
      <c r="N8" s="44">
        <f>+SUM(K$7:K8)</f>
        <v>-13517500</v>
      </c>
      <c r="O8" s="40"/>
      <c r="P8" s="56">
        <f t="shared" si="3"/>
        <v>0</v>
      </c>
      <c r="Q8" s="41"/>
    </row>
    <row r="9" spans="2:21" x14ac:dyDescent="0.2">
      <c r="B9" s="43">
        <f t="shared" ref="B9:B72" si="7">+B8+1</f>
        <v>2</v>
      </c>
      <c r="C9" s="44"/>
      <c r="D9" s="44"/>
      <c r="E9" s="44">
        <f t="shared" si="0"/>
        <v>0</v>
      </c>
      <c r="F9" s="44">
        <f t="shared" si="4"/>
        <v>0</v>
      </c>
      <c r="G9" s="44"/>
      <c r="H9" s="44">
        <f t="shared" si="1"/>
        <v>0</v>
      </c>
      <c r="I9" s="44"/>
      <c r="J9" s="44"/>
      <c r="K9" s="38">
        <f t="shared" si="5"/>
        <v>0</v>
      </c>
      <c r="L9" s="45">
        <f t="shared" si="6"/>
        <v>0.98128914840483661</v>
      </c>
      <c r="M9" s="44">
        <f t="shared" si="2"/>
        <v>0</v>
      </c>
      <c r="N9" s="44">
        <f>+SUM(K$7:K9)</f>
        <v>-13517500</v>
      </c>
      <c r="O9" s="40"/>
      <c r="P9" s="56">
        <f t="shared" si="3"/>
        <v>0</v>
      </c>
      <c r="Q9" s="41"/>
    </row>
    <row r="10" spans="2:21" x14ac:dyDescent="0.2">
      <c r="B10" s="43">
        <f t="shared" si="7"/>
        <v>3</v>
      </c>
      <c r="C10" s="44"/>
      <c r="D10" s="44">
        <f>20*10^5*-1</f>
        <v>-2000000</v>
      </c>
      <c r="E10" s="44">
        <f t="shared" si="0"/>
        <v>0</v>
      </c>
      <c r="F10" s="44">
        <f t="shared" si="4"/>
        <v>0</v>
      </c>
      <c r="G10" s="44"/>
      <c r="H10" s="44">
        <f t="shared" si="1"/>
        <v>0</v>
      </c>
      <c r="I10" s="44"/>
      <c r="J10" s="44"/>
      <c r="K10" s="38">
        <f t="shared" si="5"/>
        <v>-2000000</v>
      </c>
      <c r="L10" s="45">
        <f t="shared" si="6"/>
        <v>0.972065420906982</v>
      </c>
      <c r="M10" s="44">
        <f t="shared" si="2"/>
        <v>-1944130.8418139641</v>
      </c>
      <c r="N10" s="44">
        <f>+SUM(K$7:K10)</f>
        <v>-15517500</v>
      </c>
      <c r="O10" s="40"/>
      <c r="P10" s="56">
        <f t="shared" si="3"/>
        <v>0</v>
      </c>
      <c r="Q10" s="41"/>
      <c r="R10" s="42" t="s">
        <v>45</v>
      </c>
    </row>
    <row r="11" spans="2:21" x14ac:dyDescent="0.2">
      <c r="B11" s="43">
        <f t="shared" si="7"/>
        <v>4</v>
      </c>
      <c r="C11" s="44"/>
      <c r="D11" s="44"/>
      <c r="E11" s="44">
        <f t="shared" si="0"/>
        <v>0</v>
      </c>
      <c r="F11" s="44">
        <f t="shared" si="4"/>
        <v>0</v>
      </c>
      <c r="G11" s="44"/>
      <c r="H11" s="44">
        <f t="shared" si="1"/>
        <v>0</v>
      </c>
      <c r="I11" s="44"/>
      <c r="J11" s="44"/>
      <c r="K11" s="38">
        <f t="shared" si="5"/>
        <v>0</v>
      </c>
      <c r="L11" s="45">
        <f t="shared" si="6"/>
        <v>0.96292839277708941</v>
      </c>
      <c r="M11" s="44">
        <f t="shared" si="2"/>
        <v>0</v>
      </c>
      <c r="N11" s="44">
        <f>+SUM(K$7:K11)</f>
        <v>-15517500</v>
      </c>
      <c r="O11" s="40"/>
      <c r="P11" s="56">
        <f t="shared" si="3"/>
        <v>0</v>
      </c>
      <c r="Q11" s="41"/>
      <c r="R11" s="29" t="s">
        <v>34</v>
      </c>
      <c r="S11" s="29" t="s">
        <v>35</v>
      </c>
      <c r="T11" s="29" t="s">
        <v>36</v>
      </c>
    </row>
    <row r="12" spans="2:21" x14ac:dyDescent="0.2">
      <c r="B12" s="43">
        <f t="shared" si="7"/>
        <v>5</v>
      </c>
      <c r="C12" s="44"/>
      <c r="D12" s="44"/>
      <c r="E12" s="44">
        <f t="shared" si="0"/>
        <v>0</v>
      </c>
      <c r="F12" s="44">
        <f t="shared" si="4"/>
        <v>0</v>
      </c>
      <c r="G12" s="44"/>
      <c r="H12" s="44">
        <f t="shared" si="1"/>
        <v>0</v>
      </c>
      <c r="I12" s="44"/>
      <c r="J12" s="44"/>
      <c r="K12" s="38">
        <f t="shared" si="5"/>
        <v>0</v>
      </c>
      <c r="L12" s="45">
        <f t="shared" si="6"/>
        <v>0.95387724907560134</v>
      </c>
      <c r="M12" s="44">
        <f t="shared" si="2"/>
        <v>0</v>
      </c>
      <c r="N12" s="44">
        <f>+SUM(K$7:K12)</f>
        <v>-15517500</v>
      </c>
      <c r="O12" s="40"/>
      <c r="P12" s="56">
        <f t="shared" si="3"/>
        <v>0</v>
      </c>
      <c r="Q12" s="41"/>
      <c r="R12" s="29">
        <v>6</v>
      </c>
      <c r="S12" s="29">
        <f>+R12+11</f>
        <v>17</v>
      </c>
      <c r="T12" s="58">
        <v>65000</v>
      </c>
      <c r="U12" s="31"/>
    </row>
    <row r="13" spans="2:21" x14ac:dyDescent="0.2">
      <c r="B13" s="43">
        <f t="shared" si="7"/>
        <v>6</v>
      </c>
      <c r="C13" s="44"/>
      <c r="D13" s="44"/>
      <c r="E13" s="44">
        <f t="shared" si="0"/>
        <v>0</v>
      </c>
      <c r="F13" s="44">
        <f t="shared" si="4"/>
        <v>0</v>
      </c>
      <c r="G13" s="44"/>
      <c r="H13" s="44">
        <f t="shared" si="1"/>
        <v>65000</v>
      </c>
      <c r="I13" s="44"/>
      <c r="J13" s="44"/>
      <c r="K13" s="38">
        <f t="shared" si="5"/>
        <v>65000</v>
      </c>
      <c r="L13" s="45">
        <f t="shared" si="6"/>
        <v>0.94491118252306794</v>
      </c>
      <c r="M13" s="44">
        <f t="shared" si="2"/>
        <v>61419.226863999414</v>
      </c>
      <c r="N13" s="44">
        <f>+SUM(K$7:K13)</f>
        <v>-15452500</v>
      </c>
      <c r="O13" s="40"/>
      <c r="P13" s="56">
        <f t="shared" si="3"/>
        <v>0</v>
      </c>
      <c r="Q13" s="41"/>
      <c r="R13" s="29">
        <f>+S12+1</f>
        <v>18</v>
      </c>
      <c r="S13" s="29">
        <f t="shared" ref="S13:S17" si="8">+R13+11</f>
        <v>29</v>
      </c>
      <c r="T13" s="30">
        <f>+T12*1.1</f>
        <v>71500</v>
      </c>
    </row>
    <row r="14" spans="2:21" x14ac:dyDescent="0.2">
      <c r="B14" s="43">
        <f t="shared" si="7"/>
        <v>7</v>
      </c>
      <c r="C14" s="44"/>
      <c r="D14" s="44"/>
      <c r="E14" s="44">
        <f t="shared" si="0"/>
        <v>0</v>
      </c>
      <c r="F14" s="44">
        <f t="shared" si="4"/>
        <v>-14300</v>
      </c>
      <c r="G14" s="44"/>
      <c r="H14" s="44">
        <f t="shared" si="1"/>
        <v>65000</v>
      </c>
      <c r="I14" s="44"/>
      <c r="J14" s="44"/>
      <c r="K14" s="38">
        <f t="shared" si="5"/>
        <v>50700</v>
      </c>
      <c r="L14" s="45">
        <f t="shared" si="6"/>
        <v>0.93602939342814506</v>
      </c>
      <c r="M14" s="44">
        <f t="shared" si="2"/>
        <v>47456.690246806953</v>
      </c>
      <c r="N14" s="44">
        <f>+SUM(K$7:K14)</f>
        <v>-15401800</v>
      </c>
      <c r="O14" s="40"/>
      <c r="P14" s="56">
        <f t="shared" si="3"/>
        <v>0</v>
      </c>
      <c r="Q14" s="41"/>
      <c r="R14" s="29">
        <f>+S13+1</f>
        <v>30</v>
      </c>
      <c r="S14" s="29">
        <f t="shared" si="8"/>
        <v>41</v>
      </c>
      <c r="T14" s="30">
        <f t="shared" ref="T14:T16" si="9">+T13*1.1</f>
        <v>78650</v>
      </c>
    </row>
    <row r="15" spans="2:21" x14ac:dyDescent="0.2">
      <c r="B15" s="43">
        <f t="shared" si="7"/>
        <v>8</v>
      </c>
      <c r="C15" s="44"/>
      <c r="D15" s="44"/>
      <c r="E15" s="44">
        <f t="shared" si="0"/>
        <v>0</v>
      </c>
      <c r="F15" s="44">
        <f t="shared" si="4"/>
        <v>-14300</v>
      </c>
      <c r="G15" s="44"/>
      <c r="H15" s="44">
        <f t="shared" si="1"/>
        <v>65000</v>
      </c>
      <c r="I15" s="44"/>
      <c r="J15" s="44"/>
      <c r="K15" s="38">
        <f t="shared" si="5"/>
        <v>50700</v>
      </c>
      <c r="L15" s="45">
        <f t="shared" si="6"/>
        <v>0.92723108961626854</v>
      </c>
      <c r="M15" s="44">
        <f t="shared" si="2"/>
        <v>47010.616243544813</v>
      </c>
      <c r="N15" s="44">
        <f>+SUM(K$7:K15)</f>
        <v>-15351100</v>
      </c>
      <c r="O15" s="40"/>
      <c r="P15" s="56">
        <f t="shared" si="3"/>
        <v>0</v>
      </c>
      <c r="Q15" s="41"/>
      <c r="R15" s="29">
        <f>+S14+1</f>
        <v>42</v>
      </c>
      <c r="S15" s="29">
        <f t="shared" si="8"/>
        <v>53</v>
      </c>
      <c r="T15" s="30">
        <f t="shared" si="9"/>
        <v>86515</v>
      </c>
    </row>
    <row r="16" spans="2:21" x14ac:dyDescent="0.2">
      <c r="B16" s="43">
        <f t="shared" si="7"/>
        <v>9</v>
      </c>
      <c r="C16" s="44"/>
      <c r="D16" s="44"/>
      <c r="E16" s="44">
        <f t="shared" si="0"/>
        <v>0</v>
      </c>
      <c r="F16" s="44">
        <f t="shared" si="4"/>
        <v>-14300</v>
      </c>
      <c r="G16" s="44"/>
      <c r="H16" s="44">
        <f t="shared" si="1"/>
        <v>65000</v>
      </c>
      <c r="I16" s="44"/>
      <c r="J16" s="44"/>
      <c r="K16" s="38">
        <f t="shared" si="5"/>
        <v>50700</v>
      </c>
      <c r="L16" s="45">
        <f t="shared" si="6"/>
        <v>0.91851548635900027</v>
      </c>
      <c r="M16" s="44">
        <f t="shared" si="2"/>
        <v>46568.735158401316</v>
      </c>
      <c r="N16" s="44">
        <f>+SUM(K$7:K16)</f>
        <v>-15300400</v>
      </c>
      <c r="O16" s="40"/>
      <c r="P16" s="56">
        <f t="shared" si="3"/>
        <v>0</v>
      </c>
      <c r="Q16" s="41"/>
      <c r="R16" s="29">
        <f>+S15+1</f>
        <v>54</v>
      </c>
      <c r="S16" s="29">
        <f t="shared" si="8"/>
        <v>65</v>
      </c>
      <c r="T16" s="30">
        <f t="shared" si="9"/>
        <v>95166.500000000015</v>
      </c>
    </row>
    <row r="17" spans="2:22" x14ac:dyDescent="0.2">
      <c r="B17" s="43">
        <f t="shared" si="7"/>
        <v>10</v>
      </c>
      <c r="C17" s="44"/>
      <c r="D17" s="44"/>
      <c r="E17" s="44">
        <f t="shared" si="0"/>
        <v>0</v>
      </c>
      <c r="F17" s="44">
        <f t="shared" si="4"/>
        <v>-14300</v>
      </c>
      <c r="G17" s="44"/>
      <c r="H17" s="44">
        <f t="shared" si="1"/>
        <v>65000</v>
      </c>
      <c r="I17" s="44"/>
      <c r="J17" s="44"/>
      <c r="K17" s="38">
        <f t="shared" si="5"/>
        <v>50700</v>
      </c>
      <c r="L17" s="45">
        <f t="shared" si="6"/>
        <v>0.90988180630403681</v>
      </c>
      <c r="M17" s="44">
        <f t="shared" si="2"/>
        <v>46131.007579614663</v>
      </c>
      <c r="N17" s="44">
        <f>+SUM(K$7:K17)</f>
        <v>-15249700</v>
      </c>
      <c r="O17" s="40"/>
      <c r="P17" s="56">
        <f t="shared" si="3"/>
        <v>0</v>
      </c>
      <c r="Q17" s="41"/>
      <c r="R17" s="29">
        <f>+S16+1</f>
        <v>66</v>
      </c>
      <c r="S17" s="29">
        <f t="shared" si="8"/>
        <v>77</v>
      </c>
      <c r="T17" s="29">
        <v>0</v>
      </c>
    </row>
    <row r="18" spans="2:22" x14ac:dyDescent="0.2">
      <c r="B18" s="43">
        <f t="shared" si="7"/>
        <v>11</v>
      </c>
      <c r="C18" s="44"/>
      <c r="D18" s="44"/>
      <c r="E18" s="44">
        <f t="shared" si="0"/>
        <v>0</v>
      </c>
      <c r="F18" s="44">
        <f t="shared" si="4"/>
        <v>-14300</v>
      </c>
      <c r="G18" s="44"/>
      <c r="H18" s="44">
        <f t="shared" si="1"/>
        <v>65000</v>
      </c>
      <c r="I18" s="44"/>
      <c r="J18" s="44"/>
      <c r="K18" s="38">
        <f t="shared" si="5"/>
        <v>50700</v>
      </c>
      <c r="L18" s="45">
        <f t="shared" si="6"/>
        <v>0.90132927940587759</v>
      </c>
      <c r="M18" s="44">
        <f t="shared" si="2"/>
        <v>45697.394465877995</v>
      </c>
      <c r="N18" s="44">
        <f>+SUM(K$7:K18)</f>
        <v>-15199000</v>
      </c>
      <c r="O18" s="40"/>
      <c r="P18" s="56">
        <f t="shared" si="3"/>
        <v>0</v>
      </c>
      <c r="Q18" s="41"/>
    </row>
    <row r="19" spans="2:22" x14ac:dyDescent="0.2">
      <c r="B19" s="43">
        <f t="shared" si="7"/>
        <v>12</v>
      </c>
      <c r="C19" s="44"/>
      <c r="D19" s="44"/>
      <c r="E19" s="44">
        <f t="shared" si="0"/>
        <v>-18900</v>
      </c>
      <c r="F19" s="44">
        <f t="shared" si="4"/>
        <v>-14300</v>
      </c>
      <c r="G19" s="44"/>
      <c r="H19" s="44">
        <f t="shared" si="1"/>
        <v>65000</v>
      </c>
      <c r="I19" s="44"/>
      <c r="J19" s="44"/>
      <c r="K19" s="38">
        <f t="shared" si="5"/>
        <v>31800</v>
      </c>
      <c r="L19" s="45">
        <f t="shared" si="6"/>
        <v>0.89285714285714279</v>
      </c>
      <c r="M19" s="44">
        <f t="shared" si="2"/>
        <v>28392.857142857141</v>
      </c>
      <c r="N19" s="44">
        <f>+SUM(K$7:K19)</f>
        <v>-15167200</v>
      </c>
      <c r="O19" s="40"/>
      <c r="P19" s="56">
        <f t="shared" si="3"/>
        <v>1.08</v>
      </c>
      <c r="Q19" s="41"/>
    </row>
    <row r="20" spans="2:22" x14ac:dyDescent="0.2">
      <c r="B20" s="43">
        <f t="shared" si="7"/>
        <v>13</v>
      </c>
      <c r="C20" s="44"/>
      <c r="D20" s="44"/>
      <c r="E20" s="44">
        <f t="shared" si="0"/>
        <v>0</v>
      </c>
      <c r="F20" s="44">
        <f t="shared" si="4"/>
        <v>-14300</v>
      </c>
      <c r="G20" s="44"/>
      <c r="H20" s="44">
        <f t="shared" si="1"/>
        <v>65000</v>
      </c>
      <c r="I20" s="44"/>
      <c r="J20" s="44"/>
      <c r="K20" s="38">
        <f t="shared" si="5"/>
        <v>50700</v>
      </c>
      <c r="L20" s="45">
        <f t="shared" si="6"/>
        <v>0.88446464102053857</v>
      </c>
      <c r="M20" s="44">
        <f t="shared" si="2"/>
        <v>44842.357299741307</v>
      </c>
      <c r="N20" s="44">
        <f>+SUM(K$7:K20)</f>
        <v>-15116500</v>
      </c>
      <c r="O20" s="40"/>
      <c r="P20" s="56">
        <f t="shared" si="3"/>
        <v>0</v>
      </c>
      <c r="Q20" s="41"/>
      <c r="R20" s="57" t="s">
        <v>46</v>
      </c>
      <c r="S20" s="35"/>
      <c r="T20" s="35"/>
      <c r="U20" s="36"/>
      <c r="V20" s="35"/>
    </row>
    <row r="21" spans="2:22" x14ac:dyDescent="0.2">
      <c r="B21" s="43">
        <f t="shared" si="7"/>
        <v>14</v>
      </c>
      <c r="C21" s="44"/>
      <c r="D21" s="44"/>
      <c r="E21" s="44">
        <f t="shared" si="0"/>
        <v>0</v>
      </c>
      <c r="F21" s="44">
        <f t="shared" si="4"/>
        <v>-14300</v>
      </c>
      <c r="G21" s="44"/>
      <c r="H21" s="44">
        <f t="shared" si="1"/>
        <v>65000</v>
      </c>
      <c r="I21" s="44"/>
      <c r="J21" s="44"/>
      <c r="K21" s="38">
        <f t="shared" si="5"/>
        <v>50700</v>
      </c>
      <c r="L21" s="45">
        <f t="shared" si="6"/>
        <v>0.87615102536146106</v>
      </c>
      <c r="M21" s="44">
        <f t="shared" si="2"/>
        <v>44420.856985826074</v>
      </c>
      <c r="N21" s="44">
        <f>+SUM(K$7:K21)</f>
        <v>-15065800</v>
      </c>
      <c r="O21" s="40"/>
      <c r="P21" s="56">
        <f t="shared" si="3"/>
        <v>0</v>
      </c>
      <c r="Q21" s="41"/>
      <c r="R21" s="29" t="s">
        <v>27</v>
      </c>
      <c r="S21" s="58">
        <v>27067108.640523598</v>
      </c>
      <c r="T21" s="42" t="s">
        <v>47</v>
      </c>
      <c r="U21" s="31"/>
    </row>
    <row r="22" spans="2:22" x14ac:dyDescent="0.2">
      <c r="B22" s="43">
        <f t="shared" si="7"/>
        <v>15</v>
      </c>
      <c r="C22" s="44"/>
      <c r="D22" s="44"/>
      <c r="E22" s="44">
        <f t="shared" si="0"/>
        <v>0</v>
      </c>
      <c r="F22" s="44">
        <f t="shared" si="4"/>
        <v>-14300</v>
      </c>
      <c r="G22" s="44"/>
      <c r="H22" s="44">
        <f t="shared" si="1"/>
        <v>65000</v>
      </c>
      <c r="I22" s="44"/>
      <c r="J22" s="44"/>
      <c r="K22" s="38">
        <f t="shared" si="5"/>
        <v>50700</v>
      </c>
      <c r="L22" s="45">
        <f t="shared" si="6"/>
        <v>0.8679155543812338</v>
      </c>
      <c r="M22" s="44">
        <f t="shared" si="2"/>
        <v>44003.318607128553</v>
      </c>
      <c r="N22" s="44">
        <f>+SUM(K$7:K22)</f>
        <v>-15015100</v>
      </c>
      <c r="O22" s="40"/>
      <c r="P22" s="56">
        <f t="shared" si="3"/>
        <v>0</v>
      </c>
      <c r="Q22" s="41"/>
      <c r="R22" s="29" t="s">
        <v>37</v>
      </c>
      <c r="S22" s="30">
        <f>+C7</f>
        <v>-15000000</v>
      </c>
      <c r="U22" s="31"/>
    </row>
    <row r="23" spans="2:22" x14ac:dyDescent="0.2">
      <c r="B23" s="43">
        <f t="shared" si="7"/>
        <v>16</v>
      </c>
      <c r="C23" s="44"/>
      <c r="D23" s="44"/>
      <c r="E23" s="44">
        <f t="shared" si="0"/>
        <v>0</v>
      </c>
      <c r="F23" s="44">
        <f t="shared" si="4"/>
        <v>-14300</v>
      </c>
      <c r="G23" s="44"/>
      <c r="H23" s="44">
        <f t="shared" si="1"/>
        <v>65000</v>
      </c>
      <c r="I23" s="44"/>
      <c r="J23" s="44"/>
      <c r="K23" s="38">
        <f t="shared" si="5"/>
        <v>50700</v>
      </c>
      <c r="L23" s="45">
        <f t="shared" si="6"/>
        <v>0.85975749355097253</v>
      </c>
      <c r="M23" s="44">
        <f t="shared" si="2"/>
        <v>43589.704923034304</v>
      </c>
      <c r="N23" s="44">
        <f>+SUM(K$7:K23)</f>
        <v>-14964400</v>
      </c>
      <c r="O23" s="40"/>
      <c r="P23" s="56">
        <f t="shared" si="3"/>
        <v>0</v>
      </c>
      <c r="Q23" s="41"/>
      <c r="R23" s="29" t="s">
        <v>38</v>
      </c>
      <c r="S23" s="30">
        <f>+D10</f>
        <v>-2000000</v>
      </c>
      <c r="U23" s="31"/>
    </row>
    <row r="24" spans="2:22" x14ac:dyDescent="0.2">
      <c r="B24" s="43">
        <f t="shared" si="7"/>
        <v>17</v>
      </c>
      <c r="C24" s="44"/>
      <c r="D24" s="44"/>
      <c r="E24" s="44">
        <f t="shared" si="0"/>
        <v>0</v>
      </c>
      <c r="F24" s="44">
        <f t="shared" si="4"/>
        <v>-14300</v>
      </c>
      <c r="G24" s="44"/>
      <c r="H24" s="44">
        <f t="shared" si="1"/>
        <v>65000</v>
      </c>
      <c r="I24" s="44"/>
      <c r="J24" s="44"/>
      <c r="K24" s="38">
        <f t="shared" si="5"/>
        <v>50700</v>
      </c>
      <c r="L24" s="45">
        <f t="shared" si="6"/>
        <v>0.85167611524607267</v>
      </c>
      <c r="M24" s="44">
        <f t="shared" si="2"/>
        <v>43179.979042975887</v>
      </c>
      <c r="N24" s="44">
        <f>+SUM(K$7:K24)</f>
        <v>-14913700</v>
      </c>
      <c r="O24" s="40"/>
      <c r="P24" s="56">
        <f t="shared" si="3"/>
        <v>0</v>
      </c>
      <c r="Q24" s="41"/>
      <c r="R24" s="29" t="s">
        <v>39</v>
      </c>
      <c r="S24" s="30">
        <f>SUM(S21:S23)</f>
        <v>10067108.640523598</v>
      </c>
    </row>
    <row r="25" spans="2:22" x14ac:dyDescent="0.2">
      <c r="B25" s="43">
        <f t="shared" si="7"/>
        <v>18</v>
      </c>
      <c r="C25" s="44"/>
      <c r="D25" s="44"/>
      <c r="E25" s="44">
        <f t="shared" si="0"/>
        <v>0</v>
      </c>
      <c r="F25" s="44">
        <f t="shared" si="4"/>
        <v>-14300</v>
      </c>
      <c r="G25" s="44"/>
      <c r="H25" s="44">
        <f t="shared" si="1"/>
        <v>71500</v>
      </c>
      <c r="I25" s="44"/>
      <c r="J25" s="44"/>
      <c r="K25" s="38">
        <f t="shared" si="5"/>
        <v>57200</v>
      </c>
      <c r="L25" s="45">
        <f t="shared" si="6"/>
        <v>0.84367069868131062</v>
      </c>
      <c r="M25" s="44">
        <f t="shared" si="2"/>
        <v>48257.963964570969</v>
      </c>
      <c r="N25" s="44">
        <f>+SUM(K$7:K25)</f>
        <v>-14856500</v>
      </c>
      <c r="O25" s="40"/>
      <c r="P25" s="56">
        <f t="shared" si="3"/>
        <v>0</v>
      </c>
      <c r="Q25" s="41"/>
    </row>
    <row r="26" spans="2:22" x14ac:dyDescent="0.2">
      <c r="B26" s="43">
        <f t="shared" si="7"/>
        <v>19</v>
      </c>
      <c r="C26" s="44"/>
      <c r="D26" s="44"/>
      <c r="E26" s="44">
        <f t="shared" si="0"/>
        <v>0</v>
      </c>
      <c r="F26" s="44">
        <f t="shared" si="4"/>
        <v>-15730</v>
      </c>
      <c r="G26" s="44"/>
      <c r="H26" s="44">
        <f t="shared" si="1"/>
        <v>71500</v>
      </c>
      <c r="I26" s="44"/>
      <c r="J26" s="44"/>
      <c r="K26" s="38">
        <f t="shared" si="5"/>
        <v>55770</v>
      </c>
      <c r="L26" s="45">
        <f t="shared" si="6"/>
        <v>0.835740529846558</v>
      </c>
      <c r="M26" s="44">
        <f t="shared" si="2"/>
        <v>46609.249349542537</v>
      </c>
      <c r="N26" s="44">
        <f>+SUM(K$7:K26)</f>
        <v>-14800730</v>
      </c>
      <c r="O26" s="40"/>
      <c r="P26" s="56">
        <f t="shared" si="3"/>
        <v>0</v>
      </c>
      <c r="Q26" s="41"/>
    </row>
    <row r="27" spans="2:22" x14ac:dyDescent="0.2">
      <c r="B27" s="43">
        <f t="shared" si="7"/>
        <v>20</v>
      </c>
      <c r="C27" s="44"/>
      <c r="D27" s="44"/>
      <c r="E27" s="44">
        <f t="shared" si="0"/>
        <v>0</v>
      </c>
      <c r="F27" s="44">
        <f t="shared" si="4"/>
        <v>-15730</v>
      </c>
      <c r="G27" s="44"/>
      <c r="H27" s="44">
        <f t="shared" si="1"/>
        <v>71500</v>
      </c>
      <c r="I27" s="44"/>
      <c r="J27" s="44"/>
      <c r="K27" s="38">
        <f t="shared" si="5"/>
        <v>55770</v>
      </c>
      <c r="L27" s="45">
        <f t="shared" si="6"/>
        <v>0.82788490144309679</v>
      </c>
      <c r="M27" s="44">
        <f t="shared" si="2"/>
        <v>46171.14095348151</v>
      </c>
      <c r="N27" s="44">
        <f>+SUM(K$7:K27)</f>
        <v>-14744960</v>
      </c>
      <c r="O27" s="40"/>
      <c r="P27" s="56">
        <f t="shared" si="3"/>
        <v>0</v>
      </c>
      <c r="Q27" s="41"/>
    </row>
    <row r="28" spans="2:22" x14ac:dyDescent="0.2">
      <c r="B28" s="43">
        <f t="shared" si="7"/>
        <v>21</v>
      </c>
      <c r="C28" s="44"/>
      <c r="D28" s="44"/>
      <c r="E28" s="44">
        <f t="shared" si="0"/>
        <v>0</v>
      </c>
      <c r="F28" s="44">
        <f t="shared" si="4"/>
        <v>-15730</v>
      </c>
      <c r="G28" s="44"/>
      <c r="H28" s="44">
        <f t="shared" si="1"/>
        <v>71500</v>
      </c>
      <c r="I28" s="44"/>
      <c r="J28" s="44"/>
      <c r="K28" s="38">
        <f t="shared" si="5"/>
        <v>55770</v>
      </c>
      <c r="L28" s="45">
        <f t="shared" si="6"/>
        <v>0.82010311282053572</v>
      </c>
      <c r="M28" s="44">
        <f t="shared" si="2"/>
        <v>45737.150602001275</v>
      </c>
      <c r="N28" s="44">
        <f>+SUM(K$7:K28)</f>
        <v>-14689190</v>
      </c>
      <c r="O28" s="40"/>
      <c r="P28" s="56">
        <f t="shared" si="3"/>
        <v>0</v>
      </c>
      <c r="Q28" s="41"/>
    </row>
    <row r="29" spans="2:22" x14ac:dyDescent="0.2">
      <c r="B29" s="43">
        <f t="shared" si="7"/>
        <v>22</v>
      </c>
      <c r="C29" s="44"/>
      <c r="D29" s="44"/>
      <c r="E29" s="44">
        <f t="shared" si="0"/>
        <v>0</v>
      </c>
      <c r="F29" s="44">
        <f t="shared" si="4"/>
        <v>-15730</v>
      </c>
      <c r="G29" s="44"/>
      <c r="H29" s="44">
        <f t="shared" si="1"/>
        <v>71500</v>
      </c>
      <c r="I29" s="44"/>
      <c r="J29" s="44"/>
      <c r="K29" s="38">
        <f t="shared" si="5"/>
        <v>55770</v>
      </c>
      <c r="L29" s="45">
        <f t="shared" si="6"/>
        <v>0.81239446991431852</v>
      </c>
      <c r="M29" s="44">
        <f t="shared" si="2"/>
        <v>45307.239587121541</v>
      </c>
      <c r="N29" s="44">
        <f>+SUM(K$7:K29)</f>
        <v>-14633420</v>
      </c>
      <c r="O29" s="40"/>
      <c r="P29" s="56">
        <f t="shared" si="3"/>
        <v>0</v>
      </c>
      <c r="Q29" s="41"/>
    </row>
    <row r="30" spans="2:22" x14ac:dyDescent="0.2">
      <c r="B30" s="43">
        <f t="shared" si="7"/>
        <v>23</v>
      </c>
      <c r="C30" s="44"/>
      <c r="D30" s="44"/>
      <c r="E30" s="44">
        <f t="shared" si="0"/>
        <v>0</v>
      </c>
      <c r="F30" s="44">
        <f t="shared" si="4"/>
        <v>-15730</v>
      </c>
      <c r="G30" s="44"/>
      <c r="H30" s="44">
        <f t="shared" si="1"/>
        <v>71500</v>
      </c>
      <c r="I30" s="44"/>
      <c r="J30" s="44"/>
      <c r="K30" s="38">
        <f t="shared" si="5"/>
        <v>55770</v>
      </c>
      <c r="L30" s="45">
        <f t="shared" si="6"/>
        <v>0.8047582851838192</v>
      </c>
      <c r="M30" s="44">
        <f t="shared" si="2"/>
        <v>44881.369564701599</v>
      </c>
      <c r="N30" s="44">
        <f>+SUM(K$7:K30)</f>
        <v>-14577650</v>
      </c>
      <c r="O30" s="40"/>
      <c r="P30" s="56">
        <f t="shared" si="3"/>
        <v>0</v>
      </c>
      <c r="Q30" s="41"/>
    </row>
    <row r="31" spans="2:22" x14ac:dyDescent="0.2">
      <c r="B31" s="43">
        <f t="shared" si="7"/>
        <v>24</v>
      </c>
      <c r="C31" s="44"/>
      <c r="D31" s="44"/>
      <c r="E31" s="44">
        <f t="shared" si="0"/>
        <v>-20412</v>
      </c>
      <c r="F31" s="44">
        <f t="shared" si="4"/>
        <v>-15730</v>
      </c>
      <c r="G31" s="44"/>
      <c r="H31" s="44">
        <f t="shared" si="1"/>
        <v>71500</v>
      </c>
      <c r="I31" s="44"/>
      <c r="J31" s="44"/>
      <c r="K31" s="38">
        <f t="shared" si="5"/>
        <v>35358</v>
      </c>
      <c r="L31" s="45">
        <f t="shared" si="6"/>
        <v>0.79719387755102034</v>
      </c>
      <c r="M31" s="44">
        <f t="shared" si="2"/>
        <v>28187.181122448976</v>
      </c>
      <c r="N31" s="44">
        <f>+SUM(K$7:K31)</f>
        <v>-14542292</v>
      </c>
      <c r="O31" s="40"/>
      <c r="P31" s="56">
        <f t="shared" si="3"/>
        <v>1.1664000000000001</v>
      </c>
      <c r="Q31" s="41"/>
    </row>
    <row r="32" spans="2:22" x14ac:dyDescent="0.2">
      <c r="B32" s="43">
        <f t="shared" si="7"/>
        <v>25</v>
      </c>
      <c r="C32" s="44"/>
      <c r="D32" s="44"/>
      <c r="E32" s="44">
        <f t="shared" si="0"/>
        <v>0</v>
      </c>
      <c r="F32" s="44">
        <f t="shared" si="4"/>
        <v>-15730</v>
      </c>
      <c r="G32" s="44"/>
      <c r="H32" s="44">
        <f t="shared" si="1"/>
        <v>71500</v>
      </c>
      <c r="I32" s="44"/>
      <c r="J32" s="44"/>
      <c r="K32" s="38">
        <f t="shared" si="5"/>
        <v>55770</v>
      </c>
      <c r="L32" s="45">
        <f t="shared" si="6"/>
        <v>0.78970057233976654</v>
      </c>
      <c r="M32" s="44">
        <f t="shared" si="2"/>
        <v>44041.60091938878</v>
      </c>
      <c r="N32" s="44">
        <f>+SUM(K$7:K32)</f>
        <v>-14486522</v>
      </c>
      <c r="O32" s="40"/>
      <c r="P32" s="56">
        <f t="shared" si="3"/>
        <v>0</v>
      </c>
      <c r="Q32" s="41"/>
    </row>
    <row r="33" spans="2:17" x14ac:dyDescent="0.2">
      <c r="B33" s="43">
        <f t="shared" si="7"/>
        <v>26</v>
      </c>
      <c r="C33" s="44"/>
      <c r="D33" s="44"/>
      <c r="E33" s="44">
        <f t="shared" si="0"/>
        <v>0</v>
      </c>
      <c r="F33" s="44">
        <f t="shared" si="4"/>
        <v>-15730</v>
      </c>
      <c r="G33" s="44"/>
      <c r="H33" s="44">
        <f t="shared" si="1"/>
        <v>71500</v>
      </c>
      <c r="I33" s="44"/>
      <c r="J33" s="44"/>
      <c r="K33" s="38">
        <f t="shared" si="5"/>
        <v>55770</v>
      </c>
      <c r="L33" s="45">
        <f t="shared" si="6"/>
        <v>0.78227770121559026</v>
      </c>
      <c r="M33" s="44">
        <f t="shared" si="2"/>
        <v>43627.627396793469</v>
      </c>
      <c r="N33" s="44">
        <f>+SUM(K$7:K33)</f>
        <v>-14430752</v>
      </c>
      <c r="O33" s="40"/>
      <c r="P33" s="56">
        <f t="shared" si="3"/>
        <v>0</v>
      </c>
      <c r="Q33" s="41"/>
    </row>
    <row r="34" spans="2:17" x14ac:dyDescent="0.2">
      <c r="B34" s="43">
        <f t="shared" si="7"/>
        <v>27</v>
      </c>
      <c r="C34" s="44"/>
      <c r="D34" s="44"/>
      <c r="E34" s="44">
        <f t="shared" si="0"/>
        <v>0</v>
      </c>
      <c r="F34" s="44">
        <f t="shared" si="4"/>
        <v>-15730</v>
      </c>
      <c r="G34" s="44"/>
      <c r="H34" s="44">
        <f t="shared" si="1"/>
        <v>71500</v>
      </c>
      <c r="I34" s="44"/>
      <c r="J34" s="44"/>
      <c r="K34" s="38">
        <f t="shared" si="5"/>
        <v>55770</v>
      </c>
      <c r="L34" s="45">
        <f t="shared" si="6"/>
        <v>0.77492460212610159</v>
      </c>
      <c r="M34" s="44">
        <f t="shared" si="2"/>
        <v>43217.545060572687</v>
      </c>
      <c r="N34" s="44">
        <f>+SUM(K$7:K34)</f>
        <v>-14374982</v>
      </c>
      <c r="O34" s="40"/>
      <c r="P34" s="56">
        <f t="shared" si="3"/>
        <v>0</v>
      </c>
      <c r="Q34" s="41"/>
    </row>
    <row r="35" spans="2:17" x14ac:dyDescent="0.2">
      <c r="B35" s="43">
        <f t="shared" si="7"/>
        <v>28</v>
      </c>
      <c r="C35" s="44"/>
      <c r="D35" s="44"/>
      <c r="E35" s="44">
        <f t="shared" si="0"/>
        <v>0</v>
      </c>
      <c r="F35" s="44">
        <f t="shared" si="4"/>
        <v>-15730</v>
      </c>
      <c r="G35" s="44"/>
      <c r="H35" s="44">
        <f t="shared" si="1"/>
        <v>71500</v>
      </c>
      <c r="I35" s="44"/>
      <c r="J35" s="44"/>
      <c r="K35" s="38">
        <f t="shared" si="5"/>
        <v>55770</v>
      </c>
      <c r="L35" s="45">
        <f t="shared" si="6"/>
        <v>0.76764061924193971</v>
      </c>
      <c r="M35" s="44">
        <f t="shared" si="2"/>
        <v>42811.317335122978</v>
      </c>
      <c r="N35" s="44">
        <f>+SUM(K$7:K35)</f>
        <v>-14319212</v>
      </c>
      <c r="O35" s="40"/>
      <c r="P35" s="56">
        <f t="shared" si="3"/>
        <v>0</v>
      </c>
      <c r="Q35" s="41"/>
    </row>
    <row r="36" spans="2:17" x14ac:dyDescent="0.2">
      <c r="B36" s="43">
        <f t="shared" si="7"/>
        <v>29</v>
      </c>
      <c r="C36" s="44"/>
      <c r="D36" s="44"/>
      <c r="E36" s="44">
        <f t="shared" si="0"/>
        <v>0</v>
      </c>
      <c r="F36" s="44">
        <f t="shared" si="4"/>
        <v>-15730</v>
      </c>
      <c r="G36" s="44"/>
      <c r="H36" s="44">
        <f t="shared" si="1"/>
        <v>71500</v>
      </c>
      <c r="I36" s="44"/>
      <c r="J36" s="44"/>
      <c r="K36" s="38">
        <f t="shared" si="5"/>
        <v>55770</v>
      </c>
      <c r="L36" s="45">
        <f t="shared" si="6"/>
        <v>0.76042510289827903</v>
      </c>
      <c r="M36" s="44">
        <f t="shared" si="2"/>
        <v>42408.907988637024</v>
      </c>
      <c r="N36" s="44">
        <f>+SUM(K$7:K36)</f>
        <v>-14263442</v>
      </c>
      <c r="O36" s="40"/>
      <c r="P36" s="56">
        <f t="shared" si="3"/>
        <v>0</v>
      </c>
      <c r="Q36" s="41"/>
    </row>
    <row r="37" spans="2:17" x14ac:dyDescent="0.2">
      <c r="B37" s="43">
        <f t="shared" si="7"/>
        <v>30</v>
      </c>
      <c r="C37" s="44"/>
      <c r="D37" s="44"/>
      <c r="E37" s="44">
        <f t="shared" si="0"/>
        <v>0</v>
      </c>
      <c r="F37" s="44">
        <f t="shared" si="4"/>
        <v>-15730</v>
      </c>
      <c r="G37" s="44"/>
      <c r="H37" s="44">
        <f t="shared" si="1"/>
        <v>78650</v>
      </c>
      <c r="I37" s="44"/>
      <c r="J37" s="44"/>
      <c r="K37" s="38">
        <f t="shared" si="5"/>
        <v>62920</v>
      </c>
      <c r="L37" s="45">
        <f t="shared" si="6"/>
        <v>0.75327740953688449</v>
      </c>
      <c r="M37" s="44">
        <f t="shared" si="2"/>
        <v>47396.214608060771</v>
      </c>
      <c r="N37" s="44">
        <f>+SUM(K$7:K37)</f>
        <v>-14200522</v>
      </c>
      <c r="O37" s="40"/>
      <c r="P37" s="56">
        <f t="shared" si="3"/>
        <v>0</v>
      </c>
      <c r="Q37" s="41"/>
    </row>
    <row r="38" spans="2:17" x14ac:dyDescent="0.2">
      <c r="B38" s="43">
        <f t="shared" si="7"/>
        <v>31</v>
      </c>
      <c r="C38" s="44"/>
      <c r="D38" s="44"/>
      <c r="E38" s="44">
        <f t="shared" si="0"/>
        <v>0</v>
      </c>
      <c r="F38" s="44">
        <f t="shared" si="4"/>
        <v>-17303</v>
      </c>
      <c r="G38" s="44"/>
      <c r="H38" s="44">
        <f t="shared" si="1"/>
        <v>78650</v>
      </c>
      <c r="I38" s="44"/>
      <c r="J38" s="44"/>
      <c r="K38" s="38">
        <f t="shared" si="5"/>
        <v>61347</v>
      </c>
      <c r="L38" s="45">
        <f t="shared" si="6"/>
        <v>0.74619690164871233</v>
      </c>
      <c r="M38" s="44">
        <f t="shared" si="2"/>
        <v>45776.941325443557</v>
      </c>
      <c r="N38" s="44">
        <f>+SUM(K$7:K38)</f>
        <v>-14139175</v>
      </c>
      <c r="O38" s="40"/>
      <c r="P38" s="56">
        <f t="shared" si="3"/>
        <v>0</v>
      </c>
      <c r="Q38" s="41"/>
    </row>
    <row r="39" spans="2:17" x14ac:dyDescent="0.2">
      <c r="B39" s="43">
        <f t="shared" si="7"/>
        <v>32</v>
      </c>
      <c r="C39" s="44"/>
      <c r="D39" s="44"/>
      <c r="E39" s="44">
        <f t="shared" si="0"/>
        <v>0</v>
      </c>
      <c r="F39" s="44">
        <f t="shared" si="4"/>
        <v>-17303</v>
      </c>
      <c r="G39" s="44"/>
      <c r="H39" s="44">
        <f t="shared" ref="H39:H73" si="10">IFERROR(VLOOKUP(B39,$R$12:$T$17,3,1),0)</f>
        <v>78650</v>
      </c>
      <c r="I39" s="44"/>
      <c r="J39" s="44"/>
      <c r="K39" s="38">
        <f t="shared" si="5"/>
        <v>61347</v>
      </c>
      <c r="L39" s="45">
        <f t="shared" si="6"/>
        <v>0.73918294771705073</v>
      </c>
      <c r="M39" s="44">
        <f t="shared" si="2"/>
        <v>45346.656293597909</v>
      </c>
      <c r="N39" s="44">
        <f>+SUM(K$7:K39)</f>
        <v>-14077828</v>
      </c>
      <c r="O39" s="40"/>
      <c r="P39" s="56">
        <f t="shared" si="3"/>
        <v>0</v>
      </c>
      <c r="Q39" s="41"/>
    </row>
    <row r="40" spans="2:17" x14ac:dyDescent="0.2">
      <c r="B40" s="43">
        <f t="shared" si="7"/>
        <v>33</v>
      </c>
      <c r="C40" s="44"/>
      <c r="D40" s="44"/>
      <c r="E40" s="44">
        <f t="shared" si="0"/>
        <v>0</v>
      </c>
      <c r="F40" s="44">
        <f t="shared" si="4"/>
        <v>-17303</v>
      </c>
      <c r="G40" s="44"/>
      <c r="H40" s="44">
        <f t="shared" si="10"/>
        <v>78650</v>
      </c>
      <c r="I40" s="44"/>
      <c r="J40" s="44"/>
      <c r="K40" s="38">
        <f t="shared" si="5"/>
        <v>61347</v>
      </c>
      <c r="L40" s="45">
        <f t="shared" si="6"/>
        <v>0.73223492216119268</v>
      </c>
      <c r="M40" s="44">
        <f t="shared" si="2"/>
        <v>44920.415769822685</v>
      </c>
      <c r="N40" s="44">
        <f>+SUM(K$7:K40)</f>
        <v>-14016481</v>
      </c>
      <c r="O40" s="40"/>
      <c r="P40" s="56">
        <f t="shared" si="3"/>
        <v>0</v>
      </c>
      <c r="Q40" s="41"/>
    </row>
    <row r="41" spans="2:17" x14ac:dyDescent="0.2">
      <c r="B41" s="43">
        <f t="shared" si="7"/>
        <v>34</v>
      </c>
      <c r="C41" s="44"/>
      <c r="D41" s="44"/>
      <c r="E41" s="44">
        <f t="shared" si="0"/>
        <v>0</v>
      </c>
      <c r="F41" s="44">
        <f t="shared" si="4"/>
        <v>-17303</v>
      </c>
      <c r="G41" s="44"/>
      <c r="H41" s="44">
        <f t="shared" si="10"/>
        <v>78650</v>
      </c>
      <c r="I41" s="44"/>
      <c r="J41" s="44"/>
      <c r="K41" s="38">
        <f t="shared" si="5"/>
        <v>61347</v>
      </c>
      <c r="L41" s="45">
        <f t="shared" si="6"/>
        <v>0.72535220528064148</v>
      </c>
      <c r="M41" s="44">
        <f t="shared" si="2"/>
        <v>44498.181737351515</v>
      </c>
      <c r="N41" s="44">
        <f>+SUM(K$7:K41)</f>
        <v>-13955134</v>
      </c>
      <c r="O41" s="40"/>
      <c r="P41" s="56">
        <f t="shared" si="3"/>
        <v>0</v>
      </c>
      <c r="Q41" s="41"/>
    </row>
    <row r="42" spans="2:17" x14ac:dyDescent="0.2">
      <c r="B42" s="43">
        <f t="shared" si="7"/>
        <v>35</v>
      </c>
      <c r="C42" s="44"/>
      <c r="D42" s="44"/>
      <c r="E42" s="44">
        <f t="shared" si="0"/>
        <v>0</v>
      </c>
      <c r="F42" s="44">
        <f t="shared" si="4"/>
        <v>-17303</v>
      </c>
      <c r="G42" s="44"/>
      <c r="H42" s="44">
        <f t="shared" si="10"/>
        <v>78650</v>
      </c>
      <c r="I42" s="44"/>
      <c r="J42" s="44"/>
      <c r="K42" s="38">
        <f t="shared" si="5"/>
        <v>61347</v>
      </c>
      <c r="L42" s="45">
        <f t="shared" si="6"/>
        <v>0.71853418319983853</v>
      </c>
      <c r="M42" s="44">
        <f t="shared" si="2"/>
        <v>44079.916536760495</v>
      </c>
      <c r="N42" s="44">
        <f>+SUM(K$7:K42)</f>
        <v>-13893787</v>
      </c>
      <c r="O42" s="40"/>
      <c r="P42" s="56">
        <f t="shared" si="3"/>
        <v>0</v>
      </c>
      <c r="Q42" s="41"/>
    </row>
    <row r="43" spans="2:17" x14ac:dyDescent="0.2">
      <c r="B43" s="43">
        <f t="shared" si="7"/>
        <v>36</v>
      </c>
      <c r="C43" s="44"/>
      <c r="D43" s="44"/>
      <c r="E43" s="44">
        <f t="shared" si="0"/>
        <v>-22044.960000000003</v>
      </c>
      <c r="F43" s="44">
        <f t="shared" si="4"/>
        <v>-17303</v>
      </c>
      <c r="G43" s="44"/>
      <c r="H43" s="44">
        <f t="shared" si="10"/>
        <v>78650</v>
      </c>
      <c r="I43" s="44"/>
      <c r="J43" s="44"/>
      <c r="K43" s="38">
        <f t="shared" si="5"/>
        <v>39302.039999999994</v>
      </c>
      <c r="L43" s="45">
        <f t="shared" si="6"/>
        <v>0.71178024781341087</v>
      </c>
      <c r="M43" s="44">
        <f t="shared" si="2"/>
        <v>27974.415770772583</v>
      </c>
      <c r="N43" s="44">
        <f>+SUM(K$7:K43)</f>
        <v>-13854484.960000001</v>
      </c>
      <c r="O43" s="40"/>
      <c r="P43" s="56">
        <f t="shared" si="3"/>
        <v>1.2597120000000002</v>
      </c>
      <c r="Q43" s="41"/>
    </row>
    <row r="44" spans="2:17" x14ac:dyDescent="0.2">
      <c r="B44" s="43">
        <f t="shared" si="7"/>
        <v>37</v>
      </c>
      <c r="C44" s="44"/>
      <c r="D44" s="44"/>
      <c r="E44" s="44">
        <f t="shared" si="0"/>
        <v>0</v>
      </c>
      <c r="F44" s="44">
        <f t="shared" si="4"/>
        <v>-17303</v>
      </c>
      <c r="G44" s="44"/>
      <c r="H44" s="44">
        <f t="shared" si="10"/>
        <v>78650</v>
      </c>
      <c r="I44" s="44"/>
      <c r="J44" s="44"/>
      <c r="K44" s="38">
        <f t="shared" si="5"/>
        <v>61347</v>
      </c>
      <c r="L44" s="45">
        <f t="shared" si="6"/>
        <v>0.70508979673193428</v>
      </c>
      <c r="M44" s="44">
        <f t="shared" si="2"/>
        <v>43255.14376011397</v>
      </c>
      <c r="N44" s="44">
        <f>+SUM(K$7:K44)</f>
        <v>-13793137.960000001</v>
      </c>
      <c r="O44" s="40"/>
      <c r="P44" s="56">
        <f t="shared" si="3"/>
        <v>0</v>
      </c>
      <c r="Q44" s="41"/>
    </row>
    <row r="45" spans="2:17" x14ac:dyDescent="0.2">
      <c r="B45" s="43">
        <f t="shared" si="7"/>
        <v>38</v>
      </c>
      <c r="C45" s="44"/>
      <c r="D45" s="44"/>
      <c r="E45" s="44">
        <f t="shared" si="0"/>
        <v>0</v>
      </c>
      <c r="F45" s="44">
        <f t="shared" si="4"/>
        <v>-17303</v>
      </c>
      <c r="G45" s="44"/>
      <c r="H45" s="44">
        <f t="shared" si="10"/>
        <v>78650</v>
      </c>
      <c r="I45" s="44"/>
      <c r="J45" s="44"/>
      <c r="K45" s="38">
        <f t="shared" si="5"/>
        <v>61347</v>
      </c>
      <c r="L45" s="45">
        <f t="shared" si="6"/>
        <v>0.69846223322820555</v>
      </c>
      <c r="M45" s="44">
        <f t="shared" si="2"/>
        <v>42848.562621850724</v>
      </c>
      <c r="N45" s="44">
        <f>+SUM(K$7:K45)</f>
        <v>-13731790.960000001</v>
      </c>
      <c r="O45" s="40"/>
      <c r="P45" s="56">
        <f t="shared" si="3"/>
        <v>0</v>
      </c>
      <c r="Q45" s="41"/>
    </row>
    <row r="46" spans="2:17" x14ac:dyDescent="0.2">
      <c r="B46" s="43">
        <f t="shared" si="7"/>
        <v>39</v>
      </c>
      <c r="C46" s="44"/>
      <c r="D46" s="44"/>
      <c r="E46" s="44">
        <f t="shared" si="0"/>
        <v>0</v>
      </c>
      <c r="F46" s="44">
        <f t="shared" si="4"/>
        <v>-17303</v>
      </c>
      <c r="G46" s="44"/>
      <c r="H46" s="44">
        <f t="shared" si="10"/>
        <v>78650</v>
      </c>
      <c r="I46" s="44"/>
      <c r="J46" s="44"/>
      <c r="K46" s="38">
        <f t="shared" si="5"/>
        <v>61347</v>
      </c>
      <c r="L46" s="45">
        <f t="shared" si="6"/>
        <v>0.69189696618401919</v>
      </c>
      <c r="M46" s="44">
        <f t="shared" si="2"/>
        <v>42445.803184491022</v>
      </c>
      <c r="N46" s="44">
        <f>+SUM(K$7:K46)</f>
        <v>-13670443.960000001</v>
      </c>
      <c r="O46" s="40"/>
      <c r="P46" s="56">
        <f t="shared" si="3"/>
        <v>0</v>
      </c>
      <c r="Q46" s="41"/>
    </row>
    <row r="47" spans="2:17" x14ac:dyDescent="0.2">
      <c r="B47" s="43">
        <f t="shared" si="7"/>
        <v>40</v>
      </c>
      <c r="C47" s="44"/>
      <c r="D47" s="44"/>
      <c r="E47" s="44">
        <f t="shared" si="0"/>
        <v>0</v>
      </c>
      <c r="F47" s="44">
        <f t="shared" si="4"/>
        <v>-17303</v>
      </c>
      <c r="G47" s="44"/>
      <c r="H47" s="44">
        <f t="shared" si="10"/>
        <v>78650</v>
      </c>
      <c r="I47" s="44"/>
      <c r="J47" s="44"/>
      <c r="K47" s="38">
        <f t="shared" si="5"/>
        <v>61347</v>
      </c>
      <c r="L47" s="45">
        <f t="shared" si="6"/>
        <v>0.68539341003744614</v>
      </c>
      <c r="M47" s="44">
        <f t="shared" si="2"/>
        <v>42046.829525567206</v>
      </c>
      <c r="N47" s="44">
        <f>+SUM(K$7:K47)</f>
        <v>-13609096.960000001</v>
      </c>
      <c r="O47" s="40"/>
      <c r="P47" s="56">
        <f t="shared" si="3"/>
        <v>0</v>
      </c>
      <c r="Q47" s="41"/>
    </row>
    <row r="48" spans="2:17" x14ac:dyDescent="0.2">
      <c r="B48" s="43">
        <f t="shared" si="7"/>
        <v>41</v>
      </c>
      <c r="C48" s="44"/>
      <c r="D48" s="44"/>
      <c r="E48" s="44">
        <f t="shared" si="0"/>
        <v>0</v>
      </c>
      <c r="F48" s="44">
        <f t="shared" si="4"/>
        <v>-17303</v>
      </c>
      <c r="G48" s="44"/>
      <c r="H48" s="44">
        <f t="shared" si="10"/>
        <v>78650</v>
      </c>
      <c r="I48" s="44"/>
      <c r="J48" s="44"/>
      <c r="K48" s="38">
        <f t="shared" si="5"/>
        <v>61347</v>
      </c>
      <c r="L48" s="45">
        <f t="shared" si="6"/>
        <v>0.67895098473060622</v>
      </c>
      <c r="M48" s="44">
        <f t="shared" si="2"/>
        <v>41651.606060268503</v>
      </c>
      <c r="N48" s="44">
        <f>+SUM(K$7:K48)</f>
        <v>-13547749.960000001</v>
      </c>
      <c r="O48" s="40"/>
      <c r="P48" s="56">
        <f t="shared" si="3"/>
        <v>0</v>
      </c>
      <c r="Q48" s="41"/>
    </row>
    <row r="49" spans="2:17" x14ac:dyDescent="0.2">
      <c r="B49" s="43">
        <f t="shared" si="7"/>
        <v>42</v>
      </c>
      <c r="C49" s="44"/>
      <c r="D49" s="44"/>
      <c r="E49" s="44">
        <f t="shared" si="0"/>
        <v>0</v>
      </c>
      <c r="F49" s="44">
        <f t="shared" si="4"/>
        <v>-17303</v>
      </c>
      <c r="G49" s="44"/>
      <c r="H49" s="44">
        <f t="shared" si="10"/>
        <v>86515</v>
      </c>
      <c r="I49" s="44"/>
      <c r="J49" s="44"/>
      <c r="K49" s="38">
        <f t="shared" si="5"/>
        <v>69212</v>
      </c>
      <c r="L49" s="45">
        <f t="shared" si="6"/>
        <v>0.67256911565793243</v>
      </c>
      <c r="M49" s="44">
        <f t="shared" si="2"/>
        <v>46549.85363291682</v>
      </c>
      <c r="N49" s="44">
        <f>+SUM(K$7:K49)</f>
        <v>-13478537.960000001</v>
      </c>
      <c r="O49" s="40"/>
      <c r="P49" s="56">
        <f t="shared" si="3"/>
        <v>0</v>
      </c>
      <c r="Q49" s="41"/>
    </row>
    <row r="50" spans="2:17" x14ac:dyDescent="0.2">
      <c r="B50" s="43">
        <f t="shared" si="7"/>
        <v>43</v>
      </c>
      <c r="C50" s="44"/>
      <c r="D50" s="44"/>
      <c r="E50" s="44">
        <f t="shared" si="0"/>
        <v>0</v>
      </c>
      <c r="F50" s="44">
        <f t="shared" si="4"/>
        <v>-19033.3</v>
      </c>
      <c r="G50" s="44"/>
      <c r="H50" s="44">
        <f t="shared" si="10"/>
        <v>86515</v>
      </c>
      <c r="I50" s="44"/>
      <c r="J50" s="44"/>
      <c r="K50" s="38">
        <f t="shared" si="5"/>
        <v>67481.7</v>
      </c>
      <c r="L50" s="45">
        <f t="shared" si="6"/>
        <v>0.66624723361492177</v>
      </c>
      <c r="M50" s="44">
        <f t="shared" si="2"/>
        <v>44959.495944632064</v>
      </c>
      <c r="N50" s="44">
        <f>+SUM(K$7:K50)</f>
        <v>-13411056.260000002</v>
      </c>
      <c r="O50" s="40"/>
      <c r="P50" s="56">
        <f t="shared" si="3"/>
        <v>0</v>
      </c>
      <c r="Q50" s="41"/>
    </row>
    <row r="51" spans="2:17" x14ac:dyDescent="0.2">
      <c r="B51" s="43">
        <f t="shared" si="7"/>
        <v>44</v>
      </c>
      <c r="C51" s="44"/>
      <c r="D51" s="44"/>
      <c r="E51" s="44">
        <f t="shared" si="0"/>
        <v>0</v>
      </c>
      <c r="F51" s="44">
        <f t="shared" si="4"/>
        <v>-19033.3</v>
      </c>
      <c r="G51" s="44"/>
      <c r="H51" s="44">
        <f t="shared" si="10"/>
        <v>86515</v>
      </c>
      <c r="I51" s="44"/>
      <c r="J51" s="44"/>
      <c r="K51" s="38">
        <f t="shared" si="5"/>
        <v>67481.7</v>
      </c>
      <c r="L51" s="45">
        <f t="shared" si="6"/>
        <v>0.65998477474736661</v>
      </c>
      <c r="M51" s="44">
        <f t="shared" si="2"/>
        <v>44536.894574069367</v>
      </c>
      <c r="N51" s="44">
        <f>+SUM(K$7:K51)</f>
        <v>-13343574.560000002</v>
      </c>
      <c r="O51" s="40"/>
      <c r="P51" s="56">
        <f t="shared" si="3"/>
        <v>0</v>
      </c>
      <c r="Q51" s="41"/>
    </row>
    <row r="52" spans="2:17" x14ac:dyDescent="0.2">
      <c r="B52" s="43">
        <f t="shared" si="7"/>
        <v>45</v>
      </c>
      <c r="C52" s="44"/>
      <c r="D52" s="44"/>
      <c r="E52" s="44">
        <f t="shared" si="0"/>
        <v>0</v>
      </c>
      <c r="F52" s="44">
        <f t="shared" si="4"/>
        <v>-19033.3</v>
      </c>
      <c r="G52" s="44"/>
      <c r="H52" s="44">
        <f t="shared" si="10"/>
        <v>86515</v>
      </c>
      <c r="I52" s="44"/>
      <c r="J52" s="44"/>
      <c r="K52" s="38">
        <f t="shared" si="5"/>
        <v>67481.7</v>
      </c>
      <c r="L52" s="45">
        <f t="shared" si="6"/>
        <v>0.65378118050106482</v>
      </c>
      <c r="M52" s="44">
        <f t="shared" si="2"/>
        <v>44118.265488218705</v>
      </c>
      <c r="N52" s="44">
        <f>+SUM(K$7:K52)</f>
        <v>-13276092.860000003</v>
      </c>
      <c r="O52" s="40"/>
      <c r="P52" s="56">
        <f t="shared" si="3"/>
        <v>0</v>
      </c>
      <c r="Q52" s="41"/>
    </row>
    <row r="53" spans="2:17" x14ac:dyDescent="0.2">
      <c r="B53" s="43">
        <f t="shared" si="7"/>
        <v>46</v>
      </c>
      <c r="C53" s="44"/>
      <c r="D53" s="44"/>
      <c r="E53" s="44">
        <f t="shared" si="0"/>
        <v>0</v>
      </c>
      <c r="F53" s="44">
        <f t="shared" si="4"/>
        <v>-19033.3</v>
      </c>
      <c r="G53" s="44"/>
      <c r="H53" s="44">
        <f t="shared" si="10"/>
        <v>86515</v>
      </c>
      <c r="I53" s="44"/>
      <c r="J53" s="44"/>
      <c r="K53" s="38">
        <f t="shared" si="5"/>
        <v>67481.7</v>
      </c>
      <c r="L53" s="45">
        <f t="shared" si="6"/>
        <v>0.64763589757200124</v>
      </c>
      <c r="M53" s="44">
        <f t="shared" si="2"/>
        <v>43703.571349184516</v>
      </c>
      <c r="N53" s="44">
        <f>+SUM(K$7:K53)</f>
        <v>-13208611.160000004</v>
      </c>
      <c r="O53" s="40"/>
      <c r="P53" s="56">
        <f t="shared" si="3"/>
        <v>0</v>
      </c>
      <c r="Q53" s="41"/>
    </row>
    <row r="54" spans="2:17" x14ac:dyDescent="0.2">
      <c r="B54" s="43">
        <f t="shared" si="7"/>
        <v>47</v>
      </c>
      <c r="C54" s="44"/>
      <c r="D54" s="44"/>
      <c r="E54" s="44">
        <f t="shared" si="0"/>
        <v>0</v>
      </c>
      <c r="F54" s="44">
        <f t="shared" si="4"/>
        <v>-19033.3</v>
      </c>
      <c r="G54" s="44"/>
      <c r="H54" s="44">
        <f t="shared" si="10"/>
        <v>86515</v>
      </c>
      <c r="I54" s="44"/>
      <c r="J54" s="44"/>
      <c r="K54" s="38">
        <f t="shared" si="5"/>
        <v>67481.7</v>
      </c>
      <c r="L54" s="45">
        <f t="shared" si="6"/>
        <v>0.64154837785699859</v>
      </c>
      <c r="M54" s="44">
        <f t="shared" si="2"/>
        <v>43292.775170032619</v>
      </c>
      <c r="N54" s="44">
        <f>+SUM(K$7:K54)</f>
        <v>-13141129.460000005</v>
      </c>
      <c r="O54" s="40"/>
      <c r="P54" s="56">
        <f t="shared" si="3"/>
        <v>0</v>
      </c>
      <c r="Q54" s="41"/>
    </row>
    <row r="55" spans="2:17" x14ac:dyDescent="0.2">
      <c r="B55" s="43">
        <f t="shared" si="7"/>
        <v>48</v>
      </c>
      <c r="C55" s="44"/>
      <c r="D55" s="44"/>
      <c r="E55" s="44">
        <f t="shared" si="0"/>
        <v>-23808.556800000006</v>
      </c>
      <c r="F55" s="44">
        <f t="shared" si="4"/>
        <v>-19033.3</v>
      </c>
      <c r="G55" s="44"/>
      <c r="H55" s="44">
        <f t="shared" si="10"/>
        <v>86515</v>
      </c>
      <c r="I55" s="44"/>
      <c r="J55" s="44"/>
      <c r="K55" s="38">
        <f t="shared" si="5"/>
        <v>43673.143199999991</v>
      </c>
      <c r="L55" s="45">
        <f t="shared" si="6"/>
        <v>0.63551807840483121</v>
      </c>
      <c r="M55" s="44">
        <f t="shared" si="2"/>
        <v>27755.072044363016</v>
      </c>
      <c r="N55" s="44">
        <f>+SUM(K$7:K55)</f>
        <v>-13097456.316800004</v>
      </c>
      <c r="O55" s="40"/>
      <c r="P55" s="56">
        <f t="shared" si="3"/>
        <v>1.3604889600000003</v>
      </c>
      <c r="Q55" s="41"/>
    </row>
    <row r="56" spans="2:17" x14ac:dyDescent="0.2">
      <c r="B56" s="43">
        <f t="shared" si="7"/>
        <v>49</v>
      </c>
      <c r="C56" s="44"/>
      <c r="D56" s="44"/>
      <c r="E56" s="44">
        <f t="shared" si="0"/>
        <v>0</v>
      </c>
      <c r="F56" s="44">
        <f t="shared" si="4"/>
        <v>-19033.3</v>
      </c>
      <c r="G56" s="44"/>
      <c r="H56" s="44">
        <f t="shared" si="10"/>
        <v>86515</v>
      </c>
      <c r="I56" s="44"/>
      <c r="J56" s="44"/>
      <c r="K56" s="38">
        <f t="shared" si="5"/>
        <v>67481.7</v>
      </c>
      <c r="L56" s="45">
        <f t="shared" si="6"/>
        <v>0.62954446136779851</v>
      </c>
      <c r="M56" s="44">
        <f t="shared" si="2"/>
        <v>42482.73047868337</v>
      </c>
      <c r="N56" s="44">
        <f>+SUM(K$7:K56)</f>
        <v>-13029974.616800005</v>
      </c>
      <c r="O56" s="40"/>
      <c r="P56" s="56">
        <f t="shared" si="3"/>
        <v>0</v>
      </c>
      <c r="Q56" s="41"/>
    </row>
    <row r="57" spans="2:17" x14ac:dyDescent="0.2">
      <c r="B57" s="43">
        <f t="shared" si="7"/>
        <v>50</v>
      </c>
      <c r="C57" s="44"/>
      <c r="D57" s="44"/>
      <c r="E57" s="44">
        <f t="shared" si="0"/>
        <v>0</v>
      </c>
      <c r="F57" s="44">
        <f t="shared" si="4"/>
        <v>-19033.3</v>
      </c>
      <c r="G57" s="44"/>
      <c r="H57" s="44">
        <f t="shared" si="10"/>
        <v>86515</v>
      </c>
      <c r="I57" s="44"/>
      <c r="J57" s="44"/>
      <c r="K57" s="38">
        <f t="shared" si="5"/>
        <v>67481.7</v>
      </c>
      <c r="L57" s="45">
        <f t="shared" si="6"/>
        <v>0.62362699395375476</v>
      </c>
      <c r="M57" s="44">
        <f t="shared" si="2"/>
        <v>42083.409717889088</v>
      </c>
      <c r="N57" s="44">
        <f>+SUM(K$7:K57)</f>
        <v>-12962492.916800005</v>
      </c>
      <c r="O57" s="40"/>
      <c r="P57" s="56">
        <f t="shared" si="3"/>
        <v>0</v>
      </c>
      <c r="Q57" s="41"/>
    </row>
    <row r="58" spans="2:17" x14ac:dyDescent="0.2">
      <c r="B58" s="43">
        <f t="shared" si="7"/>
        <v>51</v>
      </c>
      <c r="C58" s="44"/>
      <c r="D58" s="44"/>
      <c r="E58" s="44">
        <f t="shared" si="0"/>
        <v>0</v>
      </c>
      <c r="F58" s="44">
        <f t="shared" si="4"/>
        <v>-19033.3</v>
      </c>
      <c r="G58" s="44"/>
      <c r="H58" s="44">
        <f t="shared" si="10"/>
        <v>86515</v>
      </c>
      <c r="I58" s="44"/>
      <c r="J58" s="44"/>
      <c r="K58" s="38">
        <f t="shared" si="5"/>
        <v>67481.7</v>
      </c>
      <c r="L58" s="45">
        <f t="shared" si="6"/>
        <v>0.61776514837858854</v>
      </c>
      <c r="M58" s="44">
        <f t="shared" si="2"/>
        <v>41687.842413339393</v>
      </c>
      <c r="N58" s="44">
        <f>+SUM(K$7:K58)</f>
        <v>-12895011.216800006</v>
      </c>
      <c r="O58" s="40"/>
      <c r="P58" s="56">
        <f t="shared" si="3"/>
        <v>0</v>
      </c>
      <c r="Q58" s="41"/>
    </row>
    <row r="59" spans="2:17" x14ac:dyDescent="0.2">
      <c r="B59" s="43">
        <f t="shared" si="7"/>
        <v>52</v>
      </c>
      <c r="C59" s="44"/>
      <c r="D59" s="44"/>
      <c r="E59" s="44">
        <f t="shared" si="0"/>
        <v>0</v>
      </c>
      <c r="F59" s="44">
        <f t="shared" si="4"/>
        <v>-19033.3</v>
      </c>
      <c r="G59" s="44"/>
      <c r="H59" s="44">
        <f t="shared" si="10"/>
        <v>86515</v>
      </c>
      <c r="I59" s="44"/>
      <c r="J59" s="44"/>
      <c r="K59" s="38">
        <f t="shared" si="5"/>
        <v>67481.7</v>
      </c>
      <c r="L59" s="45">
        <f t="shared" si="6"/>
        <v>0.61195840181914829</v>
      </c>
      <c r="M59" s="44">
        <f t="shared" si="2"/>
        <v>41295.993284039214</v>
      </c>
      <c r="N59" s="44">
        <f>+SUM(K$7:K59)</f>
        <v>-12827529.516800007</v>
      </c>
      <c r="O59" s="40"/>
      <c r="P59" s="56">
        <f t="shared" si="3"/>
        <v>0</v>
      </c>
      <c r="Q59" s="41"/>
    </row>
    <row r="60" spans="2:17" x14ac:dyDescent="0.2">
      <c r="B60" s="43">
        <f t="shared" si="7"/>
        <v>53</v>
      </c>
      <c r="C60" s="44"/>
      <c r="D60" s="44"/>
      <c r="E60" s="44">
        <f t="shared" si="0"/>
        <v>0</v>
      </c>
      <c r="F60" s="44">
        <f t="shared" si="4"/>
        <v>-19033.3</v>
      </c>
      <c r="G60" s="44"/>
      <c r="H60" s="44">
        <f t="shared" si="10"/>
        <v>86515</v>
      </c>
      <c r="I60" s="44"/>
      <c r="J60" s="44"/>
      <c r="K60" s="38">
        <f t="shared" si="5"/>
        <v>67481.7</v>
      </c>
      <c r="L60" s="45">
        <f t="shared" si="6"/>
        <v>0.60620623636661264</v>
      </c>
      <c r="M60" s="44">
        <f t="shared" si="2"/>
        <v>40907.827380620845</v>
      </c>
      <c r="N60" s="44">
        <f>+SUM(K$7:K60)</f>
        <v>-12760047.816800008</v>
      </c>
      <c r="O60" s="40"/>
      <c r="P60" s="56">
        <f t="shared" si="3"/>
        <v>0</v>
      </c>
      <c r="Q60" s="41"/>
    </row>
    <row r="61" spans="2:17" x14ac:dyDescent="0.2">
      <c r="B61" s="43">
        <f t="shared" si="7"/>
        <v>54</v>
      </c>
      <c r="C61" s="44"/>
      <c r="D61" s="44"/>
      <c r="E61" s="44">
        <f t="shared" si="0"/>
        <v>0</v>
      </c>
      <c r="F61" s="44">
        <f t="shared" si="4"/>
        <v>-19033.3</v>
      </c>
      <c r="G61" s="44"/>
      <c r="H61" s="44">
        <f t="shared" si="10"/>
        <v>95166.500000000015</v>
      </c>
      <c r="I61" s="44"/>
      <c r="J61" s="44"/>
      <c r="K61" s="38">
        <f t="shared" si="5"/>
        <v>76133.200000000012</v>
      </c>
      <c r="L61" s="45">
        <f t="shared" si="6"/>
        <v>0.60050813898029676</v>
      </c>
      <c r="M61" s="44">
        <f t="shared" si="2"/>
        <v>45718.606246614734</v>
      </c>
      <c r="N61" s="44">
        <f>+SUM(K$7:K61)</f>
        <v>-12683914.616800008</v>
      </c>
      <c r="O61" s="40"/>
      <c r="P61" s="56">
        <f t="shared" si="3"/>
        <v>0</v>
      </c>
      <c r="Q61" s="41"/>
    </row>
    <row r="62" spans="2:17" x14ac:dyDescent="0.2">
      <c r="B62" s="43">
        <f t="shared" si="7"/>
        <v>55</v>
      </c>
      <c r="C62" s="44"/>
      <c r="D62" s="44"/>
      <c r="E62" s="44">
        <f t="shared" si="0"/>
        <v>0</v>
      </c>
      <c r="F62" s="44">
        <f t="shared" si="4"/>
        <v>-20936.630000000005</v>
      </c>
      <c r="G62" s="44"/>
      <c r="H62" s="44">
        <f t="shared" si="10"/>
        <v>95166.500000000015</v>
      </c>
      <c r="I62" s="44"/>
      <c r="J62" s="44"/>
      <c r="K62" s="38">
        <f t="shared" si="5"/>
        <v>74229.87000000001</v>
      </c>
      <c r="L62" s="45">
        <f t="shared" si="6"/>
        <v>0.59486360144189432</v>
      </c>
      <c r="M62" s="44">
        <f t="shared" si="2"/>
        <v>44156.647802763633</v>
      </c>
      <c r="N62" s="44">
        <f>+SUM(K$7:K62)</f>
        <v>-12609684.746800009</v>
      </c>
      <c r="O62" s="40"/>
      <c r="P62" s="56">
        <f t="shared" si="3"/>
        <v>0</v>
      </c>
      <c r="Q62" s="41"/>
    </row>
    <row r="63" spans="2:17" x14ac:dyDescent="0.2">
      <c r="B63" s="43">
        <f t="shared" si="7"/>
        <v>56</v>
      </c>
      <c r="C63" s="44"/>
      <c r="D63" s="44"/>
      <c r="E63" s="44">
        <f t="shared" si="0"/>
        <v>0</v>
      </c>
      <c r="F63" s="44">
        <f t="shared" si="4"/>
        <v>-20936.630000000005</v>
      </c>
      <c r="G63" s="44"/>
      <c r="H63" s="44">
        <f t="shared" si="10"/>
        <v>95166.500000000015</v>
      </c>
      <c r="I63" s="44"/>
      <c r="J63" s="44"/>
      <c r="K63" s="38">
        <f t="shared" si="5"/>
        <v>74229.87000000001</v>
      </c>
      <c r="L63" s="45">
        <f t="shared" si="6"/>
        <v>0.58927212031014864</v>
      </c>
      <c r="M63" s="44">
        <f t="shared" si="2"/>
        <v>43741.592885246697</v>
      </c>
      <c r="N63" s="44">
        <f>+SUM(K$7:K63)</f>
        <v>-12535454.87680001</v>
      </c>
      <c r="O63" s="40"/>
      <c r="P63" s="56">
        <f t="shared" si="3"/>
        <v>0</v>
      </c>
      <c r="Q63" s="41"/>
    </row>
    <row r="64" spans="2:17" x14ac:dyDescent="0.2">
      <c r="B64" s="43">
        <f t="shared" si="7"/>
        <v>57</v>
      </c>
      <c r="C64" s="44"/>
      <c r="D64" s="44"/>
      <c r="E64" s="44">
        <f t="shared" si="0"/>
        <v>0</v>
      </c>
      <c r="F64" s="44">
        <f t="shared" si="4"/>
        <v>-20936.630000000005</v>
      </c>
      <c r="G64" s="44"/>
      <c r="H64" s="44">
        <f t="shared" si="10"/>
        <v>95166.500000000015</v>
      </c>
      <c r="I64" s="44"/>
      <c r="J64" s="44"/>
      <c r="K64" s="38">
        <f t="shared" si="5"/>
        <v>74229.87000000001</v>
      </c>
      <c r="L64" s="45">
        <f t="shared" si="6"/>
        <v>0.5837331968759506</v>
      </c>
      <c r="M64" s="44">
        <f t="shared" si="2"/>
        <v>43330.439318786222</v>
      </c>
      <c r="N64" s="44">
        <f>+SUM(K$7:K64)</f>
        <v>-12461225.006800011</v>
      </c>
      <c r="O64" s="40"/>
      <c r="P64" s="56">
        <f t="shared" si="3"/>
        <v>0</v>
      </c>
      <c r="Q64" s="41"/>
    </row>
    <row r="65" spans="2:17" x14ac:dyDescent="0.2">
      <c r="B65" s="43">
        <f t="shared" si="7"/>
        <v>58</v>
      </c>
      <c r="C65" s="44"/>
      <c r="D65" s="44"/>
      <c r="E65" s="44">
        <f t="shared" si="0"/>
        <v>0</v>
      </c>
      <c r="F65" s="44">
        <f t="shared" si="4"/>
        <v>-20936.630000000005</v>
      </c>
      <c r="G65" s="44"/>
      <c r="H65" s="44">
        <f t="shared" si="10"/>
        <v>95166.500000000015</v>
      </c>
      <c r="I65" s="44"/>
      <c r="J65" s="44"/>
      <c r="K65" s="38">
        <f t="shared" si="5"/>
        <v>74229.87000000001</v>
      </c>
      <c r="L65" s="45">
        <f t="shared" si="6"/>
        <v>0.57824633711785822</v>
      </c>
      <c r="M65" s="44">
        <f t="shared" si="2"/>
        <v>42923.150432234797</v>
      </c>
      <c r="N65" s="44">
        <f>+SUM(K$7:K65)</f>
        <v>-12386995.136800012</v>
      </c>
      <c r="O65" s="40"/>
      <c r="P65" s="56">
        <f t="shared" si="3"/>
        <v>0</v>
      </c>
      <c r="Q65" s="41"/>
    </row>
    <row r="66" spans="2:17" x14ac:dyDescent="0.2">
      <c r="B66" s="43">
        <f t="shared" si="7"/>
        <v>59</v>
      </c>
      <c r="C66" s="44"/>
      <c r="D66" s="44"/>
      <c r="E66" s="44">
        <f t="shared" si="0"/>
        <v>0</v>
      </c>
      <c r="F66" s="44">
        <f t="shared" si="4"/>
        <v>-20936.630000000005</v>
      </c>
      <c r="G66" s="44"/>
      <c r="H66" s="44">
        <f t="shared" si="10"/>
        <v>95166.500000000015</v>
      </c>
      <c r="I66" s="44"/>
      <c r="J66" s="44"/>
      <c r="K66" s="38">
        <f t="shared" si="5"/>
        <v>74229.87000000001</v>
      </c>
      <c r="L66" s="45">
        <f t="shared" si="6"/>
        <v>0.57281105165803436</v>
      </c>
      <c r="M66" s="44">
        <f t="shared" si="2"/>
        <v>42519.689899139179</v>
      </c>
      <c r="N66" s="44">
        <f>+SUM(K$7:K66)</f>
        <v>-12312765.266800012</v>
      </c>
      <c r="O66" s="40"/>
      <c r="P66" s="56">
        <f t="shared" si="3"/>
        <v>0</v>
      </c>
      <c r="Q66" s="41"/>
    </row>
    <row r="67" spans="2:17" x14ac:dyDescent="0.2">
      <c r="B67" s="43">
        <f t="shared" si="7"/>
        <v>60</v>
      </c>
      <c r="C67" s="44"/>
      <c r="D67" s="44"/>
      <c r="E67" s="44">
        <f t="shared" si="0"/>
        <v>-25713.241344000005</v>
      </c>
      <c r="F67" s="44">
        <f t="shared" si="4"/>
        <v>-20936.630000000005</v>
      </c>
      <c r="G67" s="44"/>
      <c r="H67" s="44">
        <f t="shared" si="10"/>
        <v>95166.500000000015</v>
      </c>
      <c r="I67" s="44"/>
      <c r="J67" s="44"/>
      <c r="K67" s="38">
        <f t="shared" si="5"/>
        <v>48516.628656000001</v>
      </c>
      <c r="L67" s="45">
        <f t="shared" si="6"/>
        <v>0.56742685571859919</v>
      </c>
      <c r="M67" s="44">
        <f t="shared" si="2"/>
        <v>27529.638048340967</v>
      </c>
      <c r="N67" s="44">
        <f>+SUM(K$7:K67)</f>
        <v>-12264248.638144013</v>
      </c>
      <c r="O67" s="40"/>
      <c r="P67" s="56">
        <f t="shared" si="3"/>
        <v>1.4693280768000003</v>
      </c>
      <c r="Q67" s="41"/>
    </row>
    <row r="68" spans="2:17" x14ac:dyDescent="0.2">
      <c r="B68" s="43">
        <f t="shared" si="7"/>
        <v>61</v>
      </c>
      <c r="C68" s="44"/>
      <c r="D68" s="44"/>
      <c r="E68" s="44">
        <f t="shared" si="0"/>
        <v>0</v>
      </c>
      <c r="F68" s="44">
        <f t="shared" si="4"/>
        <v>-20936.630000000005</v>
      </c>
      <c r="G68" s="44"/>
      <c r="H68" s="44">
        <f t="shared" si="10"/>
        <v>95166.500000000015</v>
      </c>
      <c r="I68" s="44"/>
      <c r="J68" s="44"/>
      <c r="K68" s="38">
        <f t="shared" si="5"/>
        <v>74229.87000000001</v>
      </c>
      <c r="L68" s="45">
        <f t="shared" si="6"/>
        <v>0.56209326907839152</v>
      </c>
      <c r="M68" s="44">
        <f t="shared" si="2"/>
        <v>41724.110291564029</v>
      </c>
      <c r="N68" s="44">
        <f>+SUM(K$7:K68)</f>
        <v>-12190018.768144013</v>
      </c>
      <c r="O68" s="40"/>
      <c r="P68" s="56">
        <f t="shared" si="3"/>
        <v>0</v>
      </c>
      <c r="Q68" s="41"/>
    </row>
    <row r="69" spans="2:17" x14ac:dyDescent="0.2">
      <c r="B69" s="43">
        <f t="shared" si="7"/>
        <v>62</v>
      </c>
      <c r="C69" s="44"/>
      <c r="D69" s="44"/>
      <c r="E69" s="44">
        <f t="shared" si="0"/>
        <v>0</v>
      </c>
      <c r="F69" s="44">
        <f t="shared" si="4"/>
        <v>-20936.630000000005</v>
      </c>
      <c r="G69" s="44"/>
      <c r="H69" s="44">
        <f t="shared" si="10"/>
        <v>95166.500000000015</v>
      </c>
      <c r="I69" s="44"/>
      <c r="J69" s="44"/>
      <c r="K69" s="38">
        <f t="shared" si="5"/>
        <v>74229.87000000001</v>
      </c>
      <c r="L69" s="45">
        <f t="shared" si="6"/>
        <v>0.55680981603013813</v>
      </c>
      <c r="M69" s="44">
        <f t="shared" si="2"/>
        <v>41331.920258641076</v>
      </c>
      <c r="N69" s="44">
        <f>+SUM(K$7:K69)</f>
        <v>-12115788.898144014</v>
      </c>
      <c r="O69" s="40"/>
      <c r="P69" s="56">
        <f t="shared" si="3"/>
        <v>0</v>
      </c>
      <c r="Q69" s="41"/>
    </row>
    <row r="70" spans="2:17" x14ac:dyDescent="0.2">
      <c r="B70" s="43">
        <f t="shared" si="7"/>
        <v>63</v>
      </c>
      <c r="C70" s="44"/>
      <c r="D70" s="44"/>
      <c r="E70" s="44">
        <f t="shared" si="0"/>
        <v>0</v>
      </c>
      <c r="F70" s="44">
        <f t="shared" si="4"/>
        <v>-20936.630000000005</v>
      </c>
      <c r="G70" s="44"/>
      <c r="H70" s="44">
        <f t="shared" si="10"/>
        <v>95166.500000000015</v>
      </c>
      <c r="I70" s="44"/>
      <c r="J70" s="44"/>
      <c r="K70" s="38">
        <f t="shared" si="5"/>
        <v>74229.87000000001</v>
      </c>
      <c r="L70" s="45">
        <f t="shared" si="6"/>
        <v>0.55157602533802541</v>
      </c>
      <c r="M70" s="44">
        <f t="shared" si="2"/>
        <v>40943.416655958339</v>
      </c>
      <c r="N70" s="44">
        <f>+SUM(K$7:K70)</f>
        <v>-12041559.028144015</v>
      </c>
      <c r="O70" s="40"/>
      <c r="P70" s="56">
        <f t="shared" si="3"/>
        <v>0</v>
      </c>
      <c r="Q70" s="41"/>
    </row>
    <row r="71" spans="2:17" x14ac:dyDescent="0.2">
      <c r="B71" s="43">
        <f t="shared" si="7"/>
        <v>64</v>
      </c>
      <c r="C71" s="44"/>
      <c r="D71" s="44"/>
      <c r="E71" s="44">
        <f t="shared" ref="E71:E73" si="11">+$S$2*P71*-1</f>
        <v>0</v>
      </c>
      <c r="F71" s="44">
        <f t="shared" si="4"/>
        <v>-20936.630000000005</v>
      </c>
      <c r="G71" s="44"/>
      <c r="H71" s="44">
        <f t="shared" si="10"/>
        <v>95166.500000000015</v>
      </c>
      <c r="I71" s="44"/>
      <c r="J71" s="44"/>
      <c r="K71" s="38">
        <f t="shared" si="5"/>
        <v>74229.87000000001</v>
      </c>
      <c r="L71" s="45">
        <f t="shared" si="6"/>
        <v>0.54639143019566805</v>
      </c>
      <c r="M71" s="44">
        <f t="shared" ref="M71:M73" si="12">+K71*L71</f>
        <v>40558.564832538519</v>
      </c>
      <c r="N71" s="44">
        <f>+SUM(K$7:K71)</f>
        <v>-11967329.158144016</v>
      </c>
      <c r="O71" s="40"/>
      <c r="P71" s="56">
        <f t="shared" ref="P71:P73" si="13">+IF(MOD(B71,12)=0,(1+$S$3)^(B71/12),0)</f>
        <v>0</v>
      </c>
      <c r="Q71" s="41"/>
    </row>
    <row r="72" spans="2:17" x14ac:dyDescent="0.2">
      <c r="B72" s="43">
        <f t="shared" si="7"/>
        <v>65</v>
      </c>
      <c r="C72" s="44"/>
      <c r="D72" s="44"/>
      <c r="E72" s="44">
        <f t="shared" si="11"/>
        <v>0</v>
      </c>
      <c r="F72" s="44">
        <f t="shared" ref="F72:F73" si="14">H71*$S$5*-1</f>
        <v>-20936.630000000005</v>
      </c>
      <c r="G72" s="44"/>
      <c r="H72" s="44">
        <f t="shared" si="10"/>
        <v>95166.500000000015</v>
      </c>
      <c r="I72" s="44"/>
      <c r="J72" s="44"/>
      <c r="K72" s="38">
        <f t="shared" ref="K72:K73" si="15">SUM(C72:J72)</f>
        <v>74229.87000000001</v>
      </c>
      <c r="L72" s="45">
        <f t="shared" ref="L72:L73" si="16">+(1+$S$4)^-(B72/12)</f>
        <v>0.5412555681844754</v>
      </c>
      <c r="M72" s="44">
        <f t="shared" si="12"/>
        <v>40177.330463109749</v>
      </c>
      <c r="N72" s="44">
        <f>+SUM(K$7:K72)</f>
        <v>-11893099.288144017</v>
      </c>
      <c r="O72" s="40"/>
      <c r="P72" s="56">
        <f t="shared" si="13"/>
        <v>0</v>
      </c>
      <c r="Q72" s="41"/>
    </row>
    <row r="73" spans="2:17" x14ac:dyDescent="0.2">
      <c r="B73" s="43">
        <f t="shared" ref="B73" si="17">+B72+1</f>
        <v>66</v>
      </c>
      <c r="C73" s="44"/>
      <c r="D73" s="44"/>
      <c r="E73" s="44">
        <f t="shared" si="11"/>
        <v>0</v>
      </c>
      <c r="F73" s="44">
        <f t="shared" si="14"/>
        <v>-20936.630000000005</v>
      </c>
      <c r="G73" s="44">
        <f>+S24*S6*-1</f>
        <v>-1510066.2960785397</v>
      </c>
      <c r="H73" s="44">
        <f t="shared" si="10"/>
        <v>0</v>
      </c>
      <c r="I73" s="44">
        <f>+-I7</f>
        <v>-1500000</v>
      </c>
      <c r="J73" s="44">
        <f>S21</f>
        <v>27067108.640523598</v>
      </c>
      <c r="K73" s="38">
        <f t="shared" si="15"/>
        <v>24036105.714445058</v>
      </c>
      <c r="L73" s="45">
        <f t="shared" si="16"/>
        <v>0.53616798123240783</v>
      </c>
      <c r="M73" s="44">
        <f t="shared" si="12"/>
        <v>12887390.277602749</v>
      </c>
      <c r="N73" s="44">
        <f>+SUM(K$7:K73)</f>
        <v>12143006.426301042</v>
      </c>
      <c r="O73" s="40"/>
      <c r="P73" s="56">
        <f t="shared" si="13"/>
        <v>0</v>
      </c>
      <c r="Q73" s="41"/>
    </row>
  </sheetData>
  <mergeCells count="2">
    <mergeCell ref="C5:G5"/>
    <mergeCell ref="H5:J5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"/>
  <sheetViews>
    <sheetView workbookViewId="0"/>
  </sheetViews>
  <sheetFormatPr defaultColWidth="8.7109375" defaultRowHeight="12.75" x14ac:dyDescent="0.2"/>
  <cols>
    <col min="1" max="1" width="8.7109375" style="29"/>
    <col min="2" max="2" width="27.42578125" style="29" customWidth="1"/>
    <col min="3" max="3" width="20" style="29" customWidth="1"/>
    <col min="4" max="16384" width="8.7109375" style="29"/>
  </cols>
  <sheetData>
    <row r="3" spans="2:4" x14ac:dyDescent="0.2">
      <c r="B3" s="29" t="s">
        <v>48</v>
      </c>
      <c r="C3" s="33">
        <v>0.08</v>
      </c>
      <c r="D3" s="31"/>
    </row>
    <row r="4" spans="2:4" x14ac:dyDescent="0.2">
      <c r="B4" s="29" t="s">
        <v>49</v>
      </c>
      <c r="C4" s="62">
        <f>C3*80%</f>
        <v>6.4000000000000001E-2</v>
      </c>
      <c r="D4" s="31"/>
    </row>
    <row r="5" spans="2:4" x14ac:dyDescent="0.2">
      <c r="B5" s="29" t="s">
        <v>50</v>
      </c>
      <c r="C5" s="33">
        <v>0.12</v>
      </c>
      <c r="D5" s="31"/>
    </row>
    <row r="6" spans="2:4" ht="13.5" thickBot="1" x14ac:dyDescent="0.25">
      <c r="D6" s="31"/>
    </row>
    <row r="7" spans="2:4" ht="13.5" thickBot="1" x14ac:dyDescent="0.25">
      <c r="B7" s="63" t="s">
        <v>51</v>
      </c>
      <c r="C7" s="64">
        <f>(C5-C4)/(1+C4)</f>
        <v>5.2631578947368411E-2</v>
      </c>
      <c r="D7" s="31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M110"/>
  <sheetViews>
    <sheetView workbookViewId="0"/>
  </sheetViews>
  <sheetFormatPr defaultRowHeight="12.75" x14ac:dyDescent="0.2"/>
  <cols>
    <col min="4" max="4" width="9.85546875" customWidth="1"/>
    <col min="7" max="7" width="15.42578125" customWidth="1"/>
    <col min="9" max="9" width="21.5703125" customWidth="1"/>
    <col min="12" max="13" width="11.28515625" customWidth="1"/>
  </cols>
  <sheetData>
    <row r="7" spans="2:13" ht="27" customHeight="1" x14ac:dyDescent="0.2">
      <c r="B7" s="1"/>
      <c r="C7" s="148" t="s">
        <v>0</v>
      </c>
      <c r="D7" s="148"/>
      <c r="F7" s="149" t="s">
        <v>1</v>
      </c>
      <c r="G7" s="149"/>
      <c r="I7" s="150" t="s">
        <v>2</v>
      </c>
      <c r="J7" s="150"/>
      <c r="K7" s="150"/>
      <c r="L7" s="150"/>
      <c r="M7" s="150"/>
    </row>
    <row r="8" spans="2:13" x14ac:dyDescent="0.2">
      <c r="G8" s="2" t="s">
        <v>3</v>
      </c>
    </row>
    <row r="9" spans="2:13" ht="42" customHeight="1" x14ac:dyDescent="0.2">
      <c r="B9" s="3"/>
      <c r="C9" s="4" t="s">
        <v>4</v>
      </c>
      <c r="D9" s="5" t="s">
        <v>5</v>
      </c>
      <c r="F9" s="6" t="s">
        <v>6</v>
      </c>
      <c r="G9" s="7" t="s">
        <v>7</v>
      </c>
      <c r="I9" s="8" t="s">
        <v>8</v>
      </c>
      <c r="J9" s="9">
        <v>45</v>
      </c>
      <c r="K9" s="3"/>
      <c r="L9" s="151" t="s">
        <v>9</v>
      </c>
      <c r="M9" s="152"/>
    </row>
    <row r="10" spans="2:13" x14ac:dyDescent="0.2">
      <c r="B10" s="1"/>
      <c r="C10" s="10">
        <v>0</v>
      </c>
      <c r="D10" s="11">
        <v>7.7999999999999999E-4</v>
      </c>
      <c r="F10" s="10">
        <v>2002</v>
      </c>
      <c r="G10" s="13">
        <v>4000</v>
      </c>
      <c r="I10" s="10" t="s">
        <v>10</v>
      </c>
      <c r="J10" s="12">
        <v>0</v>
      </c>
      <c r="K10" s="1"/>
      <c r="L10" s="10">
        <v>2002</v>
      </c>
      <c r="M10" s="12">
        <v>8.89</v>
      </c>
    </row>
    <row r="11" spans="2:13" x14ac:dyDescent="0.2">
      <c r="B11" s="1"/>
      <c r="C11" s="10">
        <v>1</v>
      </c>
      <c r="D11" s="11">
        <v>7.3000000000000007E-4</v>
      </c>
      <c r="F11" s="10">
        <v>2003</v>
      </c>
      <c r="G11" s="13">
        <v>4625.2</v>
      </c>
      <c r="I11" s="1"/>
      <c r="J11" s="1"/>
      <c r="K11" s="1"/>
      <c r="L11" s="10">
        <v>2003</v>
      </c>
      <c r="M11" s="12">
        <v>8.89</v>
      </c>
    </row>
    <row r="12" spans="2:13" x14ac:dyDescent="0.2">
      <c r="B12" s="1"/>
      <c r="C12" s="10">
        <v>2</v>
      </c>
      <c r="D12" s="11">
        <v>6.8000000000000005E-4</v>
      </c>
      <c r="F12" s="10">
        <v>2004</v>
      </c>
      <c r="G12" s="13">
        <v>4585.42328</v>
      </c>
      <c r="I12" s="1"/>
      <c r="J12" s="1"/>
      <c r="K12" s="1"/>
      <c r="L12" s="10">
        <v>2004</v>
      </c>
      <c r="M12" s="12">
        <v>12.13</v>
      </c>
    </row>
    <row r="13" spans="2:13" x14ac:dyDescent="0.2">
      <c r="B13" s="1"/>
      <c r="C13" s="10">
        <v>3</v>
      </c>
      <c r="D13" s="11">
        <v>6.3000000000000003E-4</v>
      </c>
      <c r="F13" s="10">
        <v>2005</v>
      </c>
      <c r="G13" s="13">
        <v>4287.8293091280002</v>
      </c>
      <c r="K13" s="1"/>
      <c r="L13" s="10">
        <v>2005</v>
      </c>
      <c r="M13" s="12">
        <v>12.89</v>
      </c>
    </row>
    <row r="14" spans="2:13" x14ac:dyDescent="0.2">
      <c r="B14" s="1"/>
      <c r="C14" s="10">
        <v>4</v>
      </c>
      <c r="D14" s="11">
        <v>5.8E-4</v>
      </c>
      <c r="F14" s="10">
        <v>2006</v>
      </c>
      <c r="G14" s="13">
        <v>3729.9827160104473</v>
      </c>
      <c r="K14" s="1"/>
      <c r="L14" s="10">
        <v>2006</v>
      </c>
      <c r="M14" s="12">
        <v>13.68</v>
      </c>
    </row>
    <row r="15" spans="2:13" x14ac:dyDescent="0.2">
      <c r="B15" s="1"/>
      <c r="C15" s="10">
        <v>5</v>
      </c>
      <c r="D15" s="11">
        <v>5.4000000000000001E-4</v>
      </c>
      <c r="F15" s="10">
        <v>2007</v>
      </c>
      <c r="G15" s="13">
        <v>4196.2305555117537</v>
      </c>
      <c r="K15" s="1"/>
      <c r="L15" s="10">
        <v>2007</v>
      </c>
      <c r="M15" s="12">
        <v>14.63</v>
      </c>
    </row>
    <row r="16" spans="2:13" x14ac:dyDescent="0.2">
      <c r="B16" s="1"/>
      <c r="C16" s="10">
        <v>6</v>
      </c>
      <c r="D16" s="11">
        <v>5.0000000000000001E-4</v>
      </c>
      <c r="F16" s="10">
        <v>2008</v>
      </c>
      <c r="G16" s="13">
        <v>4602.0060502297401</v>
      </c>
      <c r="K16" s="1"/>
      <c r="L16" s="10">
        <v>2008</v>
      </c>
      <c r="M16" s="12">
        <v>14.63</v>
      </c>
    </row>
    <row r="17" spans="2:13" x14ac:dyDescent="0.2">
      <c r="B17" s="1"/>
      <c r="C17" s="10">
        <v>7</v>
      </c>
      <c r="D17" s="11">
        <v>4.6999999999999999E-4</v>
      </c>
      <c r="F17" s="10">
        <v>2009</v>
      </c>
      <c r="G17" s="13">
        <v>5292.3069577642009</v>
      </c>
      <c r="L17" s="10">
        <v>2009</v>
      </c>
      <c r="M17" s="12">
        <v>15.36</v>
      </c>
    </row>
    <row r="18" spans="2:13" x14ac:dyDescent="0.2">
      <c r="B18" s="1"/>
      <c r="C18" s="10">
        <v>8</v>
      </c>
      <c r="D18" s="11">
        <v>4.5000000000000004E-4</v>
      </c>
      <c r="F18" s="10">
        <v>2010</v>
      </c>
      <c r="G18" s="13">
        <v>5874.4607231182636</v>
      </c>
      <c r="L18" s="10">
        <v>2010</v>
      </c>
      <c r="M18" s="12">
        <v>15.47</v>
      </c>
    </row>
    <row r="19" spans="2:13" x14ac:dyDescent="0.2">
      <c r="B19" s="1"/>
      <c r="C19" s="10">
        <v>9</v>
      </c>
      <c r="D19" s="11">
        <v>4.2999999999999999E-4</v>
      </c>
      <c r="F19" s="10">
        <v>2011</v>
      </c>
      <c r="G19" s="13">
        <v>6266.2872533502514</v>
      </c>
      <c r="L19" s="10">
        <v>2011</v>
      </c>
      <c r="M19" s="12">
        <v>19.7</v>
      </c>
    </row>
    <row r="20" spans="2:13" x14ac:dyDescent="0.2">
      <c r="B20" s="1"/>
      <c r="C20" s="10">
        <v>10</v>
      </c>
      <c r="D20" s="11">
        <v>4.2000000000000002E-4</v>
      </c>
      <c r="F20" s="10">
        <v>2012</v>
      </c>
      <c r="G20" s="13">
        <v>5466.0823710974237</v>
      </c>
      <c r="L20" s="10">
        <v>2012</v>
      </c>
      <c r="M20" s="12">
        <v>12.1</v>
      </c>
    </row>
    <row r="21" spans="2:13" x14ac:dyDescent="0.2">
      <c r="B21" s="1"/>
      <c r="C21" s="10">
        <v>11</v>
      </c>
      <c r="D21" s="11">
        <v>4.1999999999999996E-4</v>
      </c>
      <c r="F21" s="10">
        <v>2013</v>
      </c>
      <c r="G21" s="13">
        <v>6268.5032631745253</v>
      </c>
      <c r="L21" s="10">
        <v>2013</v>
      </c>
      <c r="M21" s="12">
        <v>15.41</v>
      </c>
    </row>
    <row r="22" spans="2:13" x14ac:dyDescent="0.2">
      <c r="B22" s="1"/>
      <c r="C22" s="10">
        <v>12</v>
      </c>
      <c r="D22" s="11">
        <v>4.2000000000000002E-4</v>
      </c>
      <c r="F22" s="10">
        <v>2014</v>
      </c>
      <c r="G22" s="13">
        <v>7050.8124704187057</v>
      </c>
      <c r="L22" s="10">
        <v>2014</v>
      </c>
      <c r="M22" s="12">
        <v>15.76</v>
      </c>
    </row>
    <row r="23" spans="2:13" x14ac:dyDescent="0.2">
      <c r="B23" s="1"/>
      <c r="C23" s="10">
        <v>13</v>
      </c>
      <c r="D23" s="11">
        <v>4.4999999999999999E-4</v>
      </c>
      <c r="F23" s="10">
        <v>2015</v>
      </c>
      <c r="G23" s="13">
        <v>7545.0744245950573</v>
      </c>
      <c r="L23" s="10">
        <v>2015</v>
      </c>
      <c r="M23" s="12">
        <v>15.7</v>
      </c>
    </row>
    <row r="24" spans="2:13" x14ac:dyDescent="0.2">
      <c r="B24" s="1"/>
      <c r="C24" s="10">
        <v>14</v>
      </c>
      <c r="D24" s="11">
        <v>5.1999999999999995E-4</v>
      </c>
      <c r="F24" s="10">
        <v>2016</v>
      </c>
      <c r="G24" s="13">
        <v>8190.1782878979338</v>
      </c>
      <c r="L24" s="10">
        <v>2016</v>
      </c>
      <c r="M24" s="12">
        <v>16.440000000000001</v>
      </c>
    </row>
    <row r="25" spans="2:13" x14ac:dyDescent="0.2">
      <c r="B25" s="1"/>
      <c r="C25" s="10">
        <v>15</v>
      </c>
      <c r="D25" s="11">
        <v>6.6E-4</v>
      </c>
      <c r="F25" s="10">
        <v>2017</v>
      </c>
      <c r="G25" s="13">
        <v>8999.3679027422495</v>
      </c>
      <c r="L25" s="10">
        <v>2017</v>
      </c>
      <c r="M25" s="12">
        <v>16.690000000000001</v>
      </c>
    </row>
    <row r="26" spans="2:13" x14ac:dyDescent="0.2">
      <c r="B26" s="1"/>
      <c r="C26" s="10">
        <v>16</v>
      </c>
      <c r="D26" s="11">
        <v>8.5999999999999998E-4</v>
      </c>
      <c r="F26" s="10">
        <v>2018</v>
      </c>
      <c r="G26" s="13">
        <v>9913.7036816608615</v>
      </c>
      <c r="L26" s="10">
        <v>2018</v>
      </c>
      <c r="M26" s="12">
        <v>18.190000000000001</v>
      </c>
    </row>
    <row r="27" spans="2:13" x14ac:dyDescent="0.2">
      <c r="B27" s="1"/>
      <c r="C27" s="10">
        <v>17</v>
      </c>
      <c r="D27" s="11">
        <v>1.005E-3</v>
      </c>
      <c r="F27" s="10">
        <v>2019</v>
      </c>
      <c r="G27" s="13">
        <v>10204.175199533525</v>
      </c>
      <c r="L27" s="10">
        <v>2019</v>
      </c>
      <c r="M27" s="12">
        <v>18.989999999999998</v>
      </c>
    </row>
    <row r="28" spans="2:13" x14ac:dyDescent="0.2">
      <c r="B28" s="1"/>
      <c r="C28" s="10">
        <v>18</v>
      </c>
      <c r="D28" s="11">
        <v>1.147E-3</v>
      </c>
      <c r="F28" s="10">
        <v>2020</v>
      </c>
      <c r="G28" s="13">
        <v>11341.940734281512</v>
      </c>
      <c r="L28" s="10">
        <v>2020</v>
      </c>
      <c r="M28" s="12">
        <v>18.510000000000002</v>
      </c>
    </row>
    <row r="29" spans="2:13" x14ac:dyDescent="0.2">
      <c r="B29" s="1"/>
      <c r="C29" s="10">
        <v>19</v>
      </c>
      <c r="D29" s="11">
        <v>8.9099999999999997E-4</v>
      </c>
      <c r="F29" s="10">
        <v>2021</v>
      </c>
      <c r="G29" s="13">
        <v>11871.609366572458</v>
      </c>
      <c r="L29" s="10">
        <v>2021</v>
      </c>
      <c r="M29" s="12">
        <v>19.149999999999999</v>
      </c>
    </row>
    <row r="30" spans="2:13" x14ac:dyDescent="0.2">
      <c r="B30" s="1"/>
      <c r="C30" s="10">
        <v>20</v>
      </c>
      <c r="D30" s="11">
        <v>1.039E-3</v>
      </c>
      <c r="F30" s="10">
        <v>2022</v>
      </c>
      <c r="G30" s="13">
        <v>11379</v>
      </c>
    </row>
    <row r="31" spans="2:13" x14ac:dyDescent="0.2">
      <c r="B31" s="1"/>
      <c r="C31" s="10">
        <v>21</v>
      </c>
      <c r="D31" s="11">
        <v>7.9099999999999993E-4</v>
      </c>
      <c r="F31" s="1"/>
    </row>
    <row r="32" spans="2:13" x14ac:dyDescent="0.2">
      <c r="B32" s="1"/>
      <c r="C32" s="10">
        <v>22</v>
      </c>
      <c r="D32" s="11">
        <v>9.4700000000000003E-4</v>
      </c>
      <c r="F32" s="1"/>
    </row>
    <row r="33" spans="2:6" x14ac:dyDescent="0.2">
      <c r="B33" s="1"/>
      <c r="C33" s="10">
        <v>23</v>
      </c>
      <c r="D33" s="11">
        <v>7.0799999999999997E-4</v>
      </c>
      <c r="F33" s="1"/>
    </row>
    <row r="34" spans="2:6" x14ac:dyDescent="0.2">
      <c r="B34" s="1"/>
      <c r="C34" s="10">
        <v>24</v>
      </c>
      <c r="D34" s="11">
        <v>8.740000000000001E-4</v>
      </c>
      <c r="F34" s="1"/>
    </row>
    <row r="35" spans="2:6" x14ac:dyDescent="0.2">
      <c r="B35" s="1"/>
      <c r="C35" s="10">
        <v>25</v>
      </c>
      <c r="D35" s="11">
        <v>6.4499999999999996E-4</v>
      </c>
      <c r="F35" s="1"/>
    </row>
    <row r="36" spans="2:6" x14ac:dyDescent="0.2">
      <c r="B36" s="1"/>
      <c r="C36" s="10">
        <v>26</v>
      </c>
      <c r="D36" s="11">
        <v>8.2200000000000003E-4</v>
      </c>
      <c r="F36" s="1"/>
    </row>
    <row r="37" spans="2:6" x14ac:dyDescent="0.2">
      <c r="B37" s="1"/>
      <c r="C37" s="10">
        <v>27</v>
      </c>
      <c r="D37" s="11">
        <v>6.0599999999999998E-4</v>
      </c>
      <c r="F37" s="1"/>
    </row>
    <row r="38" spans="2:6" x14ac:dyDescent="0.2">
      <c r="B38" s="1"/>
      <c r="C38" s="10">
        <v>28</v>
      </c>
      <c r="D38" s="11">
        <v>7.9700000000000007E-4</v>
      </c>
      <c r="F38" s="1"/>
    </row>
    <row r="39" spans="2:6" x14ac:dyDescent="0.2">
      <c r="B39" s="1"/>
      <c r="C39" s="10">
        <v>29</v>
      </c>
      <c r="D39" s="11">
        <v>5.9599999999999996E-4</v>
      </c>
      <c r="F39" s="1"/>
    </row>
    <row r="40" spans="2:6" x14ac:dyDescent="0.2">
      <c r="B40" s="1"/>
      <c r="C40" s="10">
        <v>30</v>
      </c>
      <c r="D40" s="11">
        <v>8.0400000000000003E-4</v>
      </c>
      <c r="F40" s="1"/>
    </row>
    <row r="41" spans="2:6" x14ac:dyDescent="0.2">
      <c r="B41" s="1"/>
      <c r="C41" s="10">
        <v>31</v>
      </c>
      <c r="D41" s="11">
        <v>6.2100000000000002E-4</v>
      </c>
      <c r="F41" s="1"/>
    </row>
    <row r="42" spans="2:6" x14ac:dyDescent="0.2">
      <c r="B42" s="1"/>
      <c r="C42" s="10">
        <v>32</v>
      </c>
      <c r="D42" s="11">
        <v>8.4900000000000004E-4</v>
      </c>
      <c r="F42" s="1"/>
    </row>
    <row r="43" spans="2:6" x14ac:dyDescent="0.2">
      <c r="B43" s="1"/>
      <c r="C43" s="10">
        <v>33</v>
      </c>
      <c r="D43" s="11">
        <v>6.8800000000000003E-4</v>
      </c>
      <c r="F43" s="1"/>
    </row>
    <row r="44" spans="2:6" x14ac:dyDescent="0.2">
      <c r="B44" s="1"/>
      <c r="C44" s="10">
        <v>34</v>
      </c>
      <c r="D44" s="11">
        <v>8.4000000000000003E-4</v>
      </c>
      <c r="F44" s="1"/>
    </row>
    <row r="45" spans="2:6" x14ac:dyDescent="0.2">
      <c r="B45" s="1"/>
      <c r="C45" s="10">
        <v>35</v>
      </c>
      <c r="D45" s="11">
        <v>9.0600000000000001E-4</v>
      </c>
      <c r="F45" s="1"/>
    </row>
    <row r="46" spans="2:6" x14ac:dyDescent="0.2">
      <c r="B46" s="1"/>
      <c r="C46" s="10">
        <v>36</v>
      </c>
      <c r="D46" s="11">
        <v>9.8700000000000003E-4</v>
      </c>
      <c r="F46" s="1"/>
    </row>
    <row r="47" spans="2:6" x14ac:dyDescent="0.2">
      <c r="B47" s="1"/>
      <c r="C47" s="10">
        <v>37</v>
      </c>
      <c r="D47" s="11">
        <v>1.0840000000000001E-3</v>
      </c>
      <c r="F47" s="1"/>
    </row>
    <row r="48" spans="2:6" x14ac:dyDescent="0.2">
      <c r="B48" s="1"/>
      <c r="C48" s="10">
        <v>38</v>
      </c>
      <c r="D48" s="11">
        <v>1.1999999999999999E-3</v>
      </c>
      <c r="F48" s="1"/>
    </row>
    <row r="49" spans="3:4" x14ac:dyDescent="0.2">
      <c r="C49" s="10">
        <v>39</v>
      </c>
      <c r="D49" s="11">
        <v>1.335E-3</v>
      </c>
    </row>
    <row r="50" spans="3:4" x14ac:dyDescent="0.2">
      <c r="C50" s="10">
        <v>40</v>
      </c>
      <c r="D50" s="11">
        <v>1.493E-3</v>
      </c>
    </row>
    <row r="51" spans="3:4" x14ac:dyDescent="0.2">
      <c r="C51" s="10">
        <v>41</v>
      </c>
      <c r="D51" s="11">
        <v>1.6740000000000001E-3</v>
      </c>
    </row>
    <row r="52" spans="3:4" x14ac:dyDescent="0.2">
      <c r="C52" s="10">
        <v>42</v>
      </c>
      <c r="D52" s="11">
        <v>1.8809999999999999E-3</v>
      </c>
    </row>
    <row r="53" spans="3:4" x14ac:dyDescent="0.2">
      <c r="C53" s="10">
        <v>43</v>
      </c>
      <c r="D53" s="11">
        <v>2.1179999999999997E-3</v>
      </c>
    </row>
    <row r="54" spans="3:4" x14ac:dyDescent="0.2">
      <c r="C54" s="10">
        <v>44</v>
      </c>
      <c r="D54" s="11">
        <v>2.385E-3</v>
      </c>
    </row>
    <row r="55" spans="3:4" x14ac:dyDescent="0.2">
      <c r="C55" s="10">
        <v>45</v>
      </c>
      <c r="D55" s="11">
        <v>2.6869999999999997E-3</v>
      </c>
    </row>
    <row r="56" spans="3:4" x14ac:dyDescent="0.2">
      <c r="C56" s="10">
        <v>46</v>
      </c>
      <c r="D56" s="11">
        <v>3.0270000000000002E-3</v>
      </c>
    </row>
    <row r="57" spans="3:4" x14ac:dyDescent="0.2">
      <c r="C57" s="10">
        <v>47</v>
      </c>
      <c r="D57" s="11">
        <v>3.4079999999999996E-3</v>
      </c>
    </row>
    <row r="58" spans="3:4" x14ac:dyDescent="0.2">
      <c r="C58" s="10">
        <v>48</v>
      </c>
      <c r="D58" s="11">
        <v>3.8340000000000002E-3</v>
      </c>
    </row>
    <row r="59" spans="3:4" x14ac:dyDescent="0.2">
      <c r="C59" s="10">
        <v>49</v>
      </c>
      <c r="D59" s="11">
        <v>4.3090000000000003E-3</v>
      </c>
    </row>
    <row r="60" spans="3:4" x14ac:dyDescent="0.2">
      <c r="C60" s="10">
        <v>50</v>
      </c>
      <c r="D60" s="11">
        <v>4.8389999999999996E-3</v>
      </c>
    </row>
    <row r="61" spans="3:4" x14ac:dyDescent="0.2">
      <c r="C61" s="10">
        <v>51</v>
      </c>
      <c r="D61" s="11">
        <v>5.3270000000000001E-3</v>
      </c>
    </row>
    <row r="62" spans="3:4" x14ac:dyDescent="0.2">
      <c r="C62" s="10">
        <v>52</v>
      </c>
      <c r="D62" s="11">
        <v>6.1809999999999999E-3</v>
      </c>
    </row>
    <row r="63" spans="3:4" x14ac:dyDescent="0.2">
      <c r="C63" s="10">
        <v>53</v>
      </c>
      <c r="D63" s="11">
        <v>6.705E-3</v>
      </c>
    </row>
    <row r="64" spans="3:4" x14ac:dyDescent="0.2">
      <c r="C64" s="10">
        <v>54</v>
      </c>
      <c r="D64" s="11">
        <v>7.7060000000000002E-3</v>
      </c>
    </row>
    <row r="65" spans="3:4" x14ac:dyDescent="0.2">
      <c r="C65" s="10">
        <v>55</v>
      </c>
      <c r="D65" s="11">
        <v>8.3910000000000009E-3</v>
      </c>
    </row>
    <row r="66" spans="3:4" x14ac:dyDescent="0.2">
      <c r="C66" s="10">
        <v>56</v>
      </c>
      <c r="D66" s="11">
        <v>9.5689999999999994E-3</v>
      </c>
    </row>
    <row r="67" spans="3:4" x14ac:dyDescent="0.2">
      <c r="C67" s="10">
        <v>57</v>
      </c>
      <c r="D67" s="11">
        <v>1.0447E-2</v>
      </c>
    </row>
    <row r="68" spans="3:4" x14ac:dyDescent="0.2">
      <c r="C68" s="10">
        <v>58</v>
      </c>
      <c r="D68" s="11">
        <v>1.1835999999999999E-2</v>
      </c>
    </row>
    <row r="69" spans="3:4" x14ac:dyDescent="0.2">
      <c r="C69" s="10">
        <v>59</v>
      </c>
      <c r="D69" s="11">
        <v>1.2944000000000001E-2</v>
      </c>
    </row>
    <row r="70" spans="3:4" x14ac:dyDescent="0.2">
      <c r="C70" s="10">
        <v>60</v>
      </c>
      <c r="D70" s="11">
        <v>1.4581999999999999E-2</v>
      </c>
    </row>
    <row r="71" spans="3:4" x14ac:dyDescent="0.2">
      <c r="C71" s="10">
        <v>61</v>
      </c>
      <c r="D71" s="11">
        <v>1.5963999999999999E-2</v>
      </c>
    </row>
    <row r="72" spans="3:4" x14ac:dyDescent="0.2">
      <c r="C72" s="10">
        <v>62</v>
      </c>
      <c r="D72" s="11">
        <v>1.7899999999999999E-2</v>
      </c>
    </row>
    <row r="73" spans="3:4" x14ac:dyDescent="0.2">
      <c r="C73" s="10">
        <v>63</v>
      </c>
      <c r="D73" s="11">
        <v>1.9604999999999997E-2</v>
      </c>
    </row>
    <row r="74" spans="3:4" x14ac:dyDescent="0.2">
      <c r="C74" s="10">
        <v>64</v>
      </c>
      <c r="D74" s="11">
        <v>2.1892999999999999E-2</v>
      </c>
    </row>
    <row r="75" spans="3:4" x14ac:dyDescent="0.2">
      <c r="C75" s="10">
        <v>65</v>
      </c>
      <c r="D75" s="11">
        <v>2.3980999999999999E-2</v>
      </c>
    </row>
    <row r="76" spans="3:4" x14ac:dyDescent="0.2">
      <c r="C76" s="10">
        <v>66</v>
      </c>
      <c r="D76" s="11">
        <v>2.6686000000000001E-2</v>
      </c>
    </row>
    <row r="77" spans="3:4" x14ac:dyDescent="0.2">
      <c r="C77" s="10">
        <v>67</v>
      </c>
      <c r="D77" s="11">
        <v>2.9224999999999998E-2</v>
      </c>
    </row>
    <row r="78" spans="3:4" x14ac:dyDescent="0.2">
      <c r="C78" s="10">
        <v>68</v>
      </c>
      <c r="D78" s="11">
        <v>3.2319000000000001E-2</v>
      </c>
    </row>
    <row r="79" spans="3:4" x14ac:dyDescent="0.2">
      <c r="C79" s="10">
        <v>69</v>
      </c>
      <c r="D79" s="11">
        <v>3.5588000000000002E-2</v>
      </c>
    </row>
    <row r="80" spans="3:4" x14ac:dyDescent="0.2">
      <c r="C80" s="10">
        <v>70</v>
      </c>
      <c r="D80" s="11">
        <v>3.9156000000000003E-2</v>
      </c>
    </row>
    <row r="81" spans="3:4" x14ac:dyDescent="0.2">
      <c r="C81" s="10">
        <v>71</v>
      </c>
      <c r="D81" s="11">
        <v>4.3045E-2</v>
      </c>
    </row>
    <row r="82" spans="3:4" x14ac:dyDescent="0.2">
      <c r="C82" s="10">
        <v>72</v>
      </c>
      <c r="D82" s="11">
        <v>4.7281000000000004E-2</v>
      </c>
    </row>
    <row r="83" spans="3:4" x14ac:dyDescent="0.2">
      <c r="C83" s="10">
        <v>73</v>
      </c>
      <c r="D83" s="11">
        <v>5.1889999999999999E-2</v>
      </c>
    </row>
    <row r="84" spans="3:4" x14ac:dyDescent="0.2">
      <c r="C84" s="10">
        <v>74</v>
      </c>
      <c r="D84" s="11">
        <v>5.6899999999999999E-2</v>
      </c>
    </row>
    <row r="85" spans="3:4" x14ac:dyDescent="0.2">
      <c r="C85" s="10">
        <v>75</v>
      </c>
      <c r="D85" s="11">
        <v>6.234E-2</v>
      </c>
    </row>
    <row r="86" spans="3:4" x14ac:dyDescent="0.2">
      <c r="C86" s="10">
        <v>76</v>
      </c>
      <c r="D86" s="11">
        <v>6.8240999999999996E-2</v>
      </c>
    </row>
    <row r="87" spans="3:4" x14ac:dyDescent="0.2">
      <c r="C87" s="10">
        <v>77</v>
      </c>
      <c r="D87" s="11">
        <v>7.4633000000000005E-2</v>
      </c>
    </row>
    <row r="88" spans="3:4" x14ac:dyDescent="0.2">
      <c r="C88" s="10">
        <v>78</v>
      </c>
      <c r="D88" s="11">
        <v>8.1547999999999995E-2</v>
      </c>
    </row>
    <row r="89" spans="3:4" x14ac:dyDescent="0.2">
      <c r="C89" s="10">
        <v>79</v>
      </c>
      <c r="D89" s="11">
        <v>8.9019000000000015E-2</v>
      </c>
    </row>
    <row r="90" spans="3:4" x14ac:dyDescent="0.2">
      <c r="C90" s="10">
        <v>80</v>
      </c>
      <c r="D90" s="11">
        <v>9.7078999999999999E-2</v>
      </c>
    </row>
    <row r="91" spans="3:4" x14ac:dyDescent="0.2">
      <c r="C91" s="10">
        <v>81</v>
      </c>
      <c r="D91" s="11">
        <v>0.10576000000000001</v>
      </c>
    </row>
    <row r="92" spans="3:4" x14ac:dyDescent="0.2">
      <c r="C92" s="10">
        <v>82</v>
      </c>
      <c r="D92" s="11">
        <v>0.11509399999999999</v>
      </c>
    </row>
    <row r="93" spans="3:4" x14ac:dyDescent="0.2">
      <c r="C93" s="10">
        <v>83</v>
      </c>
      <c r="D93" s="11">
        <v>0.125114</v>
      </c>
    </row>
    <row r="94" spans="3:4" x14ac:dyDescent="0.2">
      <c r="C94" s="10">
        <v>84</v>
      </c>
      <c r="D94" s="11">
        <v>0.135848</v>
      </c>
    </row>
    <row r="95" spans="3:4" x14ac:dyDescent="0.2">
      <c r="C95" s="10">
        <v>85</v>
      </c>
      <c r="D95" s="11">
        <v>0.14722399999999999</v>
      </c>
    </row>
    <row r="96" spans="3:4" x14ac:dyDescent="0.2">
      <c r="C96" s="10">
        <v>86</v>
      </c>
      <c r="D96" s="11">
        <v>0.15966799999999998</v>
      </c>
    </row>
    <row r="97" spans="3:4" x14ac:dyDescent="0.2">
      <c r="C97" s="10">
        <v>87</v>
      </c>
      <c r="D97" s="11">
        <v>0.17249900000000001</v>
      </c>
    </row>
    <row r="98" spans="3:4" x14ac:dyDescent="0.2">
      <c r="C98" s="10">
        <v>88</v>
      </c>
      <c r="D98" s="11">
        <v>0.18653499999999998</v>
      </c>
    </row>
    <row r="99" spans="3:4" x14ac:dyDescent="0.2">
      <c r="C99" s="10">
        <v>89</v>
      </c>
      <c r="D99" s="11">
        <v>0.200988</v>
      </c>
    </row>
    <row r="100" spans="3:4" x14ac:dyDescent="0.2">
      <c r="C100" s="10">
        <v>90</v>
      </c>
      <c r="D100" s="11">
        <v>0.21666299999999999</v>
      </c>
    </row>
    <row r="101" spans="3:4" x14ac:dyDescent="0.2">
      <c r="C101" s="10">
        <v>91</v>
      </c>
      <c r="D101" s="11">
        <v>0.232761</v>
      </c>
    </row>
    <row r="102" spans="3:4" x14ac:dyDescent="0.2">
      <c r="C102" s="10">
        <v>92</v>
      </c>
      <c r="D102" s="11">
        <v>0.25007200000000002</v>
      </c>
    </row>
    <row r="103" spans="3:4" x14ac:dyDescent="0.2">
      <c r="C103" s="10">
        <v>93</v>
      </c>
      <c r="D103" s="11">
        <v>0.26778000000000002</v>
      </c>
    </row>
    <row r="104" spans="3:4" x14ac:dyDescent="0.2">
      <c r="C104" s="10">
        <v>94</v>
      </c>
      <c r="D104" s="11">
        <v>0.286661</v>
      </c>
    </row>
    <row r="105" spans="3:4" x14ac:dyDescent="0.2">
      <c r="C105" s="10">
        <v>95</v>
      </c>
      <c r="D105" s="11">
        <v>0.30587999999999999</v>
      </c>
    </row>
    <row r="106" spans="3:4" x14ac:dyDescent="0.2">
      <c r="C106" s="10">
        <v>96</v>
      </c>
      <c r="D106" s="11">
        <v>0.32619599999999999</v>
      </c>
    </row>
    <row r="107" spans="3:4" x14ac:dyDescent="0.2">
      <c r="C107" s="10">
        <v>97</v>
      </c>
      <c r="D107" s="11">
        <v>0.34675400000000001</v>
      </c>
    </row>
    <row r="108" spans="3:4" x14ac:dyDescent="0.2">
      <c r="C108" s="10">
        <v>98</v>
      </c>
      <c r="D108" s="11">
        <v>0.36829499999999998</v>
      </c>
    </row>
    <row r="109" spans="3:4" x14ac:dyDescent="0.2">
      <c r="C109" s="10">
        <v>99</v>
      </c>
      <c r="D109" s="11">
        <v>0.38994899999999999</v>
      </c>
    </row>
    <row r="110" spans="3:4" x14ac:dyDescent="0.2">
      <c r="C110" s="10">
        <v>100</v>
      </c>
      <c r="D110" s="11">
        <v>0.41243799999999997</v>
      </c>
    </row>
  </sheetData>
  <mergeCells count="4">
    <mergeCell ref="C7:D7"/>
    <mergeCell ref="F7:G7"/>
    <mergeCell ref="I7:M7"/>
    <mergeCell ref="L9:M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="80" zoomScaleNormal="80" workbookViewId="0"/>
  </sheetViews>
  <sheetFormatPr defaultRowHeight="12.75" x14ac:dyDescent="0.2"/>
  <cols>
    <col min="1" max="1" width="15.85546875" customWidth="1"/>
    <col min="2" max="2" width="10.85546875" customWidth="1"/>
    <col min="7" max="7" width="15.42578125" customWidth="1"/>
    <col min="8" max="8" width="17.5703125" customWidth="1"/>
    <col min="9" max="9" width="16.85546875" customWidth="1"/>
    <col min="10" max="10" width="9.140625" bestFit="1" customWidth="1"/>
    <col min="13" max="13" width="17.42578125" customWidth="1"/>
    <col min="15" max="15" width="10.85546875" customWidth="1"/>
    <col min="16" max="16" width="19.85546875" customWidth="1"/>
    <col min="18" max="18" width="26.42578125" customWidth="1"/>
    <col min="19" max="19" width="9.5703125" customWidth="1"/>
  </cols>
  <sheetData>
    <row r="1" spans="1:17" x14ac:dyDescent="0.2">
      <c r="G1" t="s">
        <v>52</v>
      </c>
      <c r="H1">
        <v>3000</v>
      </c>
      <c r="I1" t="s">
        <v>53</v>
      </c>
      <c r="J1">
        <v>20</v>
      </c>
    </row>
    <row r="2" spans="1:17" x14ac:dyDescent="0.2">
      <c r="G2" t="s">
        <v>54</v>
      </c>
      <c r="H2">
        <v>100000</v>
      </c>
      <c r="I2" t="s">
        <v>55</v>
      </c>
      <c r="J2">
        <v>30</v>
      </c>
    </row>
    <row r="4" spans="1:17" s="65" customFormat="1" ht="14.25" x14ac:dyDescent="0.2">
      <c r="A4" s="27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</row>
    <row r="7" spans="1:17" s="66" customFormat="1" ht="45" customHeight="1" x14ac:dyDescent="0.2">
      <c r="A7" s="24" t="s">
        <v>6</v>
      </c>
      <c r="B7" s="24" t="s">
        <v>56</v>
      </c>
      <c r="D7" s="24" t="s">
        <v>57</v>
      </c>
      <c r="E7" s="24" t="s">
        <v>6</v>
      </c>
      <c r="F7" s="24" t="s">
        <v>4</v>
      </c>
      <c r="G7" s="24" t="s">
        <v>58</v>
      </c>
      <c r="H7" s="24" t="s">
        <v>59</v>
      </c>
      <c r="I7" s="24" t="s">
        <v>60</v>
      </c>
      <c r="J7" s="24" t="s">
        <v>61</v>
      </c>
      <c r="K7" s="24" t="s">
        <v>62</v>
      </c>
      <c r="L7" s="24" t="s">
        <v>63</v>
      </c>
      <c r="M7" s="24" t="s">
        <v>64</v>
      </c>
      <c r="N7" s="24" t="s">
        <v>65</v>
      </c>
      <c r="O7" s="24" t="s">
        <v>66</v>
      </c>
      <c r="P7" s="24" t="s">
        <v>67</v>
      </c>
    </row>
    <row r="8" spans="1:17" x14ac:dyDescent="0.2">
      <c r="A8">
        <v>2002</v>
      </c>
      <c r="B8" s="60">
        <f>('Q.2-Data'!G11/'Q.2-Data'!G10)-1</f>
        <v>0.15629999999999988</v>
      </c>
      <c r="D8">
        <v>1</v>
      </c>
      <c r="E8">
        <v>2002</v>
      </c>
      <c r="F8" s="67">
        <f>J2</f>
        <v>30</v>
      </c>
      <c r="G8" s="75">
        <f>H2</f>
        <v>100000</v>
      </c>
      <c r="H8" s="68">
        <f>VLOOKUP(F8,'Q.2-Data'!$C$9:$D$110,2,0)</f>
        <v>8.0400000000000003E-4</v>
      </c>
      <c r="I8" s="67">
        <v>0</v>
      </c>
      <c r="J8" s="75">
        <f>H1</f>
        <v>3000</v>
      </c>
      <c r="K8" s="73">
        <v>-45</v>
      </c>
      <c r="L8" s="73">
        <v>0</v>
      </c>
      <c r="M8" s="76">
        <f t="shared" ref="M8:M27" si="0">SUM(I8:L8)*(1+B8)</f>
        <v>3416.8664999999996</v>
      </c>
      <c r="N8" s="76">
        <f t="shared" ref="N8:N27" si="1">-G8*H8</f>
        <v>-80.400000000000006</v>
      </c>
      <c r="O8" s="76">
        <f>M8+N8</f>
        <v>3336.4664999999995</v>
      </c>
      <c r="P8" s="76">
        <f t="shared" ref="P8:P26" si="2">O8/(1-H8)</f>
        <v>3339.151177546747</v>
      </c>
      <c r="Q8" s="81"/>
    </row>
    <row r="9" spans="1:17" x14ac:dyDescent="0.2">
      <c r="A9">
        <f>A8+1</f>
        <v>2003</v>
      </c>
      <c r="B9" s="60">
        <f>('Q.2-Data'!G12/'Q.2-Data'!G11)-1</f>
        <v>-8.599999999999941E-3</v>
      </c>
      <c r="D9">
        <v>2</v>
      </c>
      <c r="E9">
        <f>E8+1</f>
        <v>2003</v>
      </c>
      <c r="F9">
        <f>F8+1</f>
        <v>31</v>
      </c>
      <c r="G9" s="76">
        <f>G8</f>
        <v>100000</v>
      </c>
      <c r="H9" s="68">
        <f>VLOOKUP(F9,'Q.2-Data'!$C$9:$D$110,2,0)</f>
        <v>6.2100000000000002E-4</v>
      </c>
      <c r="I9" s="76">
        <f>P8</f>
        <v>3339.151177546747</v>
      </c>
      <c r="J9" s="76">
        <f>J8</f>
        <v>3000</v>
      </c>
      <c r="K9" s="74">
        <v>0</v>
      </c>
      <c r="L9" s="74">
        <f>-VLOOKUP(E9,'[1]Q1 data'!$L$10:$M$29,2,0)</f>
        <v>-8.89</v>
      </c>
      <c r="M9" s="76">
        <f t="shared" si="0"/>
        <v>6275.8209314198448</v>
      </c>
      <c r="N9" s="76">
        <f t="shared" si="1"/>
        <v>-62.1</v>
      </c>
      <c r="O9" s="76">
        <f t="shared" ref="O9:O27" si="3">M9+N9</f>
        <v>6213.7209314198444</v>
      </c>
      <c r="P9" s="76">
        <f t="shared" si="2"/>
        <v>6217.5820498728153</v>
      </c>
      <c r="Q9" s="81"/>
    </row>
    <row r="10" spans="1:17" x14ac:dyDescent="0.2">
      <c r="A10">
        <f t="shared" ref="A10:A27" si="4">A9+1</f>
        <v>2004</v>
      </c>
      <c r="B10" s="60">
        <f>('Q.2-Data'!G13/'Q.2-Data'!G12)-1</f>
        <v>-6.4899999999999958E-2</v>
      </c>
      <c r="D10">
        <v>3</v>
      </c>
      <c r="E10">
        <f t="shared" ref="E10:F25" si="5">E9+1</f>
        <v>2004</v>
      </c>
      <c r="F10">
        <f t="shared" si="5"/>
        <v>32</v>
      </c>
      <c r="G10" s="76">
        <f t="shared" ref="G10:G27" si="6">G9</f>
        <v>100000</v>
      </c>
      <c r="H10" s="68">
        <f>VLOOKUP(F10,'Q.2-Data'!$C$9:$D$110,2,0)</f>
        <v>8.4900000000000004E-4</v>
      </c>
      <c r="I10" s="76">
        <f t="shared" ref="I10:I27" si="7">P9</f>
        <v>6217.5820498728153</v>
      </c>
      <c r="J10" s="76">
        <f t="shared" ref="J10:J27" si="8">J9</f>
        <v>3000</v>
      </c>
      <c r="K10" s="74">
        <v>0</v>
      </c>
      <c r="L10" s="74">
        <f>-VLOOKUP(E10,'[1]Q1 data'!$L$10:$M$29,2,0)</f>
        <v>-12.13</v>
      </c>
      <c r="M10" s="76">
        <f t="shared" si="0"/>
        <v>8608.0182118360699</v>
      </c>
      <c r="N10" s="76">
        <f t="shared" si="1"/>
        <v>-84.9</v>
      </c>
      <c r="O10" s="76">
        <f t="shared" si="3"/>
        <v>8523.1182118360703</v>
      </c>
      <c r="P10" s="76">
        <f t="shared" si="2"/>
        <v>8530.3604878902897</v>
      </c>
    </row>
    <row r="11" spans="1:17" x14ac:dyDescent="0.2">
      <c r="A11">
        <f t="shared" si="4"/>
        <v>2005</v>
      </c>
      <c r="B11" s="60">
        <f>('Q.2-Data'!G14/'Q.2-Data'!G13)-1</f>
        <v>-0.13009999999999999</v>
      </c>
      <c r="D11">
        <v>4</v>
      </c>
      <c r="E11">
        <f t="shared" si="5"/>
        <v>2005</v>
      </c>
      <c r="F11">
        <f t="shared" si="5"/>
        <v>33</v>
      </c>
      <c r="G11" s="76">
        <f t="shared" si="6"/>
        <v>100000</v>
      </c>
      <c r="H11" s="68">
        <f>VLOOKUP(F11,'Q.2-Data'!$C$9:$D$110,2,0)</f>
        <v>6.8800000000000003E-4</v>
      </c>
      <c r="I11" s="76">
        <f t="shared" si="7"/>
        <v>8530.3604878902897</v>
      </c>
      <c r="J11" s="76">
        <f t="shared" si="8"/>
        <v>3000</v>
      </c>
      <c r="K11" s="74">
        <v>0</v>
      </c>
      <c r="L11" s="74">
        <f>-VLOOKUP(E11,'[1]Q1 data'!$L$10:$M$29,2,0)</f>
        <v>-12.89</v>
      </c>
      <c r="M11" s="76">
        <f t="shared" si="0"/>
        <v>10019.047577415764</v>
      </c>
      <c r="N11" s="76">
        <f t="shared" si="1"/>
        <v>-68.8</v>
      </c>
      <c r="O11" s="76">
        <f t="shared" si="3"/>
        <v>9950.2475774157647</v>
      </c>
      <c r="P11" s="76">
        <f t="shared" si="2"/>
        <v>9957.0980608816517</v>
      </c>
    </row>
    <row r="12" spans="1:17" x14ac:dyDescent="0.2">
      <c r="A12">
        <f t="shared" si="4"/>
        <v>2006</v>
      </c>
      <c r="B12" s="60">
        <f>('Q.2-Data'!G15/'Q.2-Data'!G14)-1</f>
        <v>0.125</v>
      </c>
      <c r="D12">
        <v>5</v>
      </c>
      <c r="E12">
        <f t="shared" si="5"/>
        <v>2006</v>
      </c>
      <c r="F12">
        <f t="shared" si="5"/>
        <v>34</v>
      </c>
      <c r="G12" s="76">
        <f t="shared" si="6"/>
        <v>100000</v>
      </c>
      <c r="H12" s="68">
        <f>VLOOKUP(F12,'Q.2-Data'!$C$9:$D$110,2,0)</f>
        <v>8.4000000000000003E-4</v>
      </c>
      <c r="I12" s="76">
        <f t="shared" si="7"/>
        <v>9957.0980608816517</v>
      </c>
      <c r="J12" s="76">
        <f t="shared" si="8"/>
        <v>3000</v>
      </c>
      <c r="K12" s="74">
        <v>0</v>
      </c>
      <c r="L12" s="74">
        <f>-VLOOKUP(E12,'[1]Q1 data'!$L$10:$M$29,2,0)</f>
        <v>-13.68</v>
      </c>
      <c r="M12" s="76">
        <f t="shared" si="0"/>
        <v>14561.345318491858</v>
      </c>
      <c r="N12" s="76">
        <f t="shared" si="1"/>
        <v>-84</v>
      </c>
      <c r="O12" s="76">
        <f t="shared" si="3"/>
        <v>14477.345318491858</v>
      </c>
      <c r="P12" s="76">
        <f t="shared" si="2"/>
        <v>14489.516512362241</v>
      </c>
    </row>
    <row r="13" spans="1:17" x14ac:dyDescent="0.2">
      <c r="A13">
        <f t="shared" si="4"/>
        <v>2007</v>
      </c>
      <c r="B13" s="60">
        <f>('Q.2-Data'!G16/'Q.2-Data'!G15)-1</f>
        <v>9.6700000000000008E-2</v>
      </c>
      <c r="D13">
        <v>6</v>
      </c>
      <c r="E13">
        <f t="shared" si="5"/>
        <v>2007</v>
      </c>
      <c r="F13">
        <f t="shared" si="5"/>
        <v>35</v>
      </c>
      <c r="G13" s="76">
        <f t="shared" si="6"/>
        <v>100000</v>
      </c>
      <c r="H13" s="68">
        <f>VLOOKUP(F13,'Q.2-Data'!$C$9:$D$110,2,0)</f>
        <v>9.0600000000000001E-4</v>
      </c>
      <c r="I13" s="76">
        <f t="shared" si="7"/>
        <v>14489.516512362241</v>
      </c>
      <c r="J13" s="76">
        <f t="shared" si="8"/>
        <v>3000</v>
      </c>
      <c r="K13" s="74">
        <v>0</v>
      </c>
      <c r="L13" s="74">
        <f>-VLOOKUP(E13,'[1]Q1 data'!$L$10:$M$29,2,0)</f>
        <v>-14.63</v>
      </c>
      <c r="M13" s="76">
        <f t="shared" si="0"/>
        <v>19164.70803810767</v>
      </c>
      <c r="N13" s="76">
        <f t="shared" si="1"/>
        <v>-90.6</v>
      </c>
      <c r="O13" s="76">
        <f t="shared" si="3"/>
        <v>19074.108038107672</v>
      </c>
      <c r="P13" s="76">
        <f t="shared" si="2"/>
        <v>19091.404850902589</v>
      </c>
    </row>
    <row r="14" spans="1:17" x14ac:dyDescent="0.2">
      <c r="A14">
        <f t="shared" si="4"/>
        <v>2008</v>
      </c>
      <c r="B14" s="60">
        <f>('Q.2-Data'!G17/'Q.2-Data'!G16)-1</f>
        <v>0.14999999999999991</v>
      </c>
      <c r="D14">
        <v>7</v>
      </c>
      <c r="E14">
        <f t="shared" si="5"/>
        <v>2008</v>
      </c>
      <c r="F14">
        <f t="shared" si="5"/>
        <v>36</v>
      </c>
      <c r="G14" s="76">
        <f t="shared" si="6"/>
        <v>100000</v>
      </c>
      <c r="H14" s="68">
        <f>VLOOKUP(F14,'Q.2-Data'!$C$9:$D$110,2,0)</f>
        <v>9.8700000000000003E-4</v>
      </c>
      <c r="I14" s="76">
        <f t="shared" si="7"/>
        <v>19091.404850902589</v>
      </c>
      <c r="J14" s="76">
        <f t="shared" si="8"/>
        <v>3000</v>
      </c>
      <c r="K14" s="74">
        <v>0</v>
      </c>
      <c r="L14" s="74">
        <f>-VLOOKUP(E14,'[1]Q1 data'!$L$10:$M$29,2,0)</f>
        <v>-14.63</v>
      </c>
      <c r="M14" s="76">
        <f t="shared" si="0"/>
        <v>25388.291078537975</v>
      </c>
      <c r="N14" s="76">
        <f t="shared" si="1"/>
        <v>-98.7</v>
      </c>
      <c r="O14" s="76">
        <f t="shared" si="3"/>
        <v>25289.591078537975</v>
      </c>
      <c r="P14" s="76">
        <f t="shared" si="2"/>
        <v>25314.576565608229</v>
      </c>
    </row>
    <row r="15" spans="1:17" x14ac:dyDescent="0.2">
      <c r="A15">
        <f t="shared" si="4"/>
        <v>2009</v>
      </c>
      <c r="B15" s="60">
        <f>('Q.2-Data'!G18/'Q.2-Data'!G17)-1</f>
        <v>0.1100000000000001</v>
      </c>
      <c r="D15">
        <v>8</v>
      </c>
      <c r="E15">
        <f t="shared" si="5"/>
        <v>2009</v>
      </c>
      <c r="F15">
        <f t="shared" si="5"/>
        <v>37</v>
      </c>
      <c r="G15" s="76">
        <f t="shared" si="6"/>
        <v>100000</v>
      </c>
      <c r="H15" s="68">
        <f>VLOOKUP(F15,'Q.2-Data'!$C$9:$D$110,2,0)</f>
        <v>1.0840000000000001E-3</v>
      </c>
      <c r="I15" s="76">
        <f t="shared" si="7"/>
        <v>25314.576565608229</v>
      </c>
      <c r="J15" s="76">
        <f t="shared" si="8"/>
        <v>3000</v>
      </c>
      <c r="K15" s="74">
        <v>0</v>
      </c>
      <c r="L15" s="74">
        <f>-VLOOKUP(E15,'[1]Q1 data'!$L$10:$M$29,2,0)</f>
        <v>-15.36</v>
      </c>
      <c r="M15" s="76">
        <f t="shared" si="0"/>
        <v>31412.130387825138</v>
      </c>
      <c r="N15" s="76">
        <f t="shared" si="1"/>
        <v>-108.4</v>
      </c>
      <c r="O15" s="76">
        <f t="shared" si="3"/>
        <v>31303.730387825137</v>
      </c>
      <c r="P15" s="76">
        <f t="shared" si="2"/>
        <v>31337.700455118484</v>
      </c>
    </row>
    <row r="16" spans="1:17" x14ac:dyDescent="0.2">
      <c r="A16">
        <f t="shared" si="4"/>
        <v>2010</v>
      </c>
      <c r="B16" s="60">
        <f>('Q.2-Data'!G19/'Q.2-Data'!G18)-1</f>
        <v>6.6699999999999982E-2</v>
      </c>
      <c r="D16">
        <v>9</v>
      </c>
      <c r="E16">
        <f t="shared" si="5"/>
        <v>2010</v>
      </c>
      <c r="F16">
        <f t="shared" si="5"/>
        <v>38</v>
      </c>
      <c r="G16" s="76">
        <f t="shared" si="6"/>
        <v>100000</v>
      </c>
      <c r="H16" s="68">
        <f>VLOOKUP(F16,'Q.2-Data'!$C$9:$D$110,2,0)</f>
        <v>1.1999999999999999E-3</v>
      </c>
      <c r="I16" s="76">
        <f t="shared" si="7"/>
        <v>31337.700455118484</v>
      </c>
      <c r="J16" s="76">
        <f t="shared" si="8"/>
        <v>3000</v>
      </c>
      <c r="K16" s="74">
        <v>0</v>
      </c>
      <c r="L16" s="74">
        <f>-VLOOKUP(E16,'[1]Q1 data'!$L$10:$M$29,2,0)</f>
        <v>-15.47</v>
      </c>
      <c r="M16" s="76">
        <f t="shared" si="0"/>
        <v>36611.523226474877</v>
      </c>
      <c r="N16" s="76">
        <f t="shared" si="1"/>
        <v>-119.99999999999999</v>
      </c>
      <c r="O16" s="76">
        <f t="shared" si="3"/>
        <v>36491.523226474877</v>
      </c>
      <c r="P16" s="76">
        <f t="shared" si="2"/>
        <v>36535.365665273202</v>
      </c>
    </row>
    <row r="17" spans="1:16" x14ac:dyDescent="0.2">
      <c r="A17">
        <f t="shared" si="4"/>
        <v>2011</v>
      </c>
      <c r="B17" s="60">
        <f>('Q.2-Data'!G20/'Q.2-Data'!G19)-1</f>
        <v>-0.12770000000000015</v>
      </c>
      <c r="D17">
        <v>10</v>
      </c>
      <c r="E17">
        <f t="shared" si="5"/>
        <v>2011</v>
      </c>
      <c r="F17">
        <f t="shared" si="5"/>
        <v>39</v>
      </c>
      <c r="G17" s="76">
        <f t="shared" si="6"/>
        <v>100000</v>
      </c>
      <c r="H17" s="68">
        <f>VLOOKUP(F17,'Q.2-Data'!$C$9:$D$110,2,0)</f>
        <v>1.335E-3</v>
      </c>
      <c r="I17" s="76">
        <f t="shared" si="7"/>
        <v>36535.365665273202</v>
      </c>
      <c r="J17" s="76">
        <f t="shared" si="8"/>
        <v>3000</v>
      </c>
      <c r="K17" s="74">
        <v>0</v>
      </c>
      <c r="L17" s="74">
        <f>-VLOOKUP(E17,'[1]Q1 data'!$L$10:$M$29,2,0)</f>
        <v>-19.7</v>
      </c>
      <c r="M17" s="76">
        <f t="shared" si="0"/>
        <v>34469.515159817813</v>
      </c>
      <c r="N17" s="76">
        <f t="shared" si="1"/>
        <v>-133.5</v>
      </c>
      <c r="O17" s="76">
        <f t="shared" si="3"/>
        <v>34336.015159817813</v>
      </c>
      <c r="P17" s="76">
        <f t="shared" si="2"/>
        <v>34381.915016364655</v>
      </c>
    </row>
    <row r="18" spans="1:16" x14ac:dyDescent="0.2">
      <c r="A18">
        <f t="shared" si="4"/>
        <v>2012</v>
      </c>
      <c r="B18" s="60">
        <f>('Q.2-Data'!G21/'Q.2-Data'!G20)-1</f>
        <v>0.14680000000000004</v>
      </c>
      <c r="D18">
        <v>11</v>
      </c>
      <c r="E18">
        <f t="shared" si="5"/>
        <v>2012</v>
      </c>
      <c r="F18">
        <f t="shared" si="5"/>
        <v>40</v>
      </c>
      <c r="G18" s="76">
        <f t="shared" si="6"/>
        <v>100000</v>
      </c>
      <c r="H18" s="68">
        <f>VLOOKUP(F18,'Q.2-Data'!$C$9:$D$110,2,0)</f>
        <v>1.493E-3</v>
      </c>
      <c r="I18" s="76">
        <f t="shared" si="7"/>
        <v>34381.915016364655</v>
      </c>
      <c r="J18" s="76">
        <f t="shared" si="8"/>
        <v>3000</v>
      </c>
      <c r="K18" s="74">
        <v>0</v>
      </c>
      <c r="L18" s="74">
        <f>-VLOOKUP(E18,'[1]Q1 data'!$L$10:$M$29,2,0)</f>
        <v>-12.1</v>
      </c>
      <c r="M18" s="76">
        <f t="shared" si="0"/>
        <v>42855.703860766989</v>
      </c>
      <c r="N18" s="76">
        <f t="shared" si="1"/>
        <v>-149.29999999999998</v>
      </c>
      <c r="O18" s="76">
        <f t="shared" si="3"/>
        <v>42706.403860766986</v>
      </c>
      <c r="P18" s="76">
        <f t="shared" si="2"/>
        <v>42770.259858736077</v>
      </c>
    </row>
    <row r="19" spans="1:16" x14ac:dyDescent="0.2">
      <c r="A19">
        <f t="shared" si="4"/>
        <v>2013</v>
      </c>
      <c r="B19" s="60">
        <f>('Q.2-Data'!G22/'Q.2-Data'!G21)-1</f>
        <v>0.12480000000000002</v>
      </c>
      <c r="D19">
        <v>12</v>
      </c>
      <c r="E19">
        <f t="shared" si="5"/>
        <v>2013</v>
      </c>
      <c r="F19">
        <f t="shared" si="5"/>
        <v>41</v>
      </c>
      <c r="G19" s="76">
        <f t="shared" si="6"/>
        <v>100000</v>
      </c>
      <c r="H19" s="68">
        <f>VLOOKUP(F19,'Q.2-Data'!$C$9:$D$110,2,0)</f>
        <v>1.6740000000000001E-3</v>
      </c>
      <c r="I19" s="76">
        <f t="shared" si="7"/>
        <v>42770.259858736077</v>
      </c>
      <c r="J19" s="76">
        <f t="shared" si="8"/>
        <v>3000</v>
      </c>
      <c r="K19" s="74">
        <v>0</v>
      </c>
      <c r="L19" s="74">
        <f>-VLOOKUP(E19,'[1]Q1 data'!$L$10:$M$29,2,0)</f>
        <v>-15.41</v>
      </c>
      <c r="M19" s="76">
        <f t="shared" si="0"/>
        <v>51465.055121106336</v>
      </c>
      <c r="N19" s="76">
        <f t="shared" si="1"/>
        <v>-167.4</v>
      </c>
      <c r="O19" s="76">
        <f t="shared" si="3"/>
        <v>51297.655121106334</v>
      </c>
      <c r="P19" s="76">
        <f t="shared" si="2"/>
        <v>51383.67138700818</v>
      </c>
    </row>
    <row r="20" spans="1:16" x14ac:dyDescent="0.2">
      <c r="A20">
        <f t="shared" si="4"/>
        <v>2014</v>
      </c>
      <c r="B20" s="60">
        <f>('Q.2-Data'!G23/'Q.2-Data'!G22)-1</f>
        <v>7.0100000000000051E-2</v>
      </c>
      <c r="D20">
        <v>13</v>
      </c>
      <c r="E20">
        <f t="shared" si="5"/>
        <v>2014</v>
      </c>
      <c r="F20">
        <f t="shared" si="5"/>
        <v>42</v>
      </c>
      <c r="G20" s="76">
        <f t="shared" si="6"/>
        <v>100000</v>
      </c>
      <c r="H20" s="68">
        <f>VLOOKUP(F20,'Q.2-Data'!$C$9:$D$110,2,0)</f>
        <v>1.8809999999999999E-3</v>
      </c>
      <c r="I20" s="76">
        <f t="shared" si="7"/>
        <v>51383.67138700818</v>
      </c>
      <c r="J20" s="76">
        <f t="shared" si="8"/>
        <v>3000</v>
      </c>
      <c r="K20" s="74">
        <v>0</v>
      </c>
      <c r="L20" s="74">
        <f>-VLOOKUP(E20,'[1]Q1 data'!$L$10:$M$29,2,0)</f>
        <v>-15.76</v>
      </c>
      <c r="M20" s="76">
        <f t="shared" si="0"/>
        <v>58179.101975237456</v>
      </c>
      <c r="N20" s="76">
        <f t="shared" si="1"/>
        <v>-188.1</v>
      </c>
      <c r="O20" s="76">
        <f t="shared" si="3"/>
        <v>57991.001975237457</v>
      </c>
      <c r="P20" s="76">
        <f t="shared" si="2"/>
        <v>58100.288618128157</v>
      </c>
    </row>
    <row r="21" spans="1:16" x14ac:dyDescent="0.2">
      <c r="A21">
        <f t="shared" si="4"/>
        <v>2015</v>
      </c>
      <c r="B21" s="60">
        <f>('Q.2-Data'!G24/'Q.2-Data'!G23)-1</f>
        <v>8.5499999999999909E-2</v>
      </c>
      <c r="D21">
        <v>14</v>
      </c>
      <c r="E21">
        <f t="shared" si="5"/>
        <v>2015</v>
      </c>
      <c r="F21">
        <f t="shared" si="5"/>
        <v>43</v>
      </c>
      <c r="G21" s="76">
        <f t="shared" si="6"/>
        <v>100000</v>
      </c>
      <c r="H21" s="68">
        <f>VLOOKUP(F21,'Q.2-Data'!$C$9:$D$110,2,0)</f>
        <v>2.1179999999999997E-3</v>
      </c>
      <c r="I21" s="76">
        <f t="shared" si="7"/>
        <v>58100.288618128157</v>
      </c>
      <c r="J21" s="76">
        <f t="shared" si="8"/>
        <v>3000</v>
      </c>
      <c r="K21" s="74">
        <v>0</v>
      </c>
      <c r="L21" s="74">
        <f>-VLOOKUP(E21,'[1]Q1 data'!$L$10:$M$29,2,0)</f>
        <v>-15.7</v>
      </c>
      <c r="M21" s="76">
        <f t="shared" si="0"/>
        <v>66307.320944978113</v>
      </c>
      <c r="N21" s="76">
        <f t="shared" si="1"/>
        <v>-211.79999999999995</v>
      </c>
      <c r="O21" s="76">
        <f t="shared" si="3"/>
        <v>66095.52094497811</v>
      </c>
      <c r="P21" s="76">
        <f t="shared" si="2"/>
        <v>66235.808387142068</v>
      </c>
    </row>
    <row r="22" spans="1:16" x14ac:dyDescent="0.2">
      <c r="A22">
        <f t="shared" si="4"/>
        <v>2016</v>
      </c>
      <c r="B22" s="60">
        <f>('Q.2-Data'!G25/'Q.2-Data'!G24)-1</f>
        <v>9.8799999999999999E-2</v>
      </c>
      <c r="D22">
        <v>15</v>
      </c>
      <c r="E22">
        <f t="shared" si="5"/>
        <v>2016</v>
      </c>
      <c r="F22">
        <f t="shared" si="5"/>
        <v>44</v>
      </c>
      <c r="G22" s="76">
        <f t="shared" si="6"/>
        <v>100000</v>
      </c>
      <c r="H22" s="68">
        <f>VLOOKUP(F22,'Q.2-Data'!$C$9:$D$110,2,0)</f>
        <v>2.385E-3</v>
      </c>
      <c r="I22" s="76">
        <f t="shared" si="7"/>
        <v>66235.808387142068</v>
      </c>
      <c r="J22" s="76">
        <f t="shared" si="8"/>
        <v>3000</v>
      </c>
      <c r="K22" s="74">
        <v>0</v>
      </c>
      <c r="L22" s="74">
        <f>-VLOOKUP(E22,'[1]Q1 data'!$L$10:$M$29,2,0)</f>
        <v>-16.440000000000001</v>
      </c>
      <c r="M22" s="76">
        <f t="shared" si="0"/>
        <v>76058.241983791697</v>
      </c>
      <c r="N22" s="76">
        <f t="shared" si="1"/>
        <v>-238.5</v>
      </c>
      <c r="O22" s="76">
        <f t="shared" si="3"/>
        <v>75819.741983791697</v>
      </c>
      <c r="P22" s="76">
        <f t="shared" si="2"/>
        <v>76001.004379236168</v>
      </c>
    </row>
    <row r="23" spans="1:16" x14ac:dyDescent="0.2">
      <c r="A23">
        <f t="shared" si="4"/>
        <v>2017</v>
      </c>
      <c r="B23" s="60">
        <f>('Q.2-Data'!G26/'Q.2-Data'!G25)-1</f>
        <v>0.10159999999999991</v>
      </c>
      <c r="D23">
        <v>16</v>
      </c>
      <c r="E23">
        <f t="shared" si="5"/>
        <v>2017</v>
      </c>
      <c r="F23">
        <f t="shared" si="5"/>
        <v>45</v>
      </c>
      <c r="G23" s="76">
        <f t="shared" si="6"/>
        <v>100000</v>
      </c>
      <c r="H23" s="68">
        <f>VLOOKUP(F23,'Q.2-Data'!$C$9:$D$110,2,0)</f>
        <v>2.6869999999999997E-3</v>
      </c>
      <c r="I23" s="76">
        <f t="shared" si="7"/>
        <v>76001.004379236168</v>
      </c>
      <c r="J23" s="76">
        <f t="shared" si="8"/>
        <v>3000</v>
      </c>
      <c r="K23" s="74">
        <v>0</v>
      </c>
      <c r="L23" s="74">
        <f>-VLOOKUP(E23,'[1]Q1 data'!$L$10:$M$29,2,0)</f>
        <v>-16.690000000000001</v>
      </c>
      <c r="M23" s="76">
        <f t="shared" si="0"/>
        <v>87009.120720166553</v>
      </c>
      <c r="N23" s="76">
        <f t="shared" si="1"/>
        <v>-268.7</v>
      </c>
      <c r="O23" s="76">
        <f t="shared" si="3"/>
        <v>86740.420720166556</v>
      </c>
      <c r="P23" s="76">
        <f t="shared" si="2"/>
        <v>86974.120181093152</v>
      </c>
    </row>
    <row r="24" spans="1:16" x14ac:dyDescent="0.2">
      <c r="A24">
        <f t="shared" si="4"/>
        <v>2018</v>
      </c>
      <c r="B24" s="60">
        <f>('Q.2-Data'!G27/'Q.2-Data'!G26)-1</f>
        <v>2.9300000000000104E-2</v>
      </c>
      <c r="D24">
        <v>17</v>
      </c>
      <c r="E24">
        <f t="shared" si="5"/>
        <v>2018</v>
      </c>
      <c r="F24">
        <f t="shared" si="5"/>
        <v>46</v>
      </c>
      <c r="G24" s="76">
        <f t="shared" si="6"/>
        <v>100000</v>
      </c>
      <c r="H24" s="68">
        <f>VLOOKUP(F24,'Q.2-Data'!$C$9:$D$110,2,0)</f>
        <v>3.0270000000000002E-3</v>
      </c>
      <c r="I24" s="76">
        <f t="shared" si="7"/>
        <v>86974.120181093152</v>
      </c>
      <c r="J24" s="76">
        <f t="shared" si="8"/>
        <v>3000</v>
      </c>
      <c r="K24" s="74">
        <v>0</v>
      </c>
      <c r="L24" s="74">
        <f>-VLOOKUP(E24,'[1]Q1 data'!$L$10:$M$29,2,0)</f>
        <v>-18.190000000000001</v>
      </c>
      <c r="M24" s="76">
        <f t="shared" si="0"/>
        <v>92591.638935399184</v>
      </c>
      <c r="N24" s="76">
        <f t="shared" si="1"/>
        <v>-302.70000000000005</v>
      </c>
      <c r="O24" s="76">
        <f t="shared" si="3"/>
        <v>92288.938935399186</v>
      </c>
      <c r="P24" s="76">
        <f t="shared" si="2"/>
        <v>92569.145739552812</v>
      </c>
    </row>
    <row r="25" spans="1:16" x14ac:dyDescent="0.2">
      <c r="A25">
        <f t="shared" si="4"/>
        <v>2019</v>
      </c>
      <c r="B25" s="60">
        <f>('Q.2-Data'!G28/'Q.2-Data'!G27)-1</f>
        <v>0.11149999999999993</v>
      </c>
      <c r="D25">
        <v>18</v>
      </c>
      <c r="E25">
        <f t="shared" si="5"/>
        <v>2019</v>
      </c>
      <c r="F25">
        <f t="shared" si="5"/>
        <v>47</v>
      </c>
      <c r="G25" s="76">
        <f t="shared" si="6"/>
        <v>100000</v>
      </c>
      <c r="H25" s="68">
        <f>VLOOKUP(F25,'Q.2-Data'!$C$9:$D$110,2,0)</f>
        <v>3.4079999999999996E-3</v>
      </c>
      <c r="I25" s="76">
        <f t="shared" si="7"/>
        <v>92569.145739552812</v>
      </c>
      <c r="J25" s="76">
        <f t="shared" si="8"/>
        <v>3000</v>
      </c>
      <c r="K25" s="74">
        <v>0</v>
      </c>
      <c r="L25" s="74">
        <f>-VLOOKUP(E25,'[1]Q1 data'!$L$10:$M$29,2,0)</f>
        <v>-18.989999999999998</v>
      </c>
      <c r="M25" s="76">
        <f t="shared" si="0"/>
        <v>106203.99810451294</v>
      </c>
      <c r="N25" s="76">
        <f t="shared" si="1"/>
        <v>-340.79999999999995</v>
      </c>
      <c r="O25" s="76">
        <f t="shared" si="3"/>
        <v>105863.19810451294</v>
      </c>
      <c r="P25" s="76">
        <f t="shared" si="2"/>
        <v>106225.21363257273</v>
      </c>
    </row>
    <row r="26" spans="1:16" x14ac:dyDescent="0.2">
      <c r="A26">
        <f t="shared" si="4"/>
        <v>2020</v>
      </c>
      <c r="B26" s="60">
        <f>('Q.2-Data'!G29/'Q.2-Data'!G28)-1</f>
        <v>4.6699999999999964E-2</v>
      </c>
      <c r="D26">
        <v>19</v>
      </c>
      <c r="E26">
        <f t="shared" ref="E26:F27" si="9">E25+1</f>
        <v>2020</v>
      </c>
      <c r="F26">
        <f t="shared" si="9"/>
        <v>48</v>
      </c>
      <c r="G26" s="76">
        <f t="shared" si="6"/>
        <v>100000</v>
      </c>
      <c r="H26" s="68">
        <f>VLOOKUP(F26,'Q.2-Data'!$C$9:$D$110,2,0)</f>
        <v>3.8340000000000002E-3</v>
      </c>
      <c r="I26" s="76">
        <f t="shared" si="7"/>
        <v>106225.21363257273</v>
      </c>
      <c r="J26" s="76">
        <f t="shared" si="8"/>
        <v>3000</v>
      </c>
      <c r="K26" s="74">
        <v>0</v>
      </c>
      <c r="L26" s="74">
        <f>-VLOOKUP(E26,'[1]Q1 data'!$L$10:$M$29,2,0)</f>
        <v>-18.510000000000002</v>
      </c>
      <c r="M26" s="76">
        <f t="shared" si="0"/>
        <v>114306.65669221389</v>
      </c>
      <c r="N26" s="76">
        <f t="shared" si="1"/>
        <v>-383.40000000000003</v>
      </c>
      <c r="O26" s="76">
        <f t="shared" si="3"/>
        <v>113923.25669221389</v>
      </c>
      <c r="P26" s="76">
        <f t="shared" si="2"/>
        <v>114361.71952487226</v>
      </c>
    </row>
    <row r="27" spans="1:16" x14ac:dyDescent="0.2">
      <c r="A27">
        <f t="shared" si="4"/>
        <v>2021</v>
      </c>
      <c r="B27" s="60">
        <f>('Q.2-Data'!G30/'Q.2-Data'!G29)-1</f>
        <v>-4.1494741897381338E-2</v>
      </c>
      <c r="D27">
        <v>20</v>
      </c>
      <c r="E27">
        <f t="shared" si="9"/>
        <v>2021</v>
      </c>
      <c r="F27">
        <f t="shared" si="9"/>
        <v>49</v>
      </c>
      <c r="G27" s="76">
        <f t="shared" si="6"/>
        <v>100000</v>
      </c>
      <c r="H27" s="68">
        <f>VLOOKUP(F27,'Q.2-Data'!$C$9:$D$110,2,0)</f>
        <v>4.3090000000000003E-3</v>
      </c>
      <c r="I27" s="76">
        <f t="shared" si="7"/>
        <v>114361.71952487226</v>
      </c>
      <c r="J27" s="76">
        <f t="shared" si="8"/>
        <v>3000</v>
      </c>
      <c r="K27" s="74">
        <v>0</v>
      </c>
      <c r="L27" s="74">
        <f>-VLOOKUP(E27,'[1]Q1 data'!$L$10:$M$29,2,0)</f>
        <v>-19.149999999999999</v>
      </c>
      <c r="M27" s="76">
        <f t="shared" si="0"/>
        <v>112473.46988886216</v>
      </c>
      <c r="N27" s="76">
        <f t="shared" si="1"/>
        <v>-430.90000000000003</v>
      </c>
      <c r="O27" s="76">
        <f t="shared" si="3"/>
        <v>112042.56988886217</v>
      </c>
      <c r="P27" s="76">
        <f>O27/(1-H27)</f>
        <v>112527.45067381565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9"/>
  <sheetViews>
    <sheetView workbookViewId="0"/>
  </sheetViews>
  <sheetFormatPr defaultRowHeight="12.75" x14ac:dyDescent="0.2"/>
  <cols>
    <col min="3" max="3" width="25.7109375" bestFit="1" customWidth="1"/>
    <col min="4" max="4" width="11.85546875" customWidth="1"/>
    <col min="5" max="5" width="11.42578125" customWidth="1"/>
  </cols>
  <sheetData>
    <row r="4" spans="3:6" x14ac:dyDescent="0.2">
      <c r="E4" s="80"/>
    </row>
    <row r="5" spans="3:6" x14ac:dyDescent="0.2">
      <c r="C5" t="s">
        <v>68</v>
      </c>
      <c r="D5" s="77">
        <f>'Q.2 (i)'!P27</f>
        <v>112527.45067381565</v>
      </c>
      <c r="E5" s="79"/>
      <c r="F5" s="81"/>
    </row>
    <row r="6" spans="3:6" x14ac:dyDescent="0.2">
      <c r="E6" s="79"/>
    </row>
    <row r="7" spans="3:6" x14ac:dyDescent="0.2">
      <c r="C7" t="s">
        <v>58</v>
      </c>
      <c r="D7">
        <f>'Q.2 (i)'!H2</f>
        <v>100000</v>
      </c>
      <c r="E7" s="79"/>
    </row>
    <row r="8" spans="3:6" x14ac:dyDescent="0.2">
      <c r="C8" t="s">
        <v>69</v>
      </c>
      <c r="D8" s="69">
        <f>95%*D5-D7</f>
        <v>6901.0781401248678</v>
      </c>
      <c r="E8" s="79"/>
      <c r="F8" s="81"/>
    </row>
    <row r="9" spans="3:6" x14ac:dyDescent="0.2">
      <c r="C9" t="s">
        <v>70</v>
      </c>
      <c r="D9" s="60">
        <f>D8/D7</f>
        <v>6.901078140124868E-2</v>
      </c>
      <c r="E9" s="79"/>
      <c r="F9" s="8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="80" zoomScaleNormal="80" workbookViewId="0"/>
  </sheetViews>
  <sheetFormatPr defaultColWidth="8.7109375" defaultRowHeight="12.75" x14ac:dyDescent="0.2"/>
  <cols>
    <col min="1" max="1" width="15.85546875" style="1" customWidth="1"/>
    <col min="2" max="2" width="10.85546875" style="1" customWidth="1"/>
    <col min="3" max="6" width="8.7109375" style="1"/>
    <col min="7" max="7" width="15.42578125" style="1" customWidth="1"/>
    <col min="8" max="8" width="17.5703125" style="1" customWidth="1"/>
    <col min="9" max="9" width="16.85546875" style="1" customWidth="1"/>
    <col min="10" max="10" width="9.140625" style="1" bestFit="1" customWidth="1"/>
    <col min="11" max="12" width="8.7109375" style="1"/>
    <col min="13" max="13" width="17.42578125" style="1" customWidth="1"/>
    <col min="14" max="14" width="8.7109375" style="1"/>
    <col min="15" max="15" width="10.85546875" style="1" customWidth="1"/>
    <col min="16" max="16" width="19.85546875" style="1" customWidth="1"/>
    <col min="17" max="17" width="8.7109375" style="1"/>
    <col min="18" max="18" width="26.42578125" style="1" customWidth="1"/>
    <col min="19" max="19" width="9.5703125" style="1" customWidth="1"/>
    <col min="20" max="16384" width="8.7109375" style="1"/>
  </cols>
  <sheetData>
    <row r="1" spans="1:21" x14ac:dyDescent="0.2">
      <c r="G1" s="1" t="s">
        <v>52</v>
      </c>
      <c r="H1" s="75">
        <v>3215.4829735729081</v>
      </c>
      <c r="I1" s="1" t="s">
        <v>53</v>
      </c>
      <c r="J1" s="1">
        <v>20</v>
      </c>
    </row>
    <row r="2" spans="1:21" x14ac:dyDescent="0.2">
      <c r="G2" s="1" t="s">
        <v>54</v>
      </c>
      <c r="H2" s="1">
        <v>100000</v>
      </c>
      <c r="I2" s="1" t="s">
        <v>55</v>
      </c>
      <c r="J2" s="1">
        <v>30</v>
      </c>
    </row>
    <row r="4" spans="1:21" s="65" customFormat="1" ht="14.25" x14ac:dyDescent="0.2">
      <c r="A4" s="27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</row>
    <row r="7" spans="1:21" s="66" customFormat="1" ht="45" customHeight="1" x14ac:dyDescent="0.2">
      <c r="A7" s="24" t="s">
        <v>6</v>
      </c>
      <c r="B7" s="24" t="s">
        <v>56</v>
      </c>
      <c r="D7" s="24" t="s">
        <v>57</v>
      </c>
      <c r="E7" s="24" t="s">
        <v>6</v>
      </c>
      <c r="F7" s="24" t="s">
        <v>4</v>
      </c>
      <c r="G7" s="24" t="s">
        <v>58</v>
      </c>
      <c r="H7" s="24" t="s">
        <v>59</v>
      </c>
      <c r="I7" s="24" t="s">
        <v>60</v>
      </c>
      <c r="J7" s="24" t="s">
        <v>61</v>
      </c>
      <c r="K7" s="24" t="s">
        <v>62</v>
      </c>
      <c r="L7" s="24" t="s">
        <v>63</v>
      </c>
      <c r="M7" s="24" t="s">
        <v>64</v>
      </c>
      <c r="N7" s="24" t="s">
        <v>65</v>
      </c>
      <c r="O7" s="24" t="s">
        <v>66</v>
      </c>
      <c r="P7" s="24" t="s">
        <v>67</v>
      </c>
    </row>
    <row r="8" spans="1:21" x14ac:dyDescent="0.2">
      <c r="A8" s="1">
        <v>2002</v>
      </c>
      <c r="B8" s="60">
        <f>('Q.2-Data'!G11/'Q.2-Data'!G10)-1</f>
        <v>0.15629999999999988</v>
      </c>
      <c r="D8" s="1">
        <v>1</v>
      </c>
      <c r="E8" s="1">
        <v>2002</v>
      </c>
      <c r="F8" s="67">
        <f>J2</f>
        <v>30</v>
      </c>
      <c r="G8" s="85">
        <f>H2</f>
        <v>100000</v>
      </c>
      <c r="H8" s="86">
        <f>VLOOKUP(F8,'Q.2-Data'!$C$9:$D$110,2,0)</f>
        <v>8.0400000000000003E-4</v>
      </c>
      <c r="I8" s="78">
        <v>0</v>
      </c>
      <c r="J8" s="75">
        <f>H1</f>
        <v>3215.4829735729081</v>
      </c>
      <c r="K8" s="87">
        <v>-45</v>
      </c>
      <c r="L8" s="87">
        <v>0</v>
      </c>
      <c r="M8" s="76">
        <f t="shared" ref="M8:M27" si="0">SUM(I8:L8)*(1+B8)</f>
        <v>3666.0294623423533</v>
      </c>
      <c r="N8" s="76">
        <f t="shared" ref="N8:N27" si="1">-G8*H8</f>
        <v>-80.400000000000006</v>
      </c>
      <c r="O8" s="76">
        <f>M8+N8</f>
        <v>3585.6294623423532</v>
      </c>
      <c r="P8" s="76">
        <f t="shared" ref="P8:P26" si="2">O8/(1-H8)</f>
        <v>3588.5146281033485</v>
      </c>
      <c r="Q8" s="81"/>
      <c r="T8" s="84"/>
    </row>
    <row r="9" spans="1:21" x14ac:dyDescent="0.2">
      <c r="A9" s="1">
        <f>A8+1</f>
        <v>2003</v>
      </c>
      <c r="B9" s="60">
        <f>('Q.2-Data'!G12/'Q.2-Data'!G11)-1</f>
        <v>-8.599999999999941E-3</v>
      </c>
      <c r="D9" s="1">
        <v>2</v>
      </c>
      <c r="E9" s="1">
        <f>E8+1</f>
        <v>2003</v>
      </c>
      <c r="F9" s="1">
        <f>F8+1</f>
        <v>31</v>
      </c>
      <c r="G9" s="76">
        <f>G8</f>
        <v>100000</v>
      </c>
      <c r="H9" s="68">
        <f>VLOOKUP(F9,'Q.2-Data'!$C$9:$D$110,2,0)</f>
        <v>6.2100000000000002E-4</v>
      </c>
      <c r="I9" s="76">
        <f>P8</f>
        <v>3588.5146281033485</v>
      </c>
      <c r="J9" s="76">
        <f>J8</f>
        <v>3215.4829735729081</v>
      </c>
      <c r="K9" s="74">
        <v>0</v>
      </c>
      <c r="L9" s="74">
        <f>-VLOOKUP(E9,'[1]Q1 data'!$L$10:$M$29,2,0)</f>
        <v>-8.89</v>
      </c>
      <c r="M9" s="76">
        <f t="shared" si="0"/>
        <v>6736.6696763018408</v>
      </c>
      <c r="N9" s="76">
        <f t="shared" si="1"/>
        <v>-62.1</v>
      </c>
      <c r="O9" s="76">
        <f t="shared" ref="O9:O27" si="3">M9+N9</f>
        <v>6674.5696763018404</v>
      </c>
      <c r="P9" s="76">
        <f t="shared" si="2"/>
        <v>6678.7171596579883</v>
      </c>
      <c r="Q9" s="81"/>
      <c r="T9" s="81"/>
      <c r="U9" s="81"/>
    </row>
    <row r="10" spans="1:21" x14ac:dyDescent="0.2">
      <c r="A10" s="1">
        <f t="shared" ref="A10:A27" si="4">A9+1</f>
        <v>2004</v>
      </c>
      <c r="B10" s="60">
        <f>('Q.2-Data'!G13/'Q.2-Data'!G12)-1</f>
        <v>-6.4899999999999958E-2</v>
      </c>
      <c r="D10" s="1">
        <v>3</v>
      </c>
      <c r="E10" s="1">
        <f t="shared" ref="E10:F25" si="5">E9+1</f>
        <v>2004</v>
      </c>
      <c r="F10" s="1">
        <f t="shared" si="5"/>
        <v>32</v>
      </c>
      <c r="G10" s="76">
        <f t="shared" ref="G10:G27" si="6">G9</f>
        <v>100000</v>
      </c>
      <c r="H10" s="68">
        <f>VLOOKUP(F10,'Q.2-Data'!$C$9:$D$110,2,0)</f>
        <v>8.4900000000000004E-4</v>
      </c>
      <c r="I10" s="76">
        <f t="shared" ref="I10:I27" si="7">P9</f>
        <v>6678.7171596579883</v>
      </c>
      <c r="J10" s="76">
        <f t="shared" ref="J10:J27" si="8">J9</f>
        <v>3215.4829735729081</v>
      </c>
      <c r="K10" s="74">
        <v>0</v>
      </c>
      <c r="L10" s="74">
        <f>-VLOOKUP(E10,'[1]Q1 data'!$L$10:$M$29,2,0)</f>
        <v>-12.13</v>
      </c>
      <c r="M10" s="76">
        <f t="shared" si="0"/>
        <v>9240.7237815842127</v>
      </c>
      <c r="N10" s="76">
        <f t="shared" si="1"/>
        <v>-84.9</v>
      </c>
      <c r="O10" s="76">
        <f t="shared" si="3"/>
        <v>9155.8237815842131</v>
      </c>
      <c r="P10" s="76">
        <f t="shared" si="2"/>
        <v>9163.6036811094746</v>
      </c>
      <c r="T10" s="81"/>
    </row>
    <row r="11" spans="1:21" x14ac:dyDescent="0.2">
      <c r="A11" s="1">
        <f t="shared" si="4"/>
        <v>2005</v>
      </c>
      <c r="B11" s="60">
        <f>('Q.2-Data'!G14/'Q.2-Data'!G13)-1</f>
        <v>-0.13009999999999999</v>
      </c>
      <c r="D11" s="1">
        <v>4</v>
      </c>
      <c r="E11" s="1">
        <f t="shared" si="5"/>
        <v>2005</v>
      </c>
      <c r="F11" s="1">
        <f t="shared" si="5"/>
        <v>33</v>
      </c>
      <c r="G11" s="76">
        <f t="shared" si="6"/>
        <v>100000</v>
      </c>
      <c r="H11" s="68">
        <f>VLOOKUP(F11,'Q.2-Data'!$C$9:$D$110,2,0)</f>
        <v>6.8800000000000003E-4</v>
      </c>
      <c r="I11" s="76">
        <f t="shared" si="7"/>
        <v>9163.6036811094746</v>
      </c>
      <c r="J11" s="76">
        <f t="shared" si="8"/>
        <v>3215.4829735729081</v>
      </c>
      <c r="K11" s="74">
        <v>0</v>
      </c>
      <c r="L11" s="74">
        <f>-VLOOKUP(E11,'[1]Q1 data'!$L$10:$M$29,2,0)</f>
        <v>-12.89</v>
      </c>
      <c r="M11" s="76">
        <f t="shared" si="0"/>
        <v>10757.354469908205</v>
      </c>
      <c r="N11" s="76">
        <f t="shared" si="1"/>
        <v>-68.8</v>
      </c>
      <c r="O11" s="76">
        <f t="shared" si="3"/>
        <v>10688.554469908206</v>
      </c>
      <c r="P11" s="76">
        <f t="shared" si="2"/>
        <v>10695.913258229868</v>
      </c>
      <c r="R11" s="1" t="s">
        <v>68</v>
      </c>
      <c r="S11" s="77">
        <f>P27</f>
        <v>121052.631578947</v>
      </c>
      <c r="T11" s="81"/>
    </row>
    <row r="12" spans="1:21" x14ac:dyDescent="0.2">
      <c r="A12" s="1">
        <f t="shared" si="4"/>
        <v>2006</v>
      </c>
      <c r="B12" s="60">
        <f>('Q.2-Data'!G15/'Q.2-Data'!G14)-1</f>
        <v>0.125</v>
      </c>
      <c r="D12" s="1">
        <v>5</v>
      </c>
      <c r="E12" s="1">
        <f t="shared" si="5"/>
        <v>2006</v>
      </c>
      <c r="F12" s="1">
        <f t="shared" si="5"/>
        <v>34</v>
      </c>
      <c r="G12" s="76">
        <f t="shared" si="6"/>
        <v>100000</v>
      </c>
      <c r="H12" s="68">
        <f>VLOOKUP(F12,'Q.2-Data'!$C$9:$D$110,2,0)</f>
        <v>8.4000000000000003E-4</v>
      </c>
      <c r="I12" s="76">
        <f t="shared" si="7"/>
        <v>10695.913258229868</v>
      </c>
      <c r="J12" s="76">
        <f t="shared" si="8"/>
        <v>3215.4829735729081</v>
      </c>
      <c r="K12" s="74">
        <v>0</v>
      </c>
      <c r="L12" s="74">
        <f>-VLOOKUP(E12,'[1]Q1 data'!$L$10:$M$29,2,0)</f>
        <v>-13.68</v>
      </c>
      <c r="M12" s="76">
        <f t="shared" si="0"/>
        <v>15634.930760778123</v>
      </c>
      <c r="N12" s="76">
        <f t="shared" si="1"/>
        <v>-84</v>
      </c>
      <c r="O12" s="76">
        <f t="shared" si="3"/>
        <v>15550.930760778123</v>
      </c>
      <c r="P12" s="76">
        <f t="shared" si="2"/>
        <v>15564.004524578768</v>
      </c>
      <c r="T12" s="81"/>
    </row>
    <row r="13" spans="1:21" x14ac:dyDescent="0.2">
      <c r="A13" s="1">
        <f t="shared" si="4"/>
        <v>2007</v>
      </c>
      <c r="B13" s="60">
        <f>('Q.2-Data'!G16/'Q.2-Data'!G15)-1</f>
        <v>9.6700000000000008E-2</v>
      </c>
      <c r="D13" s="1">
        <v>6</v>
      </c>
      <c r="E13" s="1">
        <f t="shared" si="5"/>
        <v>2007</v>
      </c>
      <c r="F13" s="1">
        <f t="shared" si="5"/>
        <v>35</v>
      </c>
      <c r="G13" s="76">
        <f t="shared" si="6"/>
        <v>100000</v>
      </c>
      <c r="H13" s="68">
        <f>VLOOKUP(F13,'Q.2-Data'!$C$9:$D$110,2,0)</f>
        <v>9.0600000000000001E-4</v>
      </c>
      <c r="I13" s="76">
        <f t="shared" si="7"/>
        <v>15564.004524578768</v>
      </c>
      <c r="J13" s="76">
        <f t="shared" si="8"/>
        <v>3215.4829735729081</v>
      </c>
      <c r="K13" s="74">
        <v>0</v>
      </c>
      <c r="L13" s="74">
        <f>-VLOOKUP(E13,'[1]Q1 data'!$L$10:$M$29,2,0)</f>
        <v>-14.63</v>
      </c>
      <c r="M13" s="76">
        <f t="shared" si="0"/>
        <v>20579.419218222942</v>
      </c>
      <c r="N13" s="76">
        <f t="shared" si="1"/>
        <v>-90.6</v>
      </c>
      <c r="O13" s="76">
        <f t="shared" si="3"/>
        <v>20488.819218222943</v>
      </c>
      <c r="P13" s="76">
        <f t="shared" si="2"/>
        <v>20507.398921645952</v>
      </c>
      <c r="R13" s="1" t="s">
        <v>58</v>
      </c>
      <c r="S13" s="82">
        <f>G8</f>
        <v>100000</v>
      </c>
      <c r="T13" s="81"/>
    </row>
    <row r="14" spans="1:21" x14ac:dyDescent="0.2">
      <c r="A14" s="1">
        <f t="shared" si="4"/>
        <v>2008</v>
      </c>
      <c r="B14" s="60">
        <f>('Q.2-Data'!G17/'Q.2-Data'!G16)-1</f>
        <v>0.14999999999999991</v>
      </c>
      <c r="D14" s="1">
        <v>7</v>
      </c>
      <c r="E14" s="1">
        <f t="shared" si="5"/>
        <v>2008</v>
      </c>
      <c r="F14" s="1">
        <f t="shared" si="5"/>
        <v>36</v>
      </c>
      <c r="G14" s="76">
        <f t="shared" si="6"/>
        <v>100000</v>
      </c>
      <c r="H14" s="68">
        <f>VLOOKUP(F14,'Q.2-Data'!$C$9:$D$110,2,0)</f>
        <v>9.8700000000000003E-4</v>
      </c>
      <c r="I14" s="76">
        <f t="shared" si="7"/>
        <v>20507.398921645952</v>
      </c>
      <c r="J14" s="76">
        <f t="shared" si="8"/>
        <v>3215.4829735729081</v>
      </c>
      <c r="K14" s="74">
        <v>0</v>
      </c>
      <c r="L14" s="74">
        <f>-VLOOKUP(E14,'[1]Q1 data'!$L$10:$M$29,2,0)</f>
        <v>-14.63</v>
      </c>
      <c r="M14" s="76">
        <f t="shared" si="0"/>
        <v>27264.489679501687</v>
      </c>
      <c r="N14" s="76">
        <f t="shared" si="1"/>
        <v>-98.7</v>
      </c>
      <c r="O14" s="76">
        <f t="shared" si="3"/>
        <v>27165.789679501686</v>
      </c>
      <c r="P14" s="76">
        <f t="shared" si="2"/>
        <v>27192.628804131364</v>
      </c>
      <c r="R14" s="1" t="s">
        <v>69</v>
      </c>
      <c r="S14" s="69">
        <f>95%*S11-S13</f>
        <v>14999.999999999636</v>
      </c>
      <c r="T14" s="81"/>
    </row>
    <row r="15" spans="1:21" x14ac:dyDescent="0.2">
      <c r="A15" s="1">
        <f t="shared" si="4"/>
        <v>2009</v>
      </c>
      <c r="B15" s="60">
        <f>('Q.2-Data'!G18/'Q.2-Data'!G17)-1</f>
        <v>0.1100000000000001</v>
      </c>
      <c r="D15" s="1">
        <v>8</v>
      </c>
      <c r="E15" s="1">
        <f t="shared" si="5"/>
        <v>2009</v>
      </c>
      <c r="F15" s="1">
        <f t="shared" si="5"/>
        <v>37</v>
      </c>
      <c r="G15" s="76">
        <f t="shared" si="6"/>
        <v>100000</v>
      </c>
      <c r="H15" s="68">
        <f>VLOOKUP(F15,'Q.2-Data'!$C$9:$D$110,2,0)</f>
        <v>1.0840000000000001E-3</v>
      </c>
      <c r="I15" s="76">
        <f t="shared" si="7"/>
        <v>27192.628804131364</v>
      </c>
      <c r="J15" s="76">
        <f t="shared" si="8"/>
        <v>3215.4829735729081</v>
      </c>
      <c r="K15" s="74">
        <v>0</v>
      </c>
      <c r="L15" s="74">
        <f>-VLOOKUP(E15,'[1]Q1 data'!$L$10:$M$29,2,0)</f>
        <v>-15.36</v>
      </c>
      <c r="M15" s="76">
        <f t="shared" si="0"/>
        <v>33735.954473251746</v>
      </c>
      <c r="N15" s="76">
        <f t="shared" si="1"/>
        <v>-108.4</v>
      </c>
      <c r="O15" s="76">
        <f t="shared" si="3"/>
        <v>33627.554473251745</v>
      </c>
      <c r="P15" s="76">
        <f t="shared" si="2"/>
        <v>33664.046299440335</v>
      </c>
      <c r="R15" s="1" t="s">
        <v>70</v>
      </c>
      <c r="S15" s="60">
        <f>S14/S13</f>
        <v>0.14999999999999636</v>
      </c>
      <c r="T15" s="81"/>
    </row>
    <row r="16" spans="1:21" x14ac:dyDescent="0.2">
      <c r="A16" s="1">
        <f t="shared" si="4"/>
        <v>2010</v>
      </c>
      <c r="B16" s="60">
        <f>('Q.2-Data'!G19/'Q.2-Data'!G18)-1</f>
        <v>6.6699999999999982E-2</v>
      </c>
      <c r="D16" s="1">
        <v>9</v>
      </c>
      <c r="E16" s="1">
        <f t="shared" si="5"/>
        <v>2010</v>
      </c>
      <c r="F16" s="1">
        <f t="shared" si="5"/>
        <v>38</v>
      </c>
      <c r="G16" s="76">
        <f t="shared" si="6"/>
        <v>100000</v>
      </c>
      <c r="H16" s="68">
        <f>VLOOKUP(F16,'Q.2-Data'!$C$9:$D$110,2,0)</f>
        <v>1.1999999999999999E-3</v>
      </c>
      <c r="I16" s="76">
        <f t="shared" si="7"/>
        <v>33664.046299440335</v>
      </c>
      <c r="J16" s="76">
        <f t="shared" si="8"/>
        <v>3215.4829735729081</v>
      </c>
      <c r="K16" s="74">
        <v>0</v>
      </c>
      <c r="L16" s="74">
        <f>-VLOOKUP(E16,'[1]Q1 data'!$L$10:$M$29,2,0)</f>
        <v>-15.47</v>
      </c>
      <c r="M16" s="76">
        <f t="shared" si="0"/>
        <v>39322.892026523223</v>
      </c>
      <c r="N16" s="76">
        <f t="shared" si="1"/>
        <v>-119.99999999999999</v>
      </c>
      <c r="O16" s="76">
        <f t="shared" si="3"/>
        <v>39202.892026523223</v>
      </c>
      <c r="P16" s="76">
        <f t="shared" si="2"/>
        <v>39249.992016943557</v>
      </c>
      <c r="R16" s="1" t="s">
        <v>75</v>
      </c>
      <c r="S16" s="23">
        <v>0.15</v>
      </c>
      <c r="T16" s="81"/>
    </row>
    <row r="17" spans="1:20" x14ac:dyDescent="0.2">
      <c r="A17" s="1">
        <f t="shared" si="4"/>
        <v>2011</v>
      </c>
      <c r="B17" s="60">
        <f>('Q.2-Data'!G20/'Q.2-Data'!G19)-1</f>
        <v>-0.12770000000000015</v>
      </c>
      <c r="D17" s="1">
        <v>10</v>
      </c>
      <c r="E17" s="1">
        <f t="shared" si="5"/>
        <v>2011</v>
      </c>
      <c r="F17" s="1">
        <f t="shared" si="5"/>
        <v>39</v>
      </c>
      <c r="G17" s="76">
        <f t="shared" si="6"/>
        <v>100000</v>
      </c>
      <c r="H17" s="68">
        <f>VLOOKUP(F17,'Q.2-Data'!$C$9:$D$110,2,0)</f>
        <v>1.335E-3</v>
      </c>
      <c r="I17" s="76">
        <f t="shared" si="7"/>
        <v>39249.992016943557</v>
      </c>
      <c r="J17" s="76">
        <f t="shared" si="8"/>
        <v>3215.4829735729081</v>
      </c>
      <c r="K17" s="74">
        <v>0</v>
      </c>
      <c r="L17" s="74">
        <f>-VLOOKUP(E17,'[1]Q1 data'!$L$10:$M$29,2,0)</f>
        <v>-19.7</v>
      </c>
      <c r="M17" s="76">
        <f t="shared" si="0"/>
        <v>37025.449524227508</v>
      </c>
      <c r="N17" s="76">
        <f t="shared" si="1"/>
        <v>-133.5</v>
      </c>
      <c r="O17" s="76">
        <f t="shared" si="3"/>
        <v>36891.949524227508</v>
      </c>
      <c r="P17" s="76">
        <f t="shared" si="2"/>
        <v>36941.266114490354</v>
      </c>
      <c r="T17" s="81"/>
    </row>
    <row r="18" spans="1:20" x14ac:dyDescent="0.2">
      <c r="A18" s="1">
        <f t="shared" si="4"/>
        <v>2012</v>
      </c>
      <c r="B18" s="60">
        <f>('Q.2-Data'!G21/'Q.2-Data'!G20)-1</f>
        <v>0.14680000000000004</v>
      </c>
      <c r="D18" s="1">
        <v>11</v>
      </c>
      <c r="E18" s="1">
        <f t="shared" si="5"/>
        <v>2012</v>
      </c>
      <c r="F18" s="1">
        <f t="shared" si="5"/>
        <v>40</v>
      </c>
      <c r="G18" s="76">
        <f t="shared" si="6"/>
        <v>100000</v>
      </c>
      <c r="H18" s="68">
        <f>VLOOKUP(F18,'Q.2-Data'!$C$9:$D$110,2,0)</f>
        <v>1.493E-3</v>
      </c>
      <c r="I18" s="76">
        <f t="shared" si="7"/>
        <v>36941.266114490354</v>
      </c>
      <c r="J18" s="76">
        <f t="shared" si="8"/>
        <v>3215.4829735729081</v>
      </c>
      <c r="K18" s="74">
        <v>0</v>
      </c>
      <c r="L18" s="74">
        <f>-VLOOKUP(E18,'[1]Q1 data'!$L$10:$M$29,2,0)</f>
        <v>-12.1</v>
      </c>
      <c r="M18" s="76">
        <f t="shared" si="0"/>
        <v>46037.88357419095</v>
      </c>
      <c r="N18" s="76">
        <f t="shared" si="1"/>
        <v>-149.29999999999998</v>
      </c>
      <c r="O18" s="76">
        <f t="shared" si="3"/>
        <v>45888.583574190947</v>
      </c>
      <c r="P18" s="76">
        <f t="shared" si="2"/>
        <v>45957.197670312722</v>
      </c>
      <c r="R18" s="1" t="s">
        <v>76</v>
      </c>
      <c r="S18" s="70">
        <f>S15-S16</f>
        <v>-3.6359804056473877E-15</v>
      </c>
      <c r="T18" s="81"/>
    </row>
    <row r="19" spans="1:20" ht="13.5" thickBot="1" x14ac:dyDescent="0.25">
      <c r="A19" s="1">
        <f t="shared" si="4"/>
        <v>2013</v>
      </c>
      <c r="B19" s="60">
        <f>('Q.2-Data'!G22/'Q.2-Data'!G21)-1</f>
        <v>0.12480000000000002</v>
      </c>
      <c r="D19" s="1">
        <v>12</v>
      </c>
      <c r="E19" s="1">
        <f t="shared" si="5"/>
        <v>2013</v>
      </c>
      <c r="F19" s="1">
        <f t="shared" si="5"/>
        <v>41</v>
      </c>
      <c r="G19" s="76">
        <f t="shared" si="6"/>
        <v>100000</v>
      </c>
      <c r="H19" s="68">
        <f>VLOOKUP(F19,'Q.2-Data'!$C$9:$D$110,2,0)</f>
        <v>1.6740000000000001E-3</v>
      </c>
      <c r="I19" s="76">
        <f t="shared" si="7"/>
        <v>45957.197670312722</v>
      </c>
      <c r="J19" s="76">
        <f t="shared" si="8"/>
        <v>3215.4829735729081</v>
      </c>
      <c r="K19" s="74">
        <v>0</v>
      </c>
      <c r="L19" s="74">
        <f>-VLOOKUP(E19,'[1]Q1 data'!$L$10:$M$29,2,0)</f>
        <v>-15.41</v>
      </c>
      <c r="M19" s="76">
        <f t="shared" si="0"/>
        <v>55292.098020242556</v>
      </c>
      <c r="N19" s="76">
        <f t="shared" si="1"/>
        <v>-167.4</v>
      </c>
      <c r="O19" s="76">
        <f t="shared" si="3"/>
        <v>55124.698020242555</v>
      </c>
      <c r="P19" s="76">
        <f t="shared" si="2"/>
        <v>55217.131498370822</v>
      </c>
      <c r="T19" s="81"/>
    </row>
    <row r="20" spans="1:20" ht="13.5" thickBot="1" x14ac:dyDescent="0.25">
      <c r="A20" s="1">
        <f t="shared" si="4"/>
        <v>2014</v>
      </c>
      <c r="B20" s="60">
        <f>('Q.2-Data'!G23/'Q.2-Data'!G22)-1</f>
        <v>7.0100000000000051E-2</v>
      </c>
      <c r="D20" s="1">
        <v>13</v>
      </c>
      <c r="E20" s="1">
        <f t="shared" si="5"/>
        <v>2014</v>
      </c>
      <c r="F20" s="1">
        <f t="shared" si="5"/>
        <v>42</v>
      </c>
      <c r="G20" s="76">
        <f t="shared" si="6"/>
        <v>100000</v>
      </c>
      <c r="H20" s="68">
        <f>VLOOKUP(F20,'Q.2-Data'!$C$9:$D$110,2,0)</f>
        <v>1.8809999999999999E-3</v>
      </c>
      <c r="I20" s="76">
        <f t="shared" si="7"/>
        <v>55217.131498370822</v>
      </c>
      <c r="J20" s="76">
        <f t="shared" si="8"/>
        <v>3215.4829735729081</v>
      </c>
      <c r="K20" s="74">
        <v>0</v>
      </c>
      <c r="L20" s="74">
        <f>-VLOOKUP(E20,'[1]Q1 data'!$L$10:$M$29,2,0)</f>
        <v>-15.76</v>
      </c>
      <c r="M20" s="76">
        <f t="shared" si="0"/>
        <v>62511.875970426983</v>
      </c>
      <c r="N20" s="76">
        <f t="shared" si="1"/>
        <v>-188.1</v>
      </c>
      <c r="O20" s="76">
        <f t="shared" si="3"/>
        <v>62323.775970426985</v>
      </c>
      <c r="P20" s="76">
        <f t="shared" si="2"/>
        <v>62441.227920144782</v>
      </c>
      <c r="R20" s="61" t="s">
        <v>77</v>
      </c>
      <c r="S20" s="83">
        <f>H1</f>
        <v>3215.4829735729081</v>
      </c>
      <c r="T20" s="81"/>
    </row>
    <row r="21" spans="1:20" x14ac:dyDescent="0.2">
      <c r="A21" s="1">
        <f t="shared" si="4"/>
        <v>2015</v>
      </c>
      <c r="B21" s="60">
        <f>('Q.2-Data'!G24/'Q.2-Data'!G23)-1</f>
        <v>8.5499999999999909E-2</v>
      </c>
      <c r="D21" s="1">
        <v>14</v>
      </c>
      <c r="E21" s="1">
        <f t="shared" si="5"/>
        <v>2015</v>
      </c>
      <c r="F21" s="1">
        <f t="shared" si="5"/>
        <v>43</v>
      </c>
      <c r="G21" s="76">
        <f t="shared" si="6"/>
        <v>100000</v>
      </c>
      <c r="H21" s="68">
        <f>VLOOKUP(F21,'Q.2-Data'!$C$9:$D$110,2,0)</f>
        <v>2.1179999999999997E-3</v>
      </c>
      <c r="I21" s="76">
        <f t="shared" si="7"/>
        <v>62441.227920144782</v>
      </c>
      <c r="J21" s="76">
        <f t="shared" si="8"/>
        <v>3215.4829735729081</v>
      </c>
      <c r="K21" s="74">
        <v>0</v>
      </c>
      <c r="L21" s="74">
        <f>-VLOOKUP(E21,'[1]Q1 data'!$L$10:$M$29,2,0)</f>
        <v>-15.7</v>
      </c>
      <c r="M21" s="76">
        <f t="shared" si="0"/>
        <v>71253.317325130556</v>
      </c>
      <c r="N21" s="76">
        <f t="shared" si="1"/>
        <v>-211.79999999999995</v>
      </c>
      <c r="O21" s="76">
        <f t="shared" si="3"/>
        <v>71041.517325130553</v>
      </c>
      <c r="P21" s="76">
        <f t="shared" si="2"/>
        <v>71192.302622084128</v>
      </c>
    </row>
    <row r="22" spans="1:20" x14ac:dyDescent="0.2">
      <c r="A22" s="1">
        <f t="shared" si="4"/>
        <v>2016</v>
      </c>
      <c r="B22" s="60">
        <f>('Q.2-Data'!G25/'Q.2-Data'!G24)-1</f>
        <v>9.8799999999999999E-2</v>
      </c>
      <c r="D22" s="1">
        <v>15</v>
      </c>
      <c r="E22" s="1">
        <f t="shared" si="5"/>
        <v>2016</v>
      </c>
      <c r="F22" s="1">
        <f t="shared" si="5"/>
        <v>44</v>
      </c>
      <c r="G22" s="76">
        <f t="shared" si="6"/>
        <v>100000</v>
      </c>
      <c r="H22" s="68">
        <f>VLOOKUP(F22,'Q.2-Data'!$C$9:$D$110,2,0)</f>
        <v>2.385E-3</v>
      </c>
      <c r="I22" s="76">
        <f t="shared" si="7"/>
        <v>71192.302622084128</v>
      </c>
      <c r="J22" s="76">
        <f t="shared" si="8"/>
        <v>3215.4829735729081</v>
      </c>
      <c r="K22" s="74">
        <v>0</v>
      </c>
      <c r="L22" s="74">
        <f>-VLOOKUP(E22,'[1]Q1 data'!$L$10:$M$29,2,0)</f>
        <v>-16.440000000000001</v>
      </c>
      <c r="M22" s="76">
        <f t="shared" si="0"/>
        <v>81741.210540507949</v>
      </c>
      <c r="N22" s="76">
        <f t="shared" si="1"/>
        <v>-238.5</v>
      </c>
      <c r="O22" s="76">
        <f t="shared" si="3"/>
        <v>81502.710540507949</v>
      </c>
      <c r="P22" s="76">
        <f t="shared" si="2"/>
        <v>81697.559219245843</v>
      </c>
    </row>
    <row r="23" spans="1:20" x14ac:dyDescent="0.2">
      <c r="A23" s="1">
        <f t="shared" si="4"/>
        <v>2017</v>
      </c>
      <c r="B23" s="60">
        <f>('Q.2-Data'!G26/'Q.2-Data'!G25)-1</f>
        <v>0.10159999999999991</v>
      </c>
      <c r="D23" s="1">
        <v>16</v>
      </c>
      <c r="E23" s="1">
        <f t="shared" si="5"/>
        <v>2017</v>
      </c>
      <c r="F23" s="1">
        <f t="shared" si="5"/>
        <v>45</v>
      </c>
      <c r="G23" s="76">
        <f t="shared" si="6"/>
        <v>100000</v>
      </c>
      <c r="H23" s="68">
        <f>VLOOKUP(F23,'Q.2-Data'!$C$9:$D$110,2,0)</f>
        <v>2.6869999999999997E-3</v>
      </c>
      <c r="I23" s="76">
        <f t="shared" si="7"/>
        <v>81697.559219245843</v>
      </c>
      <c r="J23" s="76">
        <f t="shared" si="8"/>
        <v>3215.4829735729081</v>
      </c>
      <c r="K23" s="74">
        <v>0</v>
      </c>
      <c r="L23" s="74">
        <f>-VLOOKUP(E23,'[1]Q1 data'!$L$10:$M$29,2,0)</f>
        <v>-16.690000000000001</v>
      </c>
      <c r="M23" s="76">
        <f t="shared" si="0"/>
        <v>93521.821575609138</v>
      </c>
      <c r="N23" s="76">
        <f t="shared" si="1"/>
        <v>-268.7</v>
      </c>
      <c r="O23" s="76">
        <f t="shared" si="3"/>
        <v>93253.121575609141</v>
      </c>
      <c r="P23" s="76">
        <f t="shared" si="2"/>
        <v>93504.367811919772</v>
      </c>
    </row>
    <row r="24" spans="1:20" x14ac:dyDescent="0.2">
      <c r="A24" s="1">
        <f t="shared" si="4"/>
        <v>2018</v>
      </c>
      <c r="B24" s="60">
        <f>('Q.2-Data'!G27/'Q.2-Data'!G26)-1</f>
        <v>2.9300000000000104E-2</v>
      </c>
      <c r="D24" s="1">
        <v>17</v>
      </c>
      <c r="E24" s="1">
        <f t="shared" si="5"/>
        <v>2018</v>
      </c>
      <c r="F24" s="1">
        <f t="shared" si="5"/>
        <v>46</v>
      </c>
      <c r="G24" s="76">
        <f t="shared" si="6"/>
        <v>100000</v>
      </c>
      <c r="H24" s="68">
        <f>VLOOKUP(F24,'Q.2-Data'!$C$9:$D$110,2,0)</f>
        <v>3.0270000000000002E-3</v>
      </c>
      <c r="I24" s="76">
        <f t="shared" si="7"/>
        <v>93504.367811919772</v>
      </c>
      <c r="J24" s="76">
        <f t="shared" si="8"/>
        <v>3215.4829735729081</v>
      </c>
      <c r="K24" s="74">
        <v>0</v>
      </c>
      <c r="L24" s="74">
        <f>-VLOOKUP(E24,'[1]Q1 data'!$L$10:$M$29,2,0)</f>
        <v>-18.190000000000001</v>
      </c>
      <c r="M24" s="76">
        <f t="shared" si="0"/>
        <v>99535.019446507635</v>
      </c>
      <c r="N24" s="76">
        <f t="shared" si="1"/>
        <v>-302.70000000000005</v>
      </c>
      <c r="O24" s="76">
        <f t="shared" si="3"/>
        <v>99232.319446507638</v>
      </c>
      <c r="P24" s="76">
        <f t="shared" si="2"/>
        <v>99533.607676945758</v>
      </c>
    </row>
    <row r="25" spans="1:20" x14ac:dyDescent="0.2">
      <c r="A25" s="1">
        <f t="shared" si="4"/>
        <v>2019</v>
      </c>
      <c r="B25" s="60">
        <f>('Q.2-Data'!G28/'Q.2-Data'!G27)-1</f>
        <v>0.11149999999999993</v>
      </c>
      <c r="D25" s="1">
        <v>18</v>
      </c>
      <c r="E25" s="1">
        <f t="shared" si="5"/>
        <v>2019</v>
      </c>
      <c r="F25" s="1">
        <f t="shared" si="5"/>
        <v>47</v>
      </c>
      <c r="G25" s="76">
        <f t="shared" si="6"/>
        <v>100000</v>
      </c>
      <c r="H25" s="68">
        <f>VLOOKUP(F25,'Q.2-Data'!$C$9:$D$110,2,0)</f>
        <v>3.4079999999999996E-3</v>
      </c>
      <c r="I25" s="76">
        <f t="shared" si="7"/>
        <v>99533.607676945758</v>
      </c>
      <c r="J25" s="76">
        <f t="shared" si="8"/>
        <v>3215.4829735729081</v>
      </c>
      <c r="K25" s="74">
        <v>0</v>
      </c>
      <c r="L25" s="74">
        <f>-VLOOKUP(E25,'[1]Q1 data'!$L$10:$M$29,2,0)</f>
        <v>-18.989999999999998</v>
      </c>
      <c r="M25" s="76">
        <f t="shared" si="0"/>
        <v>114184.50687305149</v>
      </c>
      <c r="N25" s="76">
        <f t="shared" si="1"/>
        <v>-340.79999999999995</v>
      </c>
      <c r="O25" s="76">
        <f t="shared" si="3"/>
        <v>113843.70687305149</v>
      </c>
      <c r="P25" s="76">
        <f t="shared" si="2"/>
        <v>114233.01298129173</v>
      </c>
    </row>
    <row r="26" spans="1:20" x14ac:dyDescent="0.2">
      <c r="A26" s="1">
        <f t="shared" si="4"/>
        <v>2020</v>
      </c>
      <c r="B26" s="60">
        <f>('Q.2-Data'!G29/'Q.2-Data'!G28)-1</f>
        <v>4.6699999999999964E-2</v>
      </c>
      <c r="D26" s="1">
        <v>19</v>
      </c>
      <c r="E26" s="1">
        <f t="shared" ref="E26:F27" si="9">E25+1</f>
        <v>2020</v>
      </c>
      <c r="F26" s="1">
        <f t="shared" si="9"/>
        <v>48</v>
      </c>
      <c r="G26" s="76">
        <f t="shared" si="6"/>
        <v>100000</v>
      </c>
      <c r="H26" s="68">
        <f>VLOOKUP(F26,'Q.2-Data'!$C$9:$D$110,2,0)</f>
        <v>3.8340000000000002E-3</v>
      </c>
      <c r="I26" s="76">
        <f t="shared" si="7"/>
        <v>114233.01298129173</v>
      </c>
      <c r="J26" s="76">
        <f t="shared" si="8"/>
        <v>3215.4829735729081</v>
      </c>
      <c r="K26" s="74">
        <v>0</v>
      </c>
      <c r="L26" s="74">
        <f>-VLOOKUP(E26,'[1]Q1 data'!$L$10:$M$29,2,0)</f>
        <v>-18.510000000000002</v>
      </c>
      <c r="M26" s="76">
        <f t="shared" si="0"/>
        <v>122913.96629895682</v>
      </c>
      <c r="N26" s="76">
        <f t="shared" si="1"/>
        <v>-383.40000000000003</v>
      </c>
      <c r="O26" s="76">
        <f t="shared" si="3"/>
        <v>122530.56629895682</v>
      </c>
      <c r="P26" s="76">
        <f t="shared" si="2"/>
        <v>123002.15656723561</v>
      </c>
    </row>
    <row r="27" spans="1:20" x14ac:dyDescent="0.2">
      <c r="A27" s="1">
        <f t="shared" si="4"/>
        <v>2021</v>
      </c>
      <c r="B27" s="60">
        <f>('Q.2-Data'!G30/'Q.2-Data'!G29)-1</f>
        <v>-4.1494741897381338E-2</v>
      </c>
      <c r="D27" s="1">
        <v>20</v>
      </c>
      <c r="E27" s="1">
        <f t="shared" si="9"/>
        <v>2021</v>
      </c>
      <c r="F27" s="1">
        <f t="shared" si="9"/>
        <v>49</v>
      </c>
      <c r="G27" s="76">
        <f t="shared" si="6"/>
        <v>100000</v>
      </c>
      <c r="H27" s="68">
        <f>VLOOKUP(F27,'Q.2-Data'!$C$9:$D$110,2,0)</f>
        <v>4.3090000000000003E-3</v>
      </c>
      <c r="I27" s="76">
        <f t="shared" si="7"/>
        <v>123002.15656723561</v>
      </c>
      <c r="J27" s="76">
        <f t="shared" si="8"/>
        <v>3215.4829735729081</v>
      </c>
      <c r="K27" s="74">
        <v>0</v>
      </c>
      <c r="L27" s="74">
        <f>-VLOOKUP(E27,'[1]Q1 data'!$L$10:$M$29,2,0)</f>
        <v>-19.149999999999999</v>
      </c>
      <c r="M27" s="76">
        <f t="shared" si="0"/>
        <v>120961.91578947331</v>
      </c>
      <c r="N27" s="76">
        <f t="shared" si="1"/>
        <v>-430.90000000000003</v>
      </c>
      <c r="O27" s="76">
        <f t="shared" si="3"/>
        <v>120531.01578947331</v>
      </c>
      <c r="P27" s="76">
        <f>O27/(1-H27)</f>
        <v>121052.631578947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2"/>
  <sheetViews>
    <sheetView workbookViewId="0"/>
  </sheetViews>
  <sheetFormatPr defaultRowHeight="12.75" x14ac:dyDescent="0.2"/>
  <cols>
    <col min="3" max="3" width="67.85546875" bestFit="1" customWidth="1"/>
  </cols>
  <sheetData>
    <row r="4" spans="2:7" ht="15" x14ac:dyDescent="0.25">
      <c r="C4" s="28" t="s">
        <v>71</v>
      </c>
    </row>
    <row r="6" spans="2:7" x14ac:dyDescent="0.2">
      <c r="C6" t="s">
        <v>72</v>
      </c>
      <c r="D6" s="81"/>
    </row>
    <row r="7" spans="2:7" x14ac:dyDescent="0.2">
      <c r="B7">
        <v>1</v>
      </c>
      <c r="C7" t="s">
        <v>78</v>
      </c>
      <c r="D7" s="81"/>
      <c r="G7" s="1"/>
    </row>
    <row r="8" spans="2:7" s="1" customFormat="1" x14ac:dyDescent="0.2">
      <c r="B8" s="1">
        <v>2</v>
      </c>
      <c r="C8" s="1" t="s">
        <v>73</v>
      </c>
      <c r="D8" s="81"/>
    </row>
    <row r="9" spans="2:7" x14ac:dyDescent="0.2">
      <c r="B9">
        <v>2</v>
      </c>
      <c r="C9" t="s">
        <v>79</v>
      </c>
      <c r="D9" s="81"/>
      <c r="G9" s="1"/>
    </row>
    <row r="10" spans="2:7" x14ac:dyDescent="0.2">
      <c r="B10">
        <v>3</v>
      </c>
      <c r="C10" t="s">
        <v>74</v>
      </c>
      <c r="D10" s="81"/>
      <c r="G10" s="1"/>
    </row>
    <row r="11" spans="2:7" x14ac:dyDescent="0.2">
      <c r="G11" s="1"/>
    </row>
    <row r="12" spans="2:7" x14ac:dyDescent="0.2">
      <c r="D12" s="81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="80" zoomScaleNormal="80" workbookViewId="0"/>
  </sheetViews>
  <sheetFormatPr defaultColWidth="8.7109375" defaultRowHeight="12.75" x14ac:dyDescent="0.2"/>
  <cols>
    <col min="1" max="1" width="15.85546875" style="1" customWidth="1"/>
    <col min="2" max="2" width="10.85546875" style="1" customWidth="1"/>
    <col min="3" max="6" width="8.7109375" style="1"/>
    <col min="7" max="7" width="15.42578125" style="1" customWidth="1"/>
    <col min="8" max="8" width="17.5703125" style="1" customWidth="1"/>
    <col min="9" max="9" width="16.85546875" style="1" customWidth="1"/>
    <col min="10" max="10" width="9.140625" style="1" bestFit="1" customWidth="1"/>
    <col min="11" max="12" width="8.7109375" style="1"/>
    <col min="13" max="13" width="17.42578125" style="1" customWidth="1"/>
    <col min="14" max="14" width="8.7109375" style="1"/>
    <col min="15" max="15" width="10.85546875" style="1" customWidth="1"/>
    <col min="16" max="16" width="19.85546875" style="1" customWidth="1"/>
    <col min="17" max="17" width="8.7109375" style="1"/>
    <col min="18" max="18" width="26.42578125" style="1" customWidth="1"/>
    <col min="19" max="20" width="31.85546875" style="1" bestFit="1" customWidth="1"/>
    <col min="21" max="16384" width="8.7109375" style="1"/>
  </cols>
  <sheetData>
    <row r="1" spans="1:22" x14ac:dyDescent="0.2">
      <c r="G1" s="1" t="s">
        <v>52</v>
      </c>
      <c r="H1" s="75">
        <v>3000</v>
      </c>
      <c r="I1" s="1" t="s">
        <v>53</v>
      </c>
      <c r="J1" s="1">
        <v>20</v>
      </c>
    </row>
    <row r="2" spans="1:22" x14ac:dyDescent="0.2">
      <c r="G2" s="1" t="s">
        <v>54</v>
      </c>
      <c r="H2" s="1">
        <v>100000</v>
      </c>
      <c r="I2" s="1" t="s">
        <v>55</v>
      </c>
      <c r="J2" s="1">
        <v>30</v>
      </c>
    </row>
    <row r="4" spans="1:22" s="65" customFormat="1" ht="14.25" x14ac:dyDescent="0.2">
      <c r="A4" s="27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</row>
    <row r="7" spans="1:22" s="66" customFormat="1" ht="45" customHeight="1" x14ac:dyDescent="0.2">
      <c r="A7" s="24" t="s">
        <v>6</v>
      </c>
      <c r="B7" s="24" t="s">
        <v>56</v>
      </c>
      <c r="D7" s="24" t="s">
        <v>57</v>
      </c>
      <c r="E7" s="24" t="s">
        <v>6</v>
      </c>
      <c r="F7" s="24" t="s">
        <v>4</v>
      </c>
      <c r="G7" s="24" t="s">
        <v>58</v>
      </c>
      <c r="H7" s="24" t="s">
        <v>59</v>
      </c>
      <c r="I7" s="24" t="s">
        <v>60</v>
      </c>
      <c r="J7" s="24" t="s">
        <v>61</v>
      </c>
      <c r="K7" s="24" t="s">
        <v>62</v>
      </c>
      <c r="L7" s="24" t="s">
        <v>63</v>
      </c>
      <c r="M7" s="24" t="s">
        <v>64</v>
      </c>
      <c r="N7" s="24" t="s">
        <v>65</v>
      </c>
      <c r="O7" s="24" t="s">
        <v>66</v>
      </c>
      <c r="P7" s="24" t="s">
        <v>67</v>
      </c>
    </row>
    <row r="8" spans="1:22" x14ac:dyDescent="0.2">
      <c r="A8" s="1">
        <v>2002</v>
      </c>
      <c r="B8" s="60">
        <f>MAX(0,('Q.2-Data'!G11/'Q.2-Data'!G10)-1)</f>
        <v>0.15629999999999988</v>
      </c>
      <c r="D8" s="1">
        <v>1</v>
      </c>
      <c r="E8" s="1">
        <v>2002</v>
      </c>
      <c r="F8" s="67">
        <f>J2</f>
        <v>30</v>
      </c>
      <c r="G8" s="85">
        <f>H2</f>
        <v>100000</v>
      </c>
      <c r="H8" s="86">
        <f>VLOOKUP(F8,'Q.2-Data'!$C$9:$D$110,2,0)</f>
        <v>8.0400000000000003E-4</v>
      </c>
      <c r="I8" s="78">
        <v>0</v>
      </c>
      <c r="J8" s="75">
        <f>H1</f>
        <v>3000</v>
      </c>
      <c r="K8" s="87">
        <v>-45</v>
      </c>
      <c r="L8" s="87">
        <v>0</v>
      </c>
      <c r="M8" s="76">
        <f t="shared" ref="M8:M27" si="0">SUM(I8:L8)*(1+B8)</f>
        <v>3416.8664999999996</v>
      </c>
      <c r="N8" s="76">
        <f t="shared" ref="N8:N27" si="1">-G8*H8</f>
        <v>-80.400000000000006</v>
      </c>
      <c r="O8" s="76">
        <f>M8+N8</f>
        <v>3336.4664999999995</v>
      </c>
      <c r="P8" s="76">
        <f t="shared" ref="P8:P26" si="2">O8/(1-H8)</f>
        <v>3339.151177546747</v>
      </c>
      <c r="Q8" s="81"/>
      <c r="U8" s="84"/>
    </row>
    <row r="9" spans="1:22" x14ac:dyDescent="0.2">
      <c r="A9" s="1">
        <f>A8+1</f>
        <v>2003</v>
      </c>
      <c r="B9" s="60">
        <f>MAX(0,('Q.2-Data'!G12/'Q.2-Data'!G11)-1)</f>
        <v>0</v>
      </c>
      <c r="D9" s="1">
        <v>2</v>
      </c>
      <c r="E9" s="1">
        <f>E8+1</f>
        <v>2003</v>
      </c>
      <c r="F9" s="1">
        <f>F8+1</f>
        <v>31</v>
      </c>
      <c r="G9" s="76">
        <f>G8</f>
        <v>100000</v>
      </c>
      <c r="H9" s="68">
        <f>VLOOKUP(F9,'Q.2-Data'!$C$9:$D$110,2,0)</f>
        <v>6.2100000000000002E-4</v>
      </c>
      <c r="I9" s="76">
        <f>P8</f>
        <v>3339.151177546747</v>
      </c>
      <c r="J9" s="76">
        <f>J8</f>
        <v>3000</v>
      </c>
      <c r="K9" s="74">
        <v>0</v>
      </c>
      <c r="L9" s="74">
        <f>-VLOOKUP(E9,'[1]Q1 data'!$L$10:$M$29,2,0)</f>
        <v>-8.89</v>
      </c>
      <c r="M9" s="76">
        <f t="shared" si="0"/>
        <v>6330.2611775467467</v>
      </c>
      <c r="N9" s="76">
        <f t="shared" si="1"/>
        <v>-62.1</v>
      </c>
      <c r="O9" s="76">
        <f t="shared" ref="O9:O27" si="3">M9+N9</f>
        <v>6268.1611775467463</v>
      </c>
      <c r="P9" s="76">
        <f t="shared" si="2"/>
        <v>6272.0561243999982</v>
      </c>
      <c r="Q9" s="81"/>
      <c r="S9" s="1" t="s">
        <v>80</v>
      </c>
      <c r="T9" s="1" t="s">
        <v>81</v>
      </c>
      <c r="U9" s="81"/>
      <c r="V9" s="81"/>
    </row>
    <row r="10" spans="1:22" x14ac:dyDescent="0.2">
      <c r="A10" s="1">
        <f t="shared" ref="A10:A27" si="4">A9+1</f>
        <v>2004</v>
      </c>
      <c r="B10" s="60">
        <f>MAX(0,('Q.2-Data'!G13/'Q.2-Data'!G12)-1)</f>
        <v>0</v>
      </c>
      <c r="D10" s="1">
        <v>3</v>
      </c>
      <c r="E10" s="1">
        <f t="shared" ref="E10:F25" si="5">E9+1</f>
        <v>2004</v>
      </c>
      <c r="F10" s="1">
        <f t="shared" si="5"/>
        <v>32</v>
      </c>
      <c r="G10" s="76">
        <f t="shared" ref="G10:G27" si="6">G9</f>
        <v>100000</v>
      </c>
      <c r="H10" s="68">
        <f>VLOOKUP(F10,'Q.2-Data'!$C$9:$D$110,2,0)</f>
        <v>8.4900000000000004E-4</v>
      </c>
      <c r="I10" s="76">
        <f t="shared" ref="I10:I27" si="7">P9</f>
        <v>6272.0561243999982</v>
      </c>
      <c r="J10" s="76">
        <f t="shared" ref="J10:J27" si="8">J9</f>
        <v>3000</v>
      </c>
      <c r="K10" s="74">
        <v>0</v>
      </c>
      <c r="L10" s="74">
        <f>-VLOOKUP(E10,'[1]Q1 data'!$L$10:$M$29,2,0)</f>
        <v>-12.13</v>
      </c>
      <c r="M10" s="76">
        <f t="shared" si="0"/>
        <v>9259.926124399999</v>
      </c>
      <c r="N10" s="76">
        <f t="shared" si="1"/>
        <v>-84.9</v>
      </c>
      <c r="O10" s="76">
        <f t="shared" si="3"/>
        <v>9175.0261243999994</v>
      </c>
      <c r="P10" s="76">
        <f t="shared" si="2"/>
        <v>9182.8223405671415</v>
      </c>
      <c r="T10" s="81"/>
    </row>
    <row r="11" spans="1:22" x14ac:dyDescent="0.2">
      <c r="A11" s="1">
        <f t="shared" si="4"/>
        <v>2005</v>
      </c>
      <c r="B11" s="60">
        <f>MAX(0,('Q.2-Data'!G14/'Q.2-Data'!G13)-1)</f>
        <v>0</v>
      </c>
      <c r="D11" s="1">
        <v>4</v>
      </c>
      <c r="E11" s="1">
        <f t="shared" si="5"/>
        <v>2005</v>
      </c>
      <c r="F11" s="1">
        <f t="shared" si="5"/>
        <v>33</v>
      </c>
      <c r="G11" s="76">
        <f t="shared" si="6"/>
        <v>100000</v>
      </c>
      <c r="H11" s="68">
        <f>VLOOKUP(F11,'Q.2-Data'!$C$9:$D$110,2,0)</f>
        <v>6.8800000000000003E-4</v>
      </c>
      <c r="I11" s="76">
        <f t="shared" si="7"/>
        <v>9182.8223405671415</v>
      </c>
      <c r="J11" s="76">
        <f t="shared" si="8"/>
        <v>3000</v>
      </c>
      <c r="K11" s="74">
        <v>0</v>
      </c>
      <c r="L11" s="74">
        <f>-VLOOKUP(E11,'[1]Q1 data'!$L$10:$M$29,2,0)</f>
        <v>-12.89</v>
      </c>
      <c r="M11" s="76">
        <f t="shared" si="0"/>
        <v>12169.932340567142</v>
      </c>
      <c r="N11" s="76">
        <f t="shared" si="1"/>
        <v>-68.8</v>
      </c>
      <c r="O11" s="76">
        <f t="shared" si="3"/>
        <v>12101.132340567143</v>
      </c>
      <c r="P11" s="76">
        <f t="shared" si="2"/>
        <v>12109.463651559416</v>
      </c>
      <c r="R11" s="1" t="s">
        <v>68</v>
      </c>
      <c r="S11" s="77">
        <f>P27</f>
        <v>136809.07727395685</v>
      </c>
      <c r="T11" s="77">
        <f>'Q.2 (ii)'!D5</f>
        <v>112527.45067381565</v>
      </c>
      <c r="U11" s="81"/>
      <c r="V11" s="81"/>
    </row>
    <row r="12" spans="1:22" x14ac:dyDescent="0.2">
      <c r="A12" s="1">
        <f t="shared" si="4"/>
        <v>2006</v>
      </c>
      <c r="B12" s="60">
        <f>MAX(0,('Q.2-Data'!G15/'Q.2-Data'!G14)-1)</f>
        <v>0.125</v>
      </c>
      <c r="D12" s="1">
        <v>5</v>
      </c>
      <c r="E12" s="1">
        <f t="shared" si="5"/>
        <v>2006</v>
      </c>
      <c r="F12" s="1">
        <f t="shared" si="5"/>
        <v>34</v>
      </c>
      <c r="G12" s="76">
        <f t="shared" si="6"/>
        <v>100000</v>
      </c>
      <c r="H12" s="68">
        <f>VLOOKUP(F12,'Q.2-Data'!$C$9:$D$110,2,0)</f>
        <v>8.4000000000000003E-4</v>
      </c>
      <c r="I12" s="76">
        <f t="shared" si="7"/>
        <v>12109.463651559416</v>
      </c>
      <c r="J12" s="76">
        <f t="shared" si="8"/>
        <v>3000</v>
      </c>
      <c r="K12" s="74">
        <v>0</v>
      </c>
      <c r="L12" s="74">
        <f>-VLOOKUP(E12,'[1]Q1 data'!$L$10:$M$29,2,0)</f>
        <v>-13.68</v>
      </c>
      <c r="M12" s="76">
        <f t="shared" si="0"/>
        <v>16982.756608004343</v>
      </c>
      <c r="N12" s="76">
        <f t="shared" si="1"/>
        <v>-84</v>
      </c>
      <c r="O12" s="76">
        <f t="shared" si="3"/>
        <v>16898.756608004343</v>
      </c>
      <c r="P12" s="76">
        <f t="shared" si="2"/>
        <v>16912.963497342109</v>
      </c>
      <c r="U12" s="81"/>
    </row>
    <row r="13" spans="1:22" x14ac:dyDescent="0.2">
      <c r="A13" s="1">
        <f t="shared" si="4"/>
        <v>2007</v>
      </c>
      <c r="B13" s="60">
        <f>MAX(0,('Q.2-Data'!G16/'Q.2-Data'!G15)-1)</f>
        <v>9.6700000000000008E-2</v>
      </c>
      <c r="D13" s="1">
        <v>6</v>
      </c>
      <c r="E13" s="1">
        <f t="shared" si="5"/>
        <v>2007</v>
      </c>
      <c r="F13" s="1">
        <f t="shared" si="5"/>
        <v>35</v>
      </c>
      <c r="G13" s="76">
        <f t="shared" si="6"/>
        <v>100000</v>
      </c>
      <c r="H13" s="68">
        <f>VLOOKUP(F13,'Q.2-Data'!$C$9:$D$110,2,0)</f>
        <v>9.0600000000000001E-4</v>
      </c>
      <c r="I13" s="76">
        <f t="shared" si="7"/>
        <v>16912.963497342109</v>
      </c>
      <c r="J13" s="76">
        <f t="shared" si="8"/>
        <v>3000</v>
      </c>
      <c r="K13" s="74">
        <v>0</v>
      </c>
      <c r="L13" s="74">
        <f>-VLOOKUP(E13,'[1]Q1 data'!$L$10:$M$29,2,0)</f>
        <v>-14.63</v>
      </c>
      <c r="M13" s="76">
        <f t="shared" si="0"/>
        <v>21822.50234653509</v>
      </c>
      <c r="N13" s="76">
        <f t="shared" si="1"/>
        <v>-90.6</v>
      </c>
      <c r="O13" s="76">
        <f t="shared" si="3"/>
        <v>21731.902346535091</v>
      </c>
      <c r="P13" s="76">
        <f t="shared" si="2"/>
        <v>21751.609304565027</v>
      </c>
      <c r="R13" s="1" t="s">
        <v>58</v>
      </c>
      <c r="S13" s="82">
        <f>G8</f>
        <v>100000</v>
      </c>
      <c r="T13" s="82">
        <f>'Q.2 (ii)'!D7</f>
        <v>100000</v>
      </c>
      <c r="U13" s="81"/>
    </row>
    <row r="14" spans="1:22" x14ac:dyDescent="0.2">
      <c r="A14" s="1">
        <f t="shared" si="4"/>
        <v>2008</v>
      </c>
      <c r="B14" s="60">
        <f>MAX(0,('Q.2-Data'!G17/'Q.2-Data'!G16)-1)</f>
        <v>0.14999999999999991</v>
      </c>
      <c r="D14" s="1">
        <v>7</v>
      </c>
      <c r="E14" s="1">
        <f t="shared" si="5"/>
        <v>2008</v>
      </c>
      <c r="F14" s="1">
        <f t="shared" si="5"/>
        <v>36</v>
      </c>
      <c r="G14" s="76">
        <f t="shared" si="6"/>
        <v>100000</v>
      </c>
      <c r="H14" s="68">
        <f>VLOOKUP(F14,'Q.2-Data'!$C$9:$D$110,2,0)</f>
        <v>9.8700000000000003E-4</v>
      </c>
      <c r="I14" s="76">
        <f t="shared" si="7"/>
        <v>21751.609304565027</v>
      </c>
      <c r="J14" s="76">
        <f t="shared" si="8"/>
        <v>3000</v>
      </c>
      <c r="K14" s="74">
        <v>0</v>
      </c>
      <c r="L14" s="74">
        <f>-VLOOKUP(E14,'[1]Q1 data'!$L$10:$M$29,2,0)</f>
        <v>-14.63</v>
      </c>
      <c r="M14" s="76">
        <f t="shared" si="0"/>
        <v>28447.526200249777</v>
      </c>
      <c r="N14" s="76">
        <f t="shared" si="1"/>
        <v>-98.7</v>
      </c>
      <c r="O14" s="76">
        <f t="shared" si="3"/>
        <v>28348.826200249776</v>
      </c>
      <c r="P14" s="76">
        <f t="shared" si="2"/>
        <v>28376.834135541554</v>
      </c>
      <c r="R14" s="1" t="s">
        <v>69</v>
      </c>
      <c r="S14" s="82">
        <f>95%*S11-S13</f>
        <v>29968.623410258995</v>
      </c>
      <c r="T14" s="82">
        <f>'Q.2 (ii)'!D8</f>
        <v>6901.0781401248678</v>
      </c>
      <c r="U14" s="81"/>
      <c r="V14" s="81"/>
    </row>
    <row r="15" spans="1:22" x14ac:dyDescent="0.2">
      <c r="A15" s="1">
        <f t="shared" si="4"/>
        <v>2009</v>
      </c>
      <c r="B15" s="60">
        <f>MAX(0,('Q.2-Data'!G18/'Q.2-Data'!G17)-1)</f>
        <v>0.1100000000000001</v>
      </c>
      <c r="D15" s="1">
        <v>8</v>
      </c>
      <c r="E15" s="1">
        <f t="shared" si="5"/>
        <v>2009</v>
      </c>
      <c r="F15" s="1">
        <f t="shared" si="5"/>
        <v>37</v>
      </c>
      <c r="G15" s="76">
        <f t="shared" si="6"/>
        <v>100000</v>
      </c>
      <c r="H15" s="68">
        <f>VLOOKUP(F15,'Q.2-Data'!$C$9:$D$110,2,0)</f>
        <v>1.0840000000000001E-3</v>
      </c>
      <c r="I15" s="76">
        <f t="shared" si="7"/>
        <v>28376.834135541554</v>
      </c>
      <c r="J15" s="76">
        <f t="shared" si="8"/>
        <v>3000</v>
      </c>
      <c r="K15" s="74">
        <v>0</v>
      </c>
      <c r="L15" s="74">
        <f>-VLOOKUP(E15,'[1]Q1 data'!$L$10:$M$29,2,0)</f>
        <v>-15.36</v>
      </c>
      <c r="M15" s="76">
        <f t="shared" si="0"/>
        <v>34811.236290451125</v>
      </c>
      <c r="N15" s="76">
        <f t="shared" si="1"/>
        <v>-108.4</v>
      </c>
      <c r="O15" s="76">
        <f t="shared" si="3"/>
        <v>34702.836290451123</v>
      </c>
      <c r="P15" s="76">
        <f t="shared" si="2"/>
        <v>34740.494987017046</v>
      </c>
      <c r="R15" s="1" t="s">
        <v>70</v>
      </c>
      <c r="S15" s="60">
        <f>S14/S13</f>
        <v>0.29968623410258993</v>
      </c>
      <c r="T15" s="60">
        <f>'Q.2 (ii)'!D9</f>
        <v>6.901078140124868E-2</v>
      </c>
      <c r="U15" s="81"/>
    </row>
    <row r="16" spans="1:22" ht="13.5" thickBot="1" x14ac:dyDescent="0.25">
      <c r="A16" s="1">
        <f t="shared" si="4"/>
        <v>2010</v>
      </c>
      <c r="B16" s="60">
        <f>MAX(0,('Q.2-Data'!G19/'Q.2-Data'!G18)-1)</f>
        <v>6.6699999999999982E-2</v>
      </c>
      <c r="D16" s="1">
        <v>9</v>
      </c>
      <c r="E16" s="1">
        <f t="shared" si="5"/>
        <v>2010</v>
      </c>
      <c r="F16" s="1">
        <f t="shared" si="5"/>
        <v>38</v>
      </c>
      <c r="G16" s="76">
        <f t="shared" si="6"/>
        <v>100000</v>
      </c>
      <c r="H16" s="68">
        <f>VLOOKUP(F16,'Q.2-Data'!$C$9:$D$110,2,0)</f>
        <v>1.1999999999999999E-3</v>
      </c>
      <c r="I16" s="76">
        <f t="shared" si="7"/>
        <v>34740.494987017046</v>
      </c>
      <c r="J16" s="76">
        <f t="shared" si="8"/>
        <v>3000</v>
      </c>
      <c r="K16" s="74">
        <v>0</v>
      </c>
      <c r="L16" s="74">
        <f>-VLOOKUP(E16,'[1]Q1 data'!$L$10:$M$29,2,0)</f>
        <v>-15.47</v>
      </c>
      <c r="M16" s="76">
        <f t="shared" si="0"/>
        <v>40241.284153651082</v>
      </c>
      <c r="N16" s="76">
        <f t="shared" si="1"/>
        <v>-119.99999999999999</v>
      </c>
      <c r="O16" s="76">
        <f t="shared" si="3"/>
        <v>40121.284153651082</v>
      </c>
      <c r="P16" s="76">
        <f t="shared" si="2"/>
        <v>40169.487538697518</v>
      </c>
      <c r="S16" s="23"/>
      <c r="T16" s="81"/>
      <c r="U16" s="81"/>
    </row>
    <row r="17" spans="1:21" ht="13.5" thickBot="1" x14ac:dyDescent="0.25">
      <c r="A17" s="1">
        <f t="shared" si="4"/>
        <v>2011</v>
      </c>
      <c r="B17" s="60">
        <f>MAX(0,('Q.2-Data'!G20/'Q.2-Data'!G19)-1)</f>
        <v>0</v>
      </c>
      <c r="D17" s="1">
        <v>10</v>
      </c>
      <c r="E17" s="1">
        <f t="shared" si="5"/>
        <v>2011</v>
      </c>
      <c r="F17" s="1">
        <f t="shared" si="5"/>
        <v>39</v>
      </c>
      <c r="G17" s="76">
        <f t="shared" si="6"/>
        <v>100000</v>
      </c>
      <c r="H17" s="68">
        <f>VLOOKUP(F17,'Q.2-Data'!$C$9:$D$110,2,0)</f>
        <v>1.335E-3</v>
      </c>
      <c r="I17" s="76">
        <f t="shared" si="7"/>
        <v>40169.487538697518</v>
      </c>
      <c r="J17" s="76">
        <f t="shared" si="8"/>
        <v>3000</v>
      </c>
      <c r="K17" s="74">
        <v>0</v>
      </c>
      <c r="L17" s="74">
        <f>-VLOOKUP(E17,'[1]Q1 data'!$L$10:$M$29,2,0)</f>
        <v>-19.7</v>
      </c>
      <c r="M17" s="76">
        <f t="shared" si="0"/>
        <v>43149.787538697521</v>
      </c>
      <c r="N17" s="76">
        <f t="shared" si="1"/>
        <v>-133.5</v>
      </c>
      <c r="O17" s="76">
        <f t="shared" si="3"/>
        <v>43016.287538697521</v>
      </c>
      <c r="P17" s="76">
        <f t="shared" si="2"/>
        <v>43073.791049748936</v>
      </c>
      <c r="R17" s="61" t="s">
        <v>82</v>
      </c>
      <c r="S17" s="83">
        <f>S14-T14</f>
        <v>23067.545270134127</v>
      </c>
      <c r="T17" s="81"/>
      <c r="U17" s="81"/>
    </row>
    <row r="18" spans="1:21" x14ac:dyDescent="0.2">
      <c r="A18" s="1">
        <f t="shared" si="4"/>
        <v>2012</v>
      </c>
      <c r="B18" s="60">
        <f>MAX(0,('Q.2-Data'!G21/'Q.2-Data'!G20)-1)</f>
        <v>0.14680000000000004</v>
      </c>
      <c r="D18" s="1">
        <v>11</v>
      </c>
      <c r="E18" s="1">
        <f t="shared" si="5"/>
        <v>2012</v>
      </c>
      <c r="F18" s="1">
        <f t="shared" si="5"/>
        <v>40</v>
      </c>
      <c r="G18" s="76">
        <f t="shared" si="6"/>
        <v>100000</v>
      </c>
      <c r="H18" s="68">
        <f>VLOOKUP(F18,'Q.2-Data'!$C$9:$D$110,2,0)</f>
        <v>1.493E-3</v>
      </c>
      <c r="I18" s="76">
        <f t="shared" si="7"/>
        <v>43073.791049748936</v>
      </c>
      <c r="J18" s="76">
        <f t="shared" si="8"/>
        <v>3000</v>
      </c>
      <c r="K18" s="74">
        <v>0</v>
      </c>
      <c r="L18" s="74">
        <f>-VLOOKUP(E18,'[1]Q1 data'!$L$10:$M$29,2,0)</f>
        <v>-12.1</v>
      </c>
      <c r="M18" s="76">
        <f t="shared" si="0"/>
        <v>52823.547295852084</v>
      </c>
      <c r="N18" s="76">
        <f t="shared" si="1"/>
        <v>-149.29999999999998</v>
      </c>
      <c r="O18" s="76">
        <f t="shared" si="3"/>
        <v>52674.247295852081</v>
      </c>
      <c r="P18" s="76">
        <f t="shared" si="2"/>
        <v>52753.007536103483</v>
      </c>
      <c r="S18" s="70"/>
      <c r="T18" s="81"/>
      <c r="U18" s="81"/>
    </row>
    <row r="19" spans="1:21" x14ac:dyDescent="0.2">
      <c r="A19" s="1">
        <f t="shared" si="4"/>
        <v>2013</v>
      </c>
      <c r="B19" s="60">
        <f>MAX(0,('Q.2-Data'!G22/'Q.2-Data'!G21)-1)</f>
        <v>0.12480000000000002</v>
      </c>
      <c r="D19" s="1">
        <v>12</v>
      </c>
      <c r="E19" s="1">
        <f t="shared" si="5"/>
        <v>2013</v>
      </c>
      <c r="F19" s="1">
        <f t="shared" si="5"/>
        <v>41</v>
      </c>
      <c r="G19" s="76">
        <f t="shared" si="6"/>
        <v>100000</v>
      </c>
      <c r="H19" s="68">
        <f>VLOOKUP(F19,'Q.2-Data'!$C$9:$D$110,2,0)</f>
        <v>1.6740000000000001E-3</v>
      </c>
      <c r="I19" s="76">
        <f t="shared" si="7"/>
        <v>52753.007536103483</v>
      </c>
      <c r="J19" s="76">
        <f t="shared" si="8"/>
        <v>3000</v>
      </c>
      <c r="K19" s="74">
        <v>0</v>
      </c>
      <c r="L19" s="74">
        <f>-VLOOKUP(E19,'[1]Q1 data'!$L$10:$M$29,2,0)</f>
        <v>-15.41</v>
      </c>
      <c r="M19" s="76">
        <f t="shared" si="0"/>
        <v>62693.649708609199</v>
      </c>
      <c r="N19" s="76">
        <f t="shared" si="1"/>
        <v>-167.4</v>
      </c>
      <c r="O19" s="76">
        <f t="shared" si="3"/>
        <v>62526.249708609197</v>
      </c>
      <c r="P19" s="76">
        <f t="shared" si="2"/>
        <v>62631.094160233428</v>
      </c>
      <c r="R19" s="1" t="s">
        <v>83</v>
      </c>
      <c r="S19" s="82">
        <f>T11</f>
        <v>112527.45067381565</v>
      </c>
      <c r="T19" s="82">
        <f>T11</f>
        <v>112527.45067381565</v>
      </c>
      <c r="U19" s="81"/>
    </row>
    <row r="20" spans="1:21" ht="13.5" thickBot="1" x14ac:dyDescent="0.25">
      <c r="A20" s="1">
        <f t="shared" si="4"/>
        <v>2014</v>
      </c>
      <c r="B20" s="60">
        <f>MAX(0,('Q.2-Data'!G23/'Q.2-Data'!G22)-1)</f>
        <v>7.0100000000000051E-2</v>
      </c>
      <c r="D20" s="1">
        <v>13</v>
      </c>
      <c r="E20" s="1">
        <f t="shared" si="5"/>
        <v>2014</v>
      </c>
      <c r="F20" s="1">
        <f t="shared" si="5"/>
        <v>42</v>
      </c>
      <c r="G20" s="76">
        <f t="shared" si="6"/>
        <v>100000</v>
      </c>
      <c r="H20" s="68">
        <f>VLOOKUP(F20,'Q.2-Data'!$C$9:$D$110,2,0)</f>
        <v>1.8809999999999999E-3</v>
      </c>
      <c r="I20" s="76">
        <f t="shared" si="7"/>
        <v>62631.094160233428</v>
      </c>
      <c r="J20" s="76">
        <f t="shared" si="8"/>
        <v>3000</v>
      </c>
      <c r="K20" s="74">
        <v>0</v>
      </c>
      <c r="L20" s="74">
        <f>-VLOOKUP(E20,'[1]Q1 data'!$L$10:$M$29,2,0)</f>
        <v>-15.76</v>
      </c>
      <c r="M20" s="76">
        <f t="shared" si="0"/>
        <v>70214.969084865792</v>
      </c>
      <c r="N20" s="76">
        <f t="shared" si="1"/>
        <v>-188.1</v>
      </c>
      <c r="O20" s="76">
        <f t="shared" si="3"/>
        <v>70026.869084865786</v>
      </c>
      <c r="P20" s="76">
        <f t="shared" si="2"/>
        <v>70158.837858878338</v>
      </c>
      <c r="R20" s="1" t="s">
        <v>84</v>
      </c>
      <c r="S20" s="82">
        <f>S13+S14</f>
        <v>129968.623410259</v>
      </c>
      <c r="T20" s="82">
        <f>T13+T14</f>
        <v>106901.07814012487</v>
      </c>
      <c r="U20" s="81"/>
    </row>
    <row r="21" spans="1:21" ht="13.5" thickBot="1" x14ac:dyDescent="0.25">
      <c r="A21" s="1">
        <f t="shared" si="4"/>
        <v>2015</v>
      </c>
      <c r="B21" s="60">
        <f>MAX(0,('Q.2-Data'!G24/'Q.2-Data'!G23)-1)</f>
        <v>8.5499999999999909E-2</v>
      </c>
      <c r="D21" s="1">
        <v>14</v>
      </c>
      <c r="E21" s="1">
        <f t="shared" si="5"/>
        <v>2015</v>
      </c>
      <c r="F21" s="1">
        <f t="shared" si="5"/>
        <v>43</v>
      </c>
      <c r="G21" s="76">
        <f t="shared" si="6"/>
        <v>100000</v>
      </c>
      <c r="H21" s="68">
        <f>VLOOKUP(F21,'Q.2-Data'!$C$9:$D$110,2,0)</f>
        <v>2.1179999999999997E-3</v>
      </c>
      <c r="I21" s="76">
        <f t="shared" si="7"/>
        <v>70158.837858878338</v>
      </c>
      <c r="J21" s="76">
        <f t="shared" si="8"/>
        <v>3000</v>
      </c>
      <c r="K21" s="74">
        <v>0</v>
      </c>
      <c r="L21" s="74">
        <f>-VLOOKUP(E21,'[1]Q1 data'!$L$10:$M$29,2,0)</f>
        <v>-15.7</v>
      </c>
      <c r="M21" s="76">
        <f t="shared" si="0"/>
        <v>79396.876145812435</v>
      </c>
      <c r="N21" s="76">
        <f t="shared" si="1"/>
        <v>-211.79999999999995</v>
      </c>
      <c r="O21" s="76">
        <f t="shared" si="3"/>
        <v>79185.076145812433</v>
      </c>
      <c r="P21" s="76">
        <f t="shared" si="2"/>
        <v>79353.146109271867</v>
      </c>
      <c r="R21" s="61" t="s">
        <v>85</v>
      </c>
      <c r="S21" s="83">
        <f>S19-S20</f>
        <v>-17441.172736443346</v>
      </c>
      <c r="T21" s="82">
        <f>T19-T20</f>
        <v>5626.372533690781</v>
      </c>
      <c r="U21" s="81"/>
    </row>
    <row r="22" spans="1:21" x14ac:dyDescent="0.2">
      <c r="A22" s="1">
        <f t="shared" si="4"/>
        <v>2016</v>
      </c>
      <c r="B22" s="60">
        <f>MAX(0,('Q.2-Data'!G25/'Q.2-Data'!G24)-1)</f>
        <v>9.8799999999999999E-2</v>
      </c>
      <c r="D22" s="1">
        <v>15</v>
      </c>
      <c r="E22" s="1">
        <f t="shared" si="5"/>
        <v>2016</v>
      </c>
      <c r="F22" s="1">
        <f t="shared" si="5"/>
        <v>44</v>
      </c>
      <c r="G22" s="76">
        <f t="shared" si="6"/>
        <v>100000</v>
      </c>
      <c r="H22" s="68">
        <f>VLOOKUP(F22,'Q.2-Data'!$C$9:$D$110,2,0)</f>
        <v>2.385E-3</v>
      </c>
      <c r="I22" s="76">
        <f t="shared" si="7"/>
        <v>79353.146109271867</v>
      </c>
      <c r="J22" s="76">
        <f t="shared" si="8"/>
        <v>3000</v>
      </c>
      <c r="K22" s="74">
        <v>0</v>
      </c>
      <c r="L22" s="74">
        <f>-VLOOKUP(E22,'[1]Q1 data'!$L$10:$M$29,2,0)</f>
        <v>-16.440000000000001</v>
      </c>
      <c r="M22" s="76">
        <f t="shared" si="0"/>
        <v>90471.572672867929</v>
      </c>
      <c r="N22" s="76">
        <f t="shared" si="1"/>
        <v>-238.5</v>
      </c>
      <c r="O22" s="76">
        <f t="shared" si="3"/>
        <v>90233.072672867929</v>
      </c>
      <c r="P22" s="76">
        <f t="shared" si="2"/>
        <v>90448.793044278529</v>
      </c>
    </row>
    <row r="23" spans="1:21" x14ac:dyDescent="0.2">
      <c r="A23" s="1">
        <f t="shared" si="4"/>
        <v>2017</v>
      </c>
      <c r="B23" s="60">
        <f>MAX(0,('Q.2-Data'!G26/'Q.2-Data'!G25)-1)</f>
        <v>0.10159999999999991</v>
      </c>
      <c r="D23" s="1">
        <v>16</v>
      </c>
      <c r="E23" s="1">
        <f t="shared" si="5"/>
        <v>2017</v>
      </c>
      <c r="F23" s="1">
        <f t="shared" si="5"/>
        <v>45</v>
      </c>
      <c r="G23" s="76">
        <f t="shared" si="6"/>
        <v>100000</v>
      </c>
      <c r="H23" s="68">
        <f>VLOOKUP(F23,'Q.2-Data'!$C$9:$D$110,2,0)</f>
        <v>2.6869999999999997E-3</v>
      </c>
      <c r="I23" s="76">
        <f t="shared" si="7"/>
        <v>90448.793044278529</v>
      </c>
      <c r="J23" s="76">
        <f t="shared" si="8"/>
        <v>3000</v>
      </c>
      <c r="K23" s="74">
        <v>0</v>
      </c>
      <c r="L23" s="74">
        <f>-VLOOKUP(E23,'[1]Q1 data'!$L$10:$M$29,2,0)</f>
        <v>-16.690000000000001</v>
      </c>
      <c r="M23" s="76">
        <f t="shared" si="0"/>
        <v>102924.80471357722</v>
      </c>
      <c r="N23" s="76">
        <f t="shared" si="1"/>
        <v>-268.7</v>
      </c>
      <c r="O23" s="76">
        <f t="shared" si="3"/>
        <v>102656.10471357722</v>
      </c>
      <c r="P23" s="76">
        <f t="shared" si="2"/>
        <v>102932.68483773622</v>
      </c>
    </row>
    <row r="24" spans="1:21" x14ac:dyDescent="0.2">
      <c r="A24" s="1">
        <f t="shared" si="4"/>
        <v>2018</v>
      </c>
      <c r="B24" s="60">
        <f>MAX(0,('Q.2-Data'!G27/'Q.2-Data'!G26)-1)</f>
        <v>2.9300000000000104E-2</v>
      </c>
      <c r="D24" s="1">
        <v>17</v>
      </c>
      <c r="E24" s="1">
        <f t="shared" si="5"/>
        <v>2018</v>
      </c>
      <c r="F24" s="1">
        <f t="shared" si="5"/>
        <v>46</v>
      </c>
      <c r="G24" s="76">
        <f t="shared" si="6"/>
        <v>100000</v>
      </c>
      <c r="H24" s="68">
        <f>VLOOKUP(F24,'Q.2-Data'!$C$9:$D$110,2,0)</f>
        <v>3.0270000000000002E-3</v>
      </c>
      <c r="I24" s="76">
        <f t="shared" si="7"/>
        <v>102932.68483773622</v>
      </c>
      <c r="J24" s="76">
        <f t="shared" si="8"/>
        <v>3000</v>
      </c>
      <c r="K24" s="74">
        <v>0</v>
      </c>
      <c r="L24" s="74">
        <f>-VLOOKUP(E24,'[1]Q1 data'!$L$10:$M$29,2,0)</f>
        <v>-18.190000000000001</v>
      </c>
      <c r="M24" s="76">
        <f t="shared" si="0"/>
        <v>109017.7895364819</v>
      </c>
      <c r="N24" s="76">
        <f t="shared" si="1"/>
        <v>-302.70000000000005</v>
      </c>
      <c r="O24" s="76">
        <f t="shared" si="3"/>
        <v>108715.0895364819</v>
      </c>
      <c r="P24" s="76">
        <f t="shared" si="2"/>
        <v>109045.16926384355</v>
      </c>
    </row>
    <row r="25" spans="1:21" x14ac:dyDescent="0.2">
      <c r="A25" s="1">
        <f t="shared" si="4"/>
        <v>2019</v>
      </c>
      <c r="B25" s="60">
        <f>MAX(0,('Q.2-Data'!G28/'Q.2-Data'!G27)-1)</f>
        <v>0.11149999999999993</v>
      </c>
      <c r="D25" s="1">
        <v>18</v>
      </c>
      <c r="E25" s="1">
        <f t="shared" si="5"/>
        <v>2019</v>
      </c>
      <c r="F25" s="1">
        <f t="shared" si="5"/>
        <v>47</v>
      </c>
      <c r="G25" s="76">
        <f t="shared" si="6"/>
        <v>100000</v>
      </c>
      <c r="H25" s="68">
        <f>VLOOKUP(F25,'Q.2-Data'!$C$9:$D$110,2,0)</f>
        <v>3.4079999999999996E-3</v>
      </c>
      <c r="I25" s="76">
        <f t="shared" si="7"/>
        <v>109045.16926384355</v>
      </c>
      <c r="J25" s="76">
        <f t="shared" si="8"/>
        <v>3000</v>
      </c>
      <c r="K25" s="74">
        <v>0</v>
      </c>
      <c r="L25" s="74">
        <f>-VLOOKUP(E25,'[1]Q1 data'!$L$10:$M$29,2,0)</f>
        <v>-18.989999999999998</v>
      </c>
      <c r="M25" s="76">
        <f t="shared" si="0"/>
        <v>124517.09825176209</v>
      </c>
      <c r="N25" s="76">
        <f t="shared" si="1"/>
        <v>-340.79999999999995</v>
      </c>
      <c r="O25" s="76">
        <f t="shared" si="3"/>
        <v>124176.29825176208</v>
      </c>
      <c r="P25" s="76">
        <f t="shared" si="2"/>
        <v>124600.93824931575</v>
      </c>
    </row>
    <row r="26" spans="1:21" x14ac:dyDescent="0.2">
      <c r="A26" s="1">
        <f t="shared" si="4"/>
        <v>2020</v>
      </c>
      <c r="B26" s="60">
        <f>MAX(0,('Q.2-Data'!G29/'Q.2-Data'!G28)-1)</f>
        <v>4.6699999999999964E-2</v>
      </c>
      <c r="D26" s="1">
        <v>19</v>
      </c>
      <c r="E26" s="1">
        <f t="shared" ref="E26:F27" si="9">E25+1</f>
        <v>2020</v>
      </c>
      <c r="F26" s="1">
        <f t="shared" si="9"/>
        <v>48</v>
      </c>
      <c r="G26" s="76">
        <f t="shared" si="6"/>
        <v>100000</v>
      </c>
      <c r="H26" s="68">
        <f>VLOOKUP(F26,'Q.2-Data'!$C$9:$D$110,2,0)</f>
        <v>3.8340000000000002E-3</v>
      </c>
      <c r="I26" s="76">
        <f t="shared" si="7"/>
        <v>124600.93824931575</v>
      </c>
      <c r="J26" s="76">
        <f t="shared" si="8"/>
        <v>3000</v>
      </c>
      <c r="K26" s="74">
        <v>0</v>
      </c>
      <c r="L26" s="74">
        <f>-VLOOKUP(E26,'[1]Q1 data'!$L$10:$M$29,2,0)</f>
        <v>-18.510000000000002</v>
      </c>
      <c r="M26" s="76">
        <f t="shared" si="0"/>
        <v>133540.52764855878</v>
      </c>
      <c r="N26" s="76">
        <f t="shared" si="1"/>
        <v>-383.40000000000003</v>
      </c>
      <c r="O26" s="76">
        <f t="shared" si="3"/>
        <v>133157.12764855879</v>
      </c>
      <c r="P26" s="76">
        <f t="shared" si="2"/>
        <v>133669.61695998337</v>
      </c>
    </row>
    <row r="27" spans="1:21" x14ac:dyDescent="0.2">
      <c r="A27" s="1">
        <f t="shared" si="4"/>
        <v>2021</v>
      </c>
      <c r="B27" s="60">
        <f>MAX(0,('Q.2-Data'!G30/'Q.2-Data'!G29)-1)</f>
        <v>0</v>
      </c>
      <c r="D27" s="1">
        <v>20</v>
      </c>
      <c r="E27" s="1">
        <f t="shared" si="9"/>
        <v>2021</v>
      </c>
      <c r="F27" s="1">
        <f t="shared" si="9"/>
        <v>49</v>
      </c>
      <c r="G27" s="76">
        <f t="shared" si="6"/>
        <v>100000</v>
      </c>
      <c r="H27" s="68">
        <f>VLOOKUP(F27,'Q.2-Data'!$C$9:$D$110,2,0)</f>
        <v>4.3090000000000003E-3</v>
      </c>
      <c r="I27" s="76">
        <f t="shared" si="7"/>
        <v>133669.61695998337</v>
      </c>
      <c r="J27" s="76">
        <f t="shared" si="8"/>
        <v>3000</v>
      </c>
      <c r="K27" s="74">
        <v>0</v>
      </c>
      <c r="L27" s="74">
        <f>-VLOOKUP(E27,'[1]Q1 data'!$L$10:$M$29,2,0)</f>
        <v>-19.149999999999999</v>
      </c>
      <c r="M27" s="76">
        <f t="shared" si="0"/>
        <v>136650.46695998337</v>
      </c>
      <c r="N27" s="76">
        <f t="shared" si="1"/>
        <v>-430.90000000000003</v>
      </c>
      <c r="O27" s="76">
        <f t="shared" si="3"/>
        <v>136219.56695998338</v>
      </c>
      <c r="P27" s="76">
        <f>O27/(1-H27)</f>
        <v>136809.07727395685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topLeftCell="B1" workbookViewId="0"/>
  </sheetViews>
  <sheetFormatPr defaultRowHeight="12.75" x14ac:dyDescent="0.2"/>
  <cols>
    <col min="3" max="3" width="112.28515625" bestFit="1" customWidth="1"/>
  </cols>
  <sheetData>
    <row r="3" spans="2:4" x14ac:dyDescent="0.2">
      <c r="B3" s="80" t="s">
        <v>87</v>
      </c>
    </row>
    <row r="4" spans="2:4" x14ac:dyDescent="0.2">
      <c r="B4">
        <v>1</v>
      </c>
      <c r="C4" t="s">
        <v>86</v>
      </c>
      <c r="D4" s="81"/>
    </row>
    <row r="5" spans="2:4" x14ac:dyDescent="0.2">
      <c r="B5">
        <v>2</v>
      </c>
      <c r="C5" t="s">
        <v>88</v>
      </c>
      <c r="D5" s="81"/>
    </row>
    <row r="6" spans="2:4" x14ac:dyDescent="0.2">
      <c r="B6" s="1">
        <v>3</v>
      </c>
      <c r="C6" s="1" t="s">
        <v>89</v>
      </c>
      <c r="D6" s="81"/>
    </row>
    <row r="7" spans="2:4" x14ac:dyDescent="0.2">
      <c r="D7" s="81"/>
    </row>
    <row r="8" spans="2:4" x14ac:dyDescent="0.2">
      <c r="B8" s="80" t="s">
        <v>90</v>
      </c>
    </row>
    <row r="9" spans="2:4" x14ac:dyDescent="0.2">
      <c r="B9" t="s">
        <v>91</v>
      </c>
      <c r="D9" s="81"/>
    </row>
  </sheetData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8"/>
  <sheetViews>
    <sheetView workbookViewId="0"/>
  </sheetViews>
  <sheetFormatPr defaultRowHeight="12.75" x14ac:dyDescent="0.2"/>
  <cols>
    <col min="2" max="2" width="7.28515625" customWidth="1"/>
    <col min="3" max="3" width="13.28515625" customWidth="1"/>
    <col min="4" max="4" width="7.28515625" customWidth="1"/>
    <col min="5" max="5" width="8.28515625" customWidth="1"/>
  </cols>
  <sheetData>
    <row r="1" spans="2:5" ht="13.5" thickBot="1" x14ac:dyDescent="0.25"/>
    <row r="2" spans="2:5" ht="25.5" x14ac:dyDescent="0.2">
      <c r="B2" s="14" t="s">
        <v>11</v>
      </c>
      <c r="C2" s="15" t="s">
        <v>12</v>
      </c>
      <c r="D2" s="16"/>
      <c r="E2" s="17"/>
    </row>
    <row r="3" spans="2:5" x14ac:dyDescent="0.2">
      <c r="B3" s="18">
        <v>0</v>
      </c>
      <c r="C3" s="19">
        <v>4.4450000000000002E-3</v>
      </c>
    </row>
    <row r="4" spans="2:5" x14ac:dyDescent="0.2">
      <c r="B4" s="18">
        <v>1</v>
      </c>
      <c r="C4" s="19">
        <v>3.8969999999999999E-3</v>
      </c>
    </row>
    <row r="5" spans="2:5" x14ac:dyDescent="0.2">
      <c r="B5" s="18">
        <v>2</v>
      </c>
      <c r="C5" s="19">
        <v>2.9350000000000001E-3</v>
      </c>
    </row>
    <row r="6" spans="2:5" x14ac:dyDescent="0.2">
      <c r="B6" s="18">
        <v>3</v>
      </c>
      <c r="C6" s="19">
        <v>2.212E-3</v>
      </c>
    </row>
    <row r="7" spans="2:5" x14ac:dyDescent="0.2">
      <c r="B7" s="18">
        <v>4</v>
      </c>
      <c r="C7" s="19">
        <v>1.67E-3</v>
      </c>
    </row>
    <row r="8" spans="2:5" x14ac:dyDescent="0.2">
      <c r="B8" s="18">
        <v>5</v>
      </c>
      <c r="C8" s="19">
        <v>1.2650000000000001E-3</v>
      </c>
    </row>
    <row r="9" spans="2:5" x14ac:dyDescent="0.2">
      <c r="B9" s="18">
        <v>6</v>
      </c>
      <c r="C9" s="19">
        <v>9.6400000000000001E-4</v>
      </c>
    </row>
    <row r="10" spans="2:5" x14ac:dyDescent="0.2">
      <c r="B10" s="18">
        <v>7</v>
      </c>
      <c r="C10" s="19">
        <v>7.4399999999999998E-4</v>
      </c>
    </row>
    <row r="11" spans="2:5" x14ac:dyDescent="0.2">
      <c r="B11" s="18">
        <v>8</v>
      </c>
      <c r="C11" s="19">
        <v>5.9000000000000003E-4</v>
      </c>
    </row>
    <row r="12" spans="2:5" x14ac:dyDescent="0.2">
      <c r="B12" s="18">
        <v>9</v>
      </c>
      <c r="C12" s="19">
        <v>4.9200000000000003E-4</v>
      </c>
    </row>
    <row r="13" spans="2:5" x14ac:dyDescent="0.2">
      <c r="B13" s="18">
        <v>10</v>
      </c>
      <c r="C13" s="19">
        <v>4.4000000000000002E-4</v>
      </c>
    </row>
    <row r="14" spans="2:5" x14ac:dyDescent="0.2">
      <c r="B14" s="18">
        <v>11</v>
      </c>
      <c r="C14" s="19">
        <v>4.28E-4</v>
      </c>
    </row>
    <row r="15" spans="2:5" x14ac:dyDescent="0.2">
      <c r="B15" s="18">
        <v>12</v>
      </c>
      <c r="C15" s="19">
        <v>4.4799999999999999E-4</v>
      </c>
    </row>
    <row r="16" spans="2:5" x14ac:dyDescent="0.2">
      <c r="B16" s="18">
        <v>13</v>
      </c>
      <c r="C16" s="19">
        <v>4.9100000000000001E-4</v>
      </c>
    </row>
    <row r="17" spans="2:3" x14ac:dyDescent="0.2">
      <c r="B17" s="18">
        <v>14</v>
      </c>
      <c r="C17" s="19">
        <v>5.4900000000000001E-4</v>
      </c>
    </row>
    <row r="18" spans="2:3" x14ac:dyDescent="0.2">
      <c r="B18" s="18">
        <v>15</v>
      </c>
      <c r="C18" s="19">
        <v>6.1399999999999996E-4</v>
      </c>
    </row>
    <row r="19" spans="2:3" x14ac:dyDescent="0.2">
      <c r="B19" s="18">
        <v>16</v>
      </c>
      <c r="C19" s="19">
        <v>6.8000000000000005E-4</v>
      </c>
    </row>
    <row r="20" spans="2:3" x14ac:dyDescent="0.2">
      <c r="B20" s="18">
        <v>17</v>
      </c>
      <c r="C20" s="19">
        <v>7.4299999999999995E-4</v>
      </c>
    </row>
    <row r="21" spans="2:3" x14ac:dyDescent="0.2">
      <c r="B21" s="18">
        <v>18</v>
      </c>
      <c r="C21" s="19">
        <v>8.0000000000000004E-4</v>
      </c>
    </row>
    <row r="22" spans="2:3" x14ac:dyDescent="0.2">
      <c r="B22" s="18">
        <v>19</v>
      </c>
      <c r="C22" s="19">
        <v>8.4800000000000001E-4</v>
      </c>
    </row>
    <row r="23" spans="2:3" x14ac:dyDescent="0.2">
      <c r="B23" s="18">
        <v>20</v>
      </c>
      <c r="C23" s="19">
        <v>8.8800000000000001E-4</v>
      </c>
    </row>
    <row r="24" spans="2:3" x14ac:dyDescent="0.2">
      <c r="B24" s="18">
        <v>21</v>
      </c>
      <c r="C24" s="19">
        <v>9.19E-4</v>
      </c>
    </row>
    <row r="25" spans="2:3" x14ac:dyDescent="0.2">
      <c r="B25" s="18">
        <v>22</v>
      </c>
      <c r="C25" s="19">
        <v>9.4300000000000004E-4</v>
      </c>
    </row>
    <row r="26" spans="2:3" x14ac:dyDescent="0.2">
      <c r="B26" s="18">
        <v>23</v>
      </c>
      <c r="C26" s="19">
        <v>9.6100000000000005E-4</v>
      </c>
    </row>
    <row r="27" spans="2:3" x14ac:dyDescent="0.2">
      <c r="B27" s="18">
        <v>24</v>
      </c>
      <c r="C27" s="19">
        <v>9.7400000000000004E-4</v>
      </c>
    </row>
    <row r="28" spans="2:3" x14ac:dyDescent="0.2">
      <c r="B28" s="18">
        <v>25</v>
      </c>
      <c r="C28" s="19">
        <v>9.8400000000000007E-4</v>
      </c>
    </row>
    <row r="29" spans="2:3" x14ac:dyDescent="0.2">
      <c r="B29" s="18">
        <v>26</v>
      </c>
      <c r="C29" s="19">
        <v>9.9400000000000009E-4</v>
      </c>
    </row>
    <row r="30" spans="2:3" x14ac:dyDescent="0.2">
      <c r="B30" s="18">
        <v>27</v>
      </c>
      <c r="C30" s="19">
        <v>1.0039999999999999E-3</v>
      </c>
    </row>
    <row r="31" spans="2:3" x14ac:dyDescent="0.2">
      <c r="B31" s="18">
        <v>28</v>
      </c>
      <c r="C31" s="19">
        <v>1.0169999999999999E-3</v>
      </c>
    </row>
    <row r="32" spans="2:3" x14ac:dyDescent="0.2">
      <c r="B32" s="18">
        <v>29</v>
      </c>
      <c r="C32" s="19">
        <v>1.034E-3</v>
      </c>
    </row>
    <row r="33" spans="2:3" x14ac:dyDescent="0.2">
      <c r="B33" s="18">
        <v>30</v>
      </c>
      <c r="C33" s="19">
        <v>1.0560000000000001E-3</v>
      </c>
    </row>
    <row r="34" spans="2:3" x14ac:dyDescent="0.2">
      <c r="B34" s="18">
        <v>31</v>
      </c>
      <c r="C34" s="19">
        <v>1.0839999999999999E-3</v>
      </c>
    </row>
    <row r="35" spans="2:3" x14ac:dyDescent="0.2">
      <c r="B35" s="18">
        <v>32</v>
      </c>
      <c r="C35" s="19">
        <v>1.119E-3</v>
      </c>
    </row>
    <row r="36" spans="2:3" x14ac:dyDescent="0.2">
      <c r="B36" s="18">
        <v>33</v>
      </c>
      <c r="C36" s="19">
        <v>1.1640000000000001E-3</v>
      </c>
    </row>
    <row r="37" spans="2:3" x14ac:dyDescent="0.2">
      <c r="B37" s="18">
        <v>34</v>
      </c>
      <c r="C37" s="19">
        <v>1.2179999999999999E-3</v>
      </c>
    </row>
    <row r="38" spans="2:3" x14ac:dyDescent="0.2">
      <c r="B38" s="18">
        <v>35</v>
      </c>
      <c r="C38" s="19">
        <v>1.2819999999999999E-3</v>
      </c>
    </row>
    <row r="39" spans="2:3" x14ac:dyDescent="0.2">
      <c r="B39" s="18">
        <v>36</v>
      </c>
      <c r="C39" s="19">
        <v>1.358E-3</v>
      </c>
    </row>
    <row r="40" spans="2:3" x14ac:dyDescent="0.2">
      <c r="B40" s="18">
        <v>37</v>
      </c>
      <c r="C40" s="19">
        <v>1.4469999999999999E-3</v>
      </c>
    </row>
    <row r="41" spans="2:3" x14ac:dyDescent="0.2">
      <c r="B41" s="18">
        <v>38</v>
      </c>
      <c r="C41" s="19">
        <v>1.549E-3</v>
      </c>
    </row>
    <row r="42" spans="2:3" x14ac:dyDescent="0.2">
      <c r="B42" s="18">
        <v>39</v>
      </c>
      <c r="C42" s="19">
        <v>1.6670000000000001E-3</v>
      </c>
    </row>
    <row r="43" spans="2:3" x14ac:dyDescent="0.2">
      <c r="B43" s="18">
        <v>40</v>
      </c>
      <c r="C43" s="19">
        <v>1.8029999999999999E-3</v>
      </c>
    </row>
    <row r="44" spans="2:3" x14ac:dyDescent="0.2">
      <c r="B44" s="18">
        <v>41</v>
      </c>
      <c r="C44" s="19">
        <v>1.9589999999999998E-3</v>
      </c>
    </row>
    <row r="45" spans="2:3" x14ac:dyDescent="0.2">
      <c r="B45" s="18">
        <v>42</v>
      </c>
      <c r="C45" s="19">
        <v>2.14E-3</v>
      </c>
    </row>
    <row r="46" spans="2:3" x14ac:dyDescent="0.2">
      <c r="B46" s="18">
        <v>43</v>
      </c>
      <c r="C46" s="19">
        <v>2.3500000000000001E-3</v>
      </c>
    </row>
    <row r="47" spans="2:3" x14ac:dyDescent="0.2">
      <c r="B47" s="18">
        <v>44</v>
      </c>
      <c r="C47" s="19">
        <v>2.5929999999999998E-3</v>
      </c>
    </row>
    <row r="48" spans="2:3" x14ac:dyDescent="0.2">
      <c r="B48" s="18">
        <v>45</v>
      </c>
      <c r="C48" s="19">
        <v>2.8739999999999998E-3</v>
      </c>
    </row>
    <row r="49" spans="2:3" x14ac:dyDescent="0.2">
      <c r="B49" s="18">
        <v>46</v>
      </c>
      <c r="C49" s="19">
        <v>3.1970000000000002E-3</v>
      </c>
    </row>
    <row r="50" spans="2:3" x14ac:dyDescent="0.2">
      <c r="B50" s="18">
        <v>47</v>
      </c>
      <c r="C50" s="19">
        <v>3.5669999999999999E-3</v>
      </c>
    </row>
    <row r="51" spans="2:3" x14ac:dyDescent="0.2">
      <c r="B51" s="18">
        <v>48</v>
      </c>
      <c r="C51" s="19">
        <v>3.9830000000000004E-3</v>
      </c>
    </row>
    <row r="52" spans="2:3" x14ac:dyDescent="0.2">
      <c r="B52" s="18">
        <v>49</v>
      </c>
      <c r="C52" s="19">
        <v>4.444E-3</v>
      </c>
    </row>
    <row r="53" spans="2:3" x14ac:dyDescent="0.2">
      <c r="B53" s="18">
        <v>50</v>
      </c>
      <c r="C53" s="19">
        <v>4.9459999999999999E-3</v>
      </c>
    </row>
    <row r="54" spans="2:3" x14ac:dyDescent="0.2">
      <c r="B54" s="18">
        <v>51</v>
      </c>
      <c r="C54" s="19">
        <v>5.483E-3</v>
      </c>
    </row>
    <row r="55" spans="2:3" x14ac:dyDescent="0.2">
      <c r="B55" s="18">
        <v>52</v>
      </c>
      <c r="C55" s="19">
        <v>6.051E-3</v>
      </c>
    </row>
    <row r="56" spans="2:3" x14ac:dyDescent="0.2">
      <c r="B56" s="18">
        <v>53</v>
      </c>
      <c r="C56" s="19">
        <v>6.6429999999999996E-3</v>
      </c>
    </row>
    <row r="57" spans="2:3" x14ac:dyDescent="0.2">
      <c r="B57" s="18">
        <v>54</v>
      </c>
      <c r="C57" s="19">
        <v>7.2560000000000003E-3</v>
      </c>
    </row>
    <row r="58" spans="2:3" x14ac:dyDescent="0.2">
      <c r="B58" s="18">
        <v>55</v>
      </c>
      <c r="C58" s="19">
        <v>7.8879999999999992E-3</v>
      </c>
    </row>
    <row r="59" spans="2:3" x14ac:dyDescent="0.2">
      <c r="B59" s="18">
        <v>56</v>
      </c>
      <c r="C59" s="19">
        <v>8.5430000000000002E-3</v>
      </c>
    </row>
    <row r="60" spans="2:3" x14ac:dyDescent="0.2">
      <c r="B60" s="18">
        <v>57</v>
      </c>
      <c r="C60" s="19">
        <v>9.2250000000000006E-3</v>
      </c>
    </row>
    <row r="61" spans="2:3" x14ac:dyDescent="0.2">
      <c r="B61" s="18">
        <v>58</v>
      </c>
      <c r="C61" s="19">
        <v>9.9439999999999997E-3</v>
      </c>
    </row>
    <row r="62" spans="2:3" x14ac:dyDescent="0.2">
      <c r="B62" s="18">
        <v>59</v>
      </c>
      <c r="C62" s="19">
        <v>1.0709E-2</v>
      </c>
    </row>
    <row r="63" spans="2:3" x14ac:dyDescent="0.2">
      <c r="B63" s="18">
        <v>60</v>
      </c>
      <c r="C63" s="19">
        <v>1.1534000000000001E-2</v>
      </c>
    </row>
    <row r="64" spans="2:3" x14ac:dyDescent="0.2">
      <c r="B64" s="18">
        <v>61</v>
      </c>
      <c r="C64" s="19">
        <v>1.2430999999999999E-2</v>
      </c>
    </row>
    <row r="65" spans="2:3" x14ac:dyDescent="0.2">
      <c r="B65" s="18">
        <v>62</v>
      </c>
      <c r="C65" s="19">
        <v>1.3414000000000001E-2</v>
      </c>
    </row>
    <row r="66" spans="2:3" x14ac:dyDescent="0.2">
      <c r="B66" s="18">
        <v>63</v>
      </c>
      <c r="C66" s="19">
        <v>1.4496999999999999E-2</v>
      </c>
    </row>
    <row r="67" spans="2:3" x14ac:dyDescent="0.2">
      <c r="B67" s="18">
        <v>64</v>
      </c>
      <c r="C67" s="19">
        <v>1.5691E-2</v>
      </c>
    </row>
    <row r="68" spans="2:3" x14ac:dyDescent="0.2">
      <c r="B68" s="18">
        <v>65</v>
      </c>
      <c r="C68" s="19">
        <v>1.7009E-2</v>
      </c>
    </row>
    <row r="69" spans="2:3" x14ac:dyDescent="0.2">
      <c r="B69" s="18">
        <v>66</v>
      </c>
      <c r="C69" s="19">
        <v>1.8461999999999999E-2</v>
      </c>
    </row>
    <row r="70" spans="2:3" x14ac:dyDescent="0.2">
      <c r="B70" s="18">
        <v>67</v>
      </c>
      <c r="C70" s="19">
        <v>2.0060999999999999E-2</v>
      </c>
    </row>
    <row r="71" spans="2:3" x14ac:dyDescent="0.2">
      <c r="B71" s="18">
        <v>68</v>
      </c>
      <c r="C71" s="19">
        <v>2.1819000000000002E-2</v>
      </c>
    </row>
    <row r="72" spans="2:3" x14ac:dyDescent="0.2">
      <c r="B72" s="18">
        <v>69</v>
      </c>
      <c r="C72" s="19">
        <v>2.3746E-2</v>
      </c>
    </row>
    <row r="73" spans="2:3" x14ac:dyDescent="0.2">
      <c r="B73" s="18">
        <v>70</v>
      </c>
      <c r="C73" s="19">
        <v>2.5855E-2</v>
      </c>
    </row>
    <row r="74" spans="2:3" x14ac:dyDescent="0.2">
      <c r="B74" s="18">
        <v>71</v>
      </c>
      <c r="C74" s="19">
        <v>2.8159E-2</v>
      </c>
    </row>
    <row r="75" spans="2:3" x14ac:dyDescent="0.2">
      <c r="B75" s="18">
        <v>72</v>
      </c>
      <c r="C75" s="19">
        <v>3.0672999999999999E-2</v>
      </c>
    </row>
    <row r="76" spans="2:3" x14ac:dyDescent="0.2">
      <c r="B76" s="18">
        <v>73</v>
      </c>
      <c r="C76" s="19">
        <v>3.3411999999999997E-2</v>
      </c>
    </row>
    <row r="77" spans="2:3" x14ac:dyDescent="0.2">
      <c r="B77" s="18">
        <v>74</v>
      </c>
      <c r="C77" s="19">
        <v>3.6394000000000003E-2</v>
      </c>
    </row>
    <row r="78" spans="2:3" x14ac:dyDescent="0.2">
      <c r="B78" s="18">
        <v>75</v>
      </c>
      <c r="C78" s="19">
        <v>3.9636999999999999E-2</v>
      </c>
    </row>
    <row r="79" spans="2:3" x14ac:dyDescent="0.2">
      <c r="B79" s="18">
        <v>76</v>
      </c>
      <c r="C79" s="19">
        <v>4.3161999999999999E-2</v>
      </c>
    </row>
    <row r="80" spans="2:3" x14ac:dyDescent="0.2">
      <c r="B80" s="18">
        <v>77</v>
      </c>
      <c r="C80" s="19">
        <v>4.6990999999999998E-2</v>
      </c>
    </row>
    <row r="81" spans="2:3" x14ac:dyDescent="0.2">
      <c r="B81" s="18">
        <v>78</v>
      </c>
      <c r="C81" s="19">
        <v>5.1149E-2</v>
      </c>
    </row>
    <row r="82" spans="2:3" x14ac:dyDescent="0.2">
      <c r="B82" s="18">
        <v>79</v>
      </c>
      <c r="C82" s="19">
        <v>5.5662000000000003E-2</v>
      </c>
    </row>
    <row r="83" spans="2:3" x14ac:dyDescent="0.2">
      <c r="B83" s="18">
        <v>80</v>
      </c>
      <c r="C83" s="19">
        <v>6.0558000000000001E-2</v>
      </c>
    </row>
    <row r="84" spans="2:3" x14ac:dyDescent="0.2">
      <c r="B84" s="18">
        <v>81</v>
      </c>
      <c r="C84" s="19">
        <v>6.5869999999999998E-2</v>
      </c>
    </row>
    <row r="85" spans="2:3" x14ac:dyDescent="0.2">
      <c r="B85" s="18">
        <v>82</v>
      </c>
      <c r="C85" s="19">
        <v>7.1629999999999999E-2</v>
      </c>
    </row>
    <row r="86" spans="2:3" x14ac:dyDescent="0.2">
      <c r="B86" s="18">
        <v>83</v>
      </c>
      <c r="C86" s="19">
        <v>7.7876000000000001E-2</v>
      </c>
    </row>
    <row r="87" spans="2:3" x14ac:dyDescent="0.2">
      <c r="B87" s="18">
        <v>84</v>
      </c>
      <c r="C87" s="19">
        <v>8.4644999999999998E-2</v>
      </c>
    </row>
    <row r="88" spans="2:3" x14ac:dyDescent="0.2">
      <c r="B88" s="18">
        <v>85</v>
      </c>
      <c r="C88" s="19">
        <v>9.1981999999999994E-2</v>
      </c>
    </row>
    <row r="89" spans="2:3" x14ac:dyDescent="0.2">
      <c r="B89" s="18">
        <v>86</v>
      </c>
      <c r="C89" s="19">
        <v>9.9930000000000005E-2</v>
      </c>
    </row>
    <row r="90" spans="2:3" x14ac:dyDescent="0.2">
      <c r="B90" s="18">
        <v>87</v>
      </c>
      <c r="C90" s="19">
        <v>0.10854</v>
      </c>
    </row>
    <row r="91" spans="2:3" x14ac:dyDescent="0.2">
      <c r="B91" s="18">
        <v>88</v>
      </c>
      <c r="C91" s="19">
        <v>0.117866</v>
      </c>
    </row>
    <row r="92" spans="2:3" x14ac:dyDescent="0.2">
      <c r="B92" s="18">
        <v>89</v>
      </c>
      <c r="C92" s="19">
        <v>0.12796299999999999</v>
      </c>
    </row>
    <row r="93" spans="2:3" x14ac:dyDescent="0.2">
      <c r="B93" s="18">
        <v>90</v>
      </c>
      <c r="C93" s="19">
        <v>0.13889499999999999</v>
      </c>
    </row>
    <row r="94" spans="2:3" x14ac:dyDescent="0.2">
      <c r="B94" s="18">
        <v>91</v>
      </c>
      <c r="C94" s="19">
        <v>0.150727</v>
      </c>
    </row>
    <row r="95" spans="2:3" x14ac:dyDescent="0.2">
      <c r="B95" s="18">
        <v>92</v>
      </c>
      <c r="C95" s="19">
        <v>0.16353200000000001</v>
      </c>
    </row>
    <row r="96" spans="2:3" x14ac:dyDescent="0.2">
      <c r="B96" s="18">
        <v>93</v>
      </c>
      <c r="C96" s="19">
        <v>0.17738699999999999</v>
      </c>
    </row>
    <row r="97" spans="2:3" x14ac:dyDescent="0.2">
      <c r="B97" s="18">
        <v>94</v>
      </c>
      <c r="C97" s="19">
        <v>0.19237399999999999</v>
      </c>
    </row>
    <row r="98" spans="2:3" x14ac:dyDescent="0.2">
      <c r="B98" s="18">
        <v>95</v>
      </c>
      <c r="C98" s="19">
        <v>0.20858499999999999</v>
      </c>
    </row>
    <row r="99" spans="2:3" x14ac:dyDescent="0.2">
      <c r="B99" s="18">
        <v>96</v>
      </c>
      <c r="C99" s="19">
        <v>0.22611400000000001</v>
      </c>
    </row>
    <row r="100" spans="2:3" x14ac:dyDescent="0.2">
      <c r="B100" s="18">
        <v>97</v>
      </c>
      <c r="C100" s="19">
        <v>0.24506700000000001</v>
      </c>
    </row>
    <row r="101" spans="2:3" x14ac:dyDescent="0.2">
      <c r="B101" s="18">
        <v>98</v>
      </c>
      <c r="C101" s="19">
        <v>0.26555499999999999</v>
      </c>
    </row>
    <row r="102" spans="2:3" x14ac:dyDescent="0.2">
      <c r="B102" s="18">
        <v>99</v>
      </c>
      <c r="C102" s="19">
        <v>0.28769899999999998</v>
      </c>
    </row>
    <row r="103" spans="2:3" x14ac:dyDescent="0.2">
      <c r="B103" s="18">
        <v>100</v>
      </c>
      <c r="C103" s="19">
        <v>0.31162800000000002</v>
      </c>
    </row>
    <row r="104" spans="2:3" x14ac:dyDescent="0.2">
      <c r="B104" s="18">
        <v>101</v>
      </c>
      <c r="C104" s="19">
        <v>0.337482</v>
      </c>
    </row>
    <row r="105" spans="2:3" x14ac:dyDescent="0.2">
      <c r="B105" s="18">
        <v>102</v>
      </c>
      <c r="C105" s="19">
        <v>0.36541099999999999</v>
      </c>
    </row>
    <row r="106" spans="2:3" x14ac:dyDescent="0.2">
      <c r="B106" s="18">
        <v>103</v>
      </c>
      <c r="C106" s="19">
        <v>0.39557700000000001</v>
      </c>
    </row>
    <row r="107" spans="2:3" x14ac:dyDescent="0.2">
      <c r="B107" s="18">
        <v>104</v>
      </c>
      <c r="C107" s="19">
        <v>0.42815300000000001</v>
      </c>
    </row>
    <row r="108" spans="2:3" x14ac:dyDescent="0.2">
      <c r="B108" s="18">
        <v>105</v>
      </c>
      <c r="C108" s="19">
        <v>0.46332699999999999</v>
      </c>
    </row>
    <row r="109" spans="2:3" x14ac:dyDescent="0.2">
      <c r="B109" s="18">
        <v>106</v>
      </c>
      <c r="C109" s="19">
        <v>0.50129800000000002</v>
      </c>
    </row>
    <row r="110" spans="2:3" x14ac:dyDescent="0.2">
      <c r="B110" s="18">
        <v>107</v>
      </c>
      <c r="C110" s="19">
        <v>0.54228399999999999</v>
      </c>
    </row>
    <row r="111" spans="2:3" x14ac:dyDescent="0.2">
      <c r="B111" s="18">
        <v>108</v>
      </c>
      <c r="C111" s="19">
        <v>0.58651600000000004</v>
      </c>
    </row>
    <row r="112" spans="2:3" x14ac:dyDescent="0.2">
      <c r="B112" s="18">
        <v>109</v>
      </c>
      <c r="C112" s="19">
        <v>0.63424400000000003</v>
      </c>
    </row>
    <row r="113" spans="2:3" x14ac:dyDescent="0.2">
      <c r="B113" s="18">
        <v>110</v>
      </c>
      <c r="C113" s="19">
        <v>0.68573700000000004</v>
      </c>
    </row>
    <row r="114" spans="2:3" x14ac:dyDescent="0.2">
      <c r="B114" s="18">
        <v>111</v>
      </c>
      <c r="C114" s="19">
        <v>0.74128300000000003</v>
      </c>
    </row>
    <row r="115" spans="2:3" x14ac:dyDescent="0.2">
      <c r="B115" s="18">
        <v>112</v>
      </c>
      <c r="C115" s="19">
        <v>0.80119099999999999</v>
      </c>
    </row>
    <row r="116" spans="2:3" x14ac:dyDescent="0.2">
      <c r="B116" s="18">
        <v>113</v>
      </c>
      <c r="C116" s="19">
        <v>0.86579499999999998</v>
      </c>
    </row>
    <row r="117" spans="2:3" x14ac:dyDescent="0.2">
      <c r="B117" s="18">
        <v>114</v>
      </c>
      <c r="C117" s="19">
        <v>0.93545299999999998</v>
      </c>
    </row>
    <row r="118" spans="2:3" ht="13.5" thickBot="1" x14ac:dyDescent="0.25">
      <c r="B118" s="20">
        <v>115</v>
      </c>
      <c r="C118" s="21">
        <v>0.98579600000000001</v>
      </c>
    </row>
  </sheetData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3"/>
  <sheetViews>
    <sheetView zoomScale="70" zoomScaleNormal="70" workbookViewId="0"/>
  </sheetViews>
  <sheetFormatPr defaultColWidth="8.7109375" defaultRowHeight="12.75" x14ac:dyDescent="0.2"/>
  <cols>
    <col min="1" max="1" width="30.7109375" style="1" bestFit="1" customWidth="1"/>
    <col min="2" max="2" width="11.85546875" style="1" bestFit="1" customWidth="1"/>
    <col min="3" max="3" width="12" style="1" customWidth="1"/>
    <col min="4" max="4" width="8.7109375" style="1"/>
    <col min="5" max="14" width="11.28515625" style="1" customWidth="1"/>
    <col min="15" max="15" width="11.28515625" style="25" customWidth="1"/>
    <col min="16" max="18" width="11.28515625" style="1" customWidth="1"/>
    <col min="19" max="19" width="11.28515625" style="22" customWidth="1"/>
    <col min="20" max="20" width="8.7109375" style="1"/>
    <col min="21" max="21" width="11" style="1" bestFit="1" customWidth="1"/>
    <col min="22" max="22" width="8.7109375" style="1"/>
    <col min="23" max="23" width="9.28515625" style="72" bestFit="1" customWidth="1"/>
    <col min="24" max="24" width="10" style="72" bestFit="1" customWidth="1"/>
    <col min="25" max="25" width="9.28515625" style="72" bestFit="1" customWidth="1"/>
    <col min="26" max="26" width="10" style="72" customWidth="1"/>
    <col min="27" max="27" width="10.140625" style="72" bestFit="1" customWidth="1"/>
    <col min="28" max="29" width="9.42578125" style="72" bestFit="1" customWidth="1"/>
    <col min="30" max="30" width="10.140625" style="72" bestFit="1" customWidth="1"/>
    <col min="31" max="31" width="9.42578125" style="72" bestFit="1" customWidth="1"/>
    <col min="32" max="32" width="10.140625" style="72" bestFit="1" customWidth="1"/>
    <col min="33" max="34" width="13.28515625" style="1" bestFit="1" customWidth="1"/>
    <col min="35" max="35" width="8.7109375" style="1"/>
    <col min="36" max="42" width="9.140625" customWidth="1"/>
    <col min="43" max="16384" width="8.7109375" style="1"/>
  </cols>
  <sheetData>
    <row r="1" spans="1:34" ht="13.5" thickBot="1" x14ac:dyDescent="0.25">
      <c r="A1" s="80" t="s">
        <v>44</v>
      </c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4" x14ac:dyDescent="0.2">
      <c r="A2" s="88" t="s">
        <v>92</v>
      </c>
      <c r="B2" s="89">
        <v>100000</v>
      </c>
      <c r="C2" s="90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2">
      <c r="A3" s="18" t="s">
        <v>93</v>
      </c>
      <c r="B3" s="1">
        <v>5</v>
      </c>
      <c r="C3" s="91" t="s">
        <v>94</v>
      </c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4" x14ac:dyDescent="0.2">
      <c r="A4" s="18" t="s">
        <v>95</v>
      </c>
      <c r="B4" s="1">
        <v>10</v>
      </c>
      <c r="C4" s="91" t="s">
        <v>94</v>
      </c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4" x14ac:dyDescent="0.2">
      <c r="A5" s="18" t="s">
        <v>96</v>
      </c>
      <c r="B5" s="1">
        <v>40</v>
      </c>
      <c r="C5" s="91" t="s">
        <v>94</v>
      </c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4" x14ac:dyDescent="0.2">
      <c r="A6" s="18"/>
      <c r="C6" s="91"/>
      <c r="M6" s="133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4" ht="38.25" x14ac:dyDescent="0.2">
      <c r="A7" s="92" t="s">
        <v>97</v>
      </c>
      <c r="B7" s="17" t="s">
        <v>98</v>
      </c>
      <c r="C7" s="93" t="s">
        <v>99</v>
      </c>
      <c r="I7" s="81"/>
      <c r="J7" s="81"/>
      <c r="K7" s="81"/>
      <c r="L7" s="81"/>
      <c r="M7" s="81"/>
      <c r="N7" s="81"/>
      <c r="O7" s="139"/>
      <c r="P7" s="81"/>
      <c r="Q7" s="81"/>
      <c r="R7" s="81"/>
      <c r="S7" s="140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</row>
    <row r="8" spans="1:34" x14ac:dyDescent="0.2">
      <c r="A8" s="18">
        <v>1</v>
      </c>
      <c r="B8" s="23">
        <v>0.05</v>
      </c>
      <c r="C8" s="94">
        <v>0.05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139"/>
      <c r="P8" s="81"/>
      <c r="Q8" s="81"/>
      <c r="R8" s="81"/>
      <c r="S8" s="140"/>
      <c r="T8" s="81"/>
      <c r="U8" s="81"/>
      <c r="V8" s="81"/>
      <c r="W8" s="14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</row>
    <row r="9" spans="1:34" ht="13.5" thickBot="1" x14ac:dyDescent="0.25">
      <c r="A9" s="18">
        <f>+A8+1</f>
        <v>2</v>
      </c>
      <c r="B9" s="23">
        <v>0.03</v>
      </c>
      <c r="C9" s="94">
        <v>0.04</v>
      </c>
      <c r="E9" s="1" t="s">
        <v>100</v>
      </c>
      <c r="W9" s="1" t="s">
        <v>101</v>
      </c>
      <c r="X9" s="1"/>
      <c r="Y9" s="1"/>
      <c r="Z9" s="1"/>
      <c r="AA9" s="1"/>
      <c r="AB9" s="1"/>
      <c r="AC9" s="1"/>
      <c r="AD9" s="1"/>
      <c r="AE9" s="1"/>
      <c r="AF9" s="1"/>
    </row>
    <row r="10" spans="1:34" ht="15.75" thickBot="1" x14ac:dyDescent="0.25">
      <c r="A10" s="18">
        <f>+A9+1</f>
        <v>3</v>
      </c>
      <c r="B10" s="23">
        <v>0.03</v>
      </c>
      <c r="C10" s="94">
        <v>0.03</v>
      </c>
      <c r="L10" s="153" t="s">
        <v>102</v>
      </c>
      <c r="M10" s="154"/>
      <c r="N10" s="155"/>
      <c r="O10" s="95"/>
      <c r="W10" s="156" t="s">
        <v>103</v>
      </c>
      <c r="X10" s="157"/>
      <c r="Y10" s="157"/>
      <c r="Z10" s="157"/>
      <c r="AA10" s="158" t="s">
        <v>104</v>
      </c>
      <c r="AB10" s="157"/>
      <c r="AC10" s="157"/>
      <c r="AD10" s="157"/>
      <c r="AE10" s="158" t="s">
        <v>105</v>
      </c>
      <c r="AF10" s="157"/>
      <c r="AG10" s="158" t="s">
        <v>106</v>
      </c>
      <c r="AH10" s="159"/>
    </row>
    <row r="11" spans="1:34" ht="90" x14ac:dyDescent="0.2">
      <c r="A11" s="18">
        <f>+A10+1</f>
        <v>4</v>
      </c>
      <c r="B11" s="70">
        <v>2.5000000000000001E-2</v>
      </c>
      <c r="C11" s="94">
        <v>0.02</v>
      </c>
      <c r="E11" s="129" t="s">
        <v>20</v>
      </c>
      <c r="F11" s="129" t="s">
        <v>107</v>
      </c>
      <c r="G11" s="129" t="s">
        <v>108</v>
      </c>
      <c r="H11" s="129" t="s">
        <v>61</v>
      </c>
      <c r="I11" s="129" t="s">
        <v>145</v>
      </c>
      <c r="J11" s="129" t="s">
        <v>110</v>
      </c>
      <c r="K11" s="129" t="s">
        <v>111</v>
      </c>
      <c r="L11" s="129" t="s">
        <v>141</v>
      </c>
      <c r="M11" s="129" t="s">
        <v>142</v>
      </c>
      <c r="N11" s="129" t="s">
        <v>143</v>
      </c>
      <c r="O11" s="129" t="s">
        <v>115</v>
      </c>
      <c r="P11" s="129" t="s">
        <v>140</v>
      </c>
      <c r="Q11" s="129" t="s">
        <v>116</v>
      </c>
      <c r="R11" s="129" t="s">
        <v>144</v>
      </c>
      <c r="S11" s="129" t="s">
        <v>117</v>
      </c>
      <c r="U11" s="129" t="s">
        <v>118</v>
      </c>
      <c r="W11" s="130" t="s">
        <v>119</v>
      </c>
      <c r="X11" s="131" t="s">
        <v>21</v>
      </c>
      <c r="Y11" s="131" t="s">
        <v>120</v>
      </c>
      <c r="Z11" s="131" t="s">
        <v>121</v>
      </c>
      <c r="AA11" s="131" t="s">
        <v>109</v>
      </c>
      <c r="AB11" s="131" t="s">
        <v>112</v>
      </c>
      <c r="AC11" s="131" t="s">
        <v>113</v>
      </c>
      <c r="AD11" s="131" t="s">
        <v>114</v>
      </c>
      <c r="AE11" s="131" t="s">
        <v>122</v>
      </c>
      <c r="AF11" s="131" t="s">
        <v>116</v>
      </c>
      <c r="AG11" s="131" t="s">
        <v>123</v>
      </c>
      <c r="AH11" s="132" t="s">
        <v>146</v>
      </c>
    </row>
    <row r="12" spans="1:34" ht="13.5" thickBot="1" x14ac:dyDescent="0.25">
      <c r="A12" s="20">
        <f>+A11+1</f>
        <v>5</v>
      </c>
      <c r="B12" s="97">
        <v>2.5000000000000001E-2</v>
      </c>
      <c r="C12" s="98">
        <v>0.02</v>
      </c>
      <c r="E12" s="99">
        <v>1</v>
      </c>
      <c r="F12" s="26">
        <v>1</v>
      </c>
      <c r="G12" s="26">
        <f t="shared" ref="G12:G43" si="0">+$B$5+F12-1</f>
        <v>40</v>
      </c>
      <c r="H12" s="100">
        <f t="shared" ref="H12:H43" si="1">+IF(AND(MOD(E12,12)=1,F12&lt;=$B$3),$B$2,0)</f>
        <v>100000</v>
      </c>
      <c r="I12" s="101">
        <f t="shared" ref="I12:I43" si="2">H12*VLOOKUP(F12,$A$8:$C$12,2,1)</f>
        <v>5000</v>
      </c>
      <c r="J12" s="101">
        <f t="shared" ref="J12:J43" si="3">+I12*$B$14</f>
        <v>900</v>
      </c>
      <c r="K12" s="101">
        <f t="shared" ref="K12:K43" si="4">+H12-I12-J12</f>
        <v>94100</v>
      </c>
      <c r="L12" s="102">
        <f t="shared" ref="L12:L43" si="5">+MIN($B$2*$B$15,$B$16)/12</f>
        <v>41.666666666666664</v>
      </c>
      <c r="M12" s="103">
        <f>VLOOKUP(G12,'Q.3-Data'!$B$2:$C$118,2,0)*U12*$B$19/12</f>
        <v>170.13934374999999</v>
      </c>
      <c r="N12" s="103">
        <f t="shared" ref="N12:N43" si="6">+R12*(1-(1-$B$20)^(0.0833333333333333))</f>
        <v>106.92385592816959</v>
      </c>
      <c r="O12" s="104">
        <f>+K12</f>
        <v>94100</v>
      </c>
      <c r="P12" s="102">
        <f t="shared" ref="P12:P43" si="7">(1+$B$17)^(1/12)</f>
        <v>1.0064340301100034</v>
      </c>
      <c r="Q12" s="102"/>
      <c r="R12" s="102">
        <f>(O12-(L12+M12)*(1+$B$14))*P12+Q12</f>
        <v>94453.903076886432</v>
      </c>
      <c r="S12" s="105">
        <f t="shared" ref="S12:S43" si="8">+R12-(N12*(1+$B$14))</f>
        <v>94327.732926891185</v>
      </c>
      <c r="U12" s="102">
        <f t="shared" ref="U12:U43" si="9">+MAX($B$2*10-O12,0)</f>
        <v>905900</v>
      </c>
      <c r="W12" s="106">
        <f>+B2*10*B22/1000</f>
        <v>200</v>
      </c>
      <c r="X12" s="107">
        <f>+MIN(B2*$B$23,$B$24)</f>
        <v>3000</v>
      </c>
      <c r="Y12" s="107">
        <f t="shared" ref="Y12:Y43" si="10">+$B$25*(1+$B$26)^(F12-1)/12</f>
        <v>29.166666666666668</v>
      </c>
      <c r="Z12" s="108">
        <f t="shared" ref="Z12:Z43" si="11">H12*VLOOKUP(F12,$A$8:$C$12,3,1)</f>
        <v>5000</v>
      </c>
      <c r="AA12" s="107">
        <f t="shared" ref="AA12:AA43" si="12">+I12</f>
        <v>5000</v>
      </c>
      <c r="AB12" s="107">
        <f t="shared" ref="AB12:AB43" si="13">+L12</f>
        <v>41.666666666666664</v>
      </c>
      <c r="AC12" s="107">
        <f t="shared" ref="AC12:AC43" si="14">+M12</f>
        <v>170.13934374999999</v>
      </c>
      <c r="AD12" s="107">
        <f t="shared" ref="AD12:AD43" si="15">+N12</f>
        <v>106.92385592816959</v>
      </c>
      <c r="AE12" s="107">
        <f t="shared" ref="AE12:AE43" si="16">+M12/$B$19*$B$27</f>
        <v>108.88918</v>
      </c>
      <c r="AF12" s="107">
        <f t="shared" ref="AF12:AF43" si="17">+Q12</f>
        <v>0</v>
      </c>
      <c r="AG12" s="109">
        <f t="shared" ref="AG12:AG43" si="18">(SUM(AA12:AC12)-SUM(W12:Z12,AE12))*$C$18</f>
        <v>-12.736728811492892</v>
      </c>
      <c r="AH12" s="110">
        <f t="shared" ref="AH12:AH43" si="19">+SUM(AA12:AD12,AG12)-SUM(W12:Z12,AE12:AF12)</f>
        <v>-3032.0627091333226</v>
      </c>
    </row>
    <row r="13" spans="1:34" ht="13.5" thickBot="1" x14ac:dyDescent="0.25">
      <c r="E13" s="99">
        <f t="shared" ref="E13:E44" si="20">+E12+1</f>
        <v>2</v>
      </c>
      <c r="F13" s="26">
        <v>1</v>
      </c>
      <c r="G13" s="26">
        <f t="shared" si="0"/>
        <v>40</v>
      </c>
      <c r="H13" s="100">
        <f t="shared" si="1"/>
        <v>0</v>
      </c>
      <c r="I13" s="101">
        <f t="shared" si="2"/>
        <v>0</v>
      </c>
      <c r="J13" s="101">
        <f t="shared" si="3"/>
        <v>0</v>
      </c>
      <c r="K13" s="101">
        <f t="shared" si="4"/>
        <v>0</v>
      </c>
      <c r="L13" s="102">
        <f t="shared" si="5"/>
        <v>41.666666666666664</v>
      </c>
      <c r="M13" s="103">
        <f>VLOOKUP(G13,'Q.3-Data'!$B$2:$C$118,2,0)*U13*$B$19/12</f>
        <v>170.09657265966825</v>
      </c>
      <c r="N13" s="103">
        <f t="shared" si="6"/>
        <v>107.18337069873247</v>
      </c>
      <c r="O13" s="102">
        <f t="shared" ref="O13:O44" si="21">+S12+K13</f>
        <v>94327.732926891185</v>
      </c>
      <c r="P13" s="102">
        <f t="shared" si="7"/>
        <v>1.0064340301100034</v>
      </c>
      <c r="Q13" s="102"/>
      <c r="R13" s="102">
        <f t="shared" ref="R13:R44" si="22">((O13)-(L13+M13)*(1+$B$14))*P13+Q13</f>
        <v>94683.152038897621</v>
      </c>
      <c r="S13" s="105">
        <f t="shared" si="8"/>
        <v>94556.675661473113</v>
      </c>
      <c r="U13" s="102">
        <f t="shared" si="9"/>
        <v>905672.26707310881</v>
      </c>
      <c r="W13" s="106"/>
      <c r="X13" s="107"/>
      <c r="Y13" s="107">
        <f t="shared" si="10"/>
        <v>29.166666666666668</v>
      </c>
      <c r="Z13" s="108">
        <f t="shared" si="11"/>
        <v>0</v>
      </c>
      <c r="AA13" s="107">
        <f t="shared" si="12"/>
        <v>0</v>
      </c>
      <c r="AB13" s="107">
        <f t="shared" si="13"/>
        <v>41.666666666666664</v>
      </c>
      <c r="AC13" s="107">
        <f t="shared" si="14"/>
        <v>170.09657265966825</v>
      </c>
      <c r="AD13" s="107">
        <f t="shared" si="15"/>
        <v>107.18337069873247</v>
      </c>
      <c r="AE13" s="107">
        <f t="shared" si="16"/>
        <v>108.86180650218769</v>
      </c>
      <c r="AF13" s="107">
        <f t="shared" si="17"/>
        <v>0</v>
      </c>
      <c r="AG13" s="109">
        <f t="shared" si="18"/>
        <v>0.30040456448394121</v>
      </c>
      <c r="AH13" s="110">
        <f t="shared" si="19"/>
        <v>181.21854142069697</v>
      </c>
    </row>
    <row r="14" spans="1:34" x14ac:dyDescent="0.2">
      <c r="A14" s="88" t="s">
        <v>126</v>
      </c>
      <c r="B14" s="112">
        <v>0.18</v>
      </c>
      <c r="C14" s="90"/>
      <c r="E14" s="99">
        <f t="shared" si="20"/>
        <v>3</v>
      </c>
      <c r="F14" s="26">
        <f t="shared" ref="F14:F45" si="23">IF(MOD(E14,12)=1,F13+1,F13)</f>
        <v>1</v>
      </c>
      <c r="G14" s="26">
        <f t="shared" si="0"/>
        <v>40</v>
      </c>
      <c r="H14" s="100">
        <f t="shared" si="1"/>
        <v>0</v>
      </c>
      <c r="I14" s="101">
        <f t="shared" si="2"/>
        <v>0</v>
      </c>
      <c r="J14" s="101">
        <f t="shared" si="3"/>
        <v>0</v>
      </c>
      <c r="K14" s="101">
        <f t="shared" si="4"/>
        <v>0</v>
      </c>
      <c r="L14" s="102">
        <f t="shared" si="5"/>
        <v>41.666666666666664</v>
      </c>
      <c r="M14" s="103">
        <f>VLOOKUP(G14,'Q.3-Data'!$B$2:$C$118,2,0)*U14*$B$19/12</f>
        <v>170.0535743523296</v>
      </c>
      <c r="N14" s="103">
        <f t="shared" si="6"/>
        <v>107.44426411475335</v>
      </c>
      <c r="O14" s="102">
        <f t="shared" si="21"/>
        <v>94556.675661473113</v>
      </c>
      <c r="P14" s="102">
        <f t="shared" si="7"/>
        <v>1.0064340301100034</v>
      </c>
      <c r="Q14" s="102"/>
      <c r="R14" s="102">
        <f t="shared" si="22"/>
        <v>94913.618862379823</v>
      </c>
      <c r="S14" s="105">
        <f t="shared" si="8"/>
        <v>94786.834630724406</v>
      </c>
      <c r="U14" s="102">
        <f t="shared" si="9"/>
        <v>905443.32433852693</v>
      </c>
      <c r="W14" s="106"/>
      <c r="X14" s="107"/>
      <c r="Y14" s="107">
        <f t="shared" si="10"/>
        <v>29.166666666666668</v>
      </c>
      <c r="Z14" s="108">
        <f t="shared" si="11"/>
        <v>0</v>
      </c>
      <c r="AA14" s="107">
        <f t="shared" si="12"/>
        <v>0</v>
      </c>
      <c r="AB14" s="107">
        <f t="shared" si="13"/>
        <v>41.666666666666664</v>
      </c>
      <c r="AC14" s="107">
        <f t="shared" si="14"/>
        <v>170.0535743523296</v>
      </c>
      <c r="AD14" s="107">
        <f t="shared" si="15"/>
        <v>107.44426411475335</v>
      </c>
      <c r="AE14" s="107">
        <f t="shared" si="16"/>
        <v>108.83428758549094</v>
      </c>
      <c r="AF14" s="107">
        <f t="shared" si="17"/>
        <v>0</v>
      </c>
      <c r="AG14" s="109">
        <f t="shared" si="18"/>
        <v>0.30034149953037065</v>
      </c>
      <c r="AH14" s="110">
        <f t="shared" si="19"/>
        <v>181.46389238112238</v>
      </c>
    </row>
    <row r="15" spans="1:34" x14ac:dyDescent="0.2">
      <c r="A15" s="18" t="s">
        <v>127</v>
      </c>
      <c r="B15" s="70">
        <v>5.0000000000000001E-3</v>
      </c>
      <c r="C15" s="91"/>
      <c r="E15" s="99">
        <f t="shared" si="20"/>
        <v>4</v>
      </c>
      <c r="F15" s="26">
        <f t="shared" si="23"/>
        <v>1</v>
      </c>
      <c r="G15" s="26">
        <f t="shared" si="0"/>
        <v>40</v>
      </c>
      <c r="H15" s="100">
        <f t="shared" si="1"/>
        <v>0</v>
      </c>
      <c r="I15" s="101">
        <f t="shared" si="2"/>
        <v>0</v>
      </c>
      <c r="J15" s="101">
        <f t="shared" si="3"/>
        <v>0</v>
      </c>
      <c r="K15" s="101">
        <f t="shared" si="4"/>
        <v>0</v>
      </c>
      <c r="L15" s="102">
        <f t="shared" si="5"/>
        <v>41.666666666666664</v>
      </c>
      <c r="M15" s="103">
        <f>VLOOKUP(G15,'Q.3-Data'!$B$2:$C$118,2,0)*U15*$B$19/12</f>
        <v>170.01034762091706</v>
      </c>
      <c r="N15" s="103">
        <f t="shared" si="6"/>
        <v>107.70654350014404</v>
      </c>
      <c r="O15" s="102">
        <f t="shared" si="21"/>
        <v>94786.834630724406</v>
      </c>
      <c r="P15" s="102">
        <f t="shared" si="7"/>
        <v>1.0064340301100034</v>
      </c>
      <c r="Q15" s="102"/>
      <c r="R15" s="102">
        <f t="shared" si="22"/>
        <v>95145.310017096504</v>
      </c>
      <c r="S15" s="105">
        <f t="shared" si="8"/>
        <v>95018.216295766339</v>
      </c>
      <c r="U15" s="102">
        <f t="shared" si="9"/>
        <v>905213.16536927561</v>
      </c>
      <c r="W15" s="106"/>
      <c r="X15" s="107"/>
      <c r="Y15" s="107">
        <f t="shared" si="10"/>
        <v>29.166666666666668</v>
      </c>
      <c r="Z15" s="108">
        <f t="shared" si="11"/>
        <v>0</v>
      </c>
      <c r="AA15" s="107">
        <f t="shared" si="12"/>
        <v>0</v>
      </c>
      <c r="AB15" s="107">
        <f t="shared" si="13"/>
        <v>41.666666666666664</v>
      </c>
      <c r="AC15" s="107">
        <f t="shared" si="14"/>
        <v>170.01034762091706</v>
      </c>
      <c r="AD15" s="107">
        <f t="shared" si="15"/>
        <v>107.70654350014404</v>
      </c>
      <c r="AE15" s="107">
        <f t="shared" si="16"/>
        <v>108.80662247738692</v>
      </c>
      <c r="AF15" s="107">
        <f t="shared" si="17"/>
        <v>0</v>
      </c>
      <c r="AG15" s="109">
        <f t="shared" si="18"/>
        <v>0.30027809955073725</v>
      </c>
      <c r="AH15" s="110">
        <f t="shared" si="19"/>
        <v>181.71054674322488</v>
      </c>
    </row>
    <row r="16" spans="1:34" x14ac:dyDescent="0.2">
      <c r="A16" s="18" t="s">
        <v>128</v>
      </c>
      <c r="B16" s="22">
        <v>6000</v>
      </c>
      <c r="C16" s="91"/>
      <c r="E16" s="99">
        <f t="shared" si="20"/>
        <v>5</v>
      </c>
      <c r="F16" s="26">
        <f t="shared" si="23"/>
        <v>1</v>
      </c>
      <c r="G16" s="26">
        <f t="shared" si="0"/>
        <v>40</v>
      </c>
      <c r="H16" s="100">
        <f t="shared" si="1"/>
        <v>0</v>
      </c>
      <c r="I16" s="101">
        <f t="shared" si="2"/>
        <v>0</v>
      </c>
      <c r="J16" s="101">
        <f t="shared" si="3"/>
        <v>0</v>
      </c>
      <c r="K16" s="101">
        <f t="shared" si="4"/>
        <v>0</v>
      </c>
      <c r="L16" s="102">
        <f t="shared" si="5"/>
        <v>41.666666666666664</v>
      </c>
      <c r="M16" s="103">
        <f>VLOOKUP(G16,'Q.3-Data'!$B$2:$C$118,2,0)*U16*$B$19/12</f>
        <v>169.96689125195141</v>
      </c>
      <c r="N16" s="103">
        <f t="shared" si="6"/>
        <v>107.9702162177239</v>
      </c>
      <c r="O16" s="102">
        <f t="shared" si="21"/>
        <v>95018.216295766339</v>
      </c>
      <c r="P16" s="102">
        <f t="shared" si="7"/>
        <v>1.0064340301100034</v>
      </c>
      <c r="Q16" s="102"/>
      <c r="R16" s="102">
        <f t="shared" si="22"/>
        <v>95378.232007181097</v>
      </c>
      <c r="S16" s="105">
        <f t="shared" si="8"/>
        <v>95250.827152044178</v>
      </c>
      <c r="U16" s="102">
        <f t="shared" si="9"/>
        <v>904981.78370423371</v>
      </c>
      <c r="W16" s="106"/>
      <c r="X16" s="107"/>
      <c r="Y16" s="107">
        <f t="shared" si="10"/>
        <v>29.166666666666668</v>
      </c>
      <c r="Z16" s="108">
        <f t="shared" si="11"/>
        <v>0</v>
      </c>
      <c r="AA16" s="107">
        <f t="shared" si="12"/>
        <v>0</v>
      </c>
      <c r="AB16" s="107">
        <f t="shared" si="13"/>
        <v>41.666666666666664</v>
      </c>
      <c r="AC16" s="107">
        <f t="shared" si="14"/>
        <v>169.96689125195141</v>
      </c>
      <c r="AD16" s="107">
        <f t="shared" si="15"/>
        <v>107.9702162177239</v>
      </c>
      <c r="AE16" s="107">
        <f t="shared" si="16"/>
        <v>108.7788104012489</v>
      </c>
      <c r="AF16" s="107">
        <f t="shared" si="17"/>
        <v>0</v>
      </c>
      <c r="AG16" s="109">
        <f t="shared" si="18"/>
        <v>0.30021436276524988</v>
      </c>
      <c r="AH16" s="110">
        <f t="shared" si="19"/>
        <v>181.95851143119162</v>
      </c>
    </row>
    <row r="17" spans="1:34" x14ac:dyDescent="0.2">
      <c r="A17" s="18" t="s">
        <v>129</v>
      </c>
      <c r="B17" s="23">
        <v>0.08</v>
      </c>
      <c r="C17" s="91" t="s">
        <v>130</v>
      </c>
      <c r="E17" s="99">
        <f t="shared" si="20"/>
        <v>6</v>
      </c>
      <c r="F17" s="26">
        <f t="shared" si="23"/>
        <v>1</v>
      </c>
      <c r="G17" s="26">
        <f t="shared" si="0"/>
        <v>40</v>
      </c>
      <c r="H17" s="100">
        <f t="shared" si="1"/>
        <v>0</v>
      </c>
      <c r="I17" s="101">
        <f t="shared" si="2"/>
        <v>0</v>
      </c>
      <c r="J17" s="101">
        <f t="shared" si="3"/>
        <v>0</v>
      </c>
      <c r="K17" s="101">
        <f t="shared" si="4"/>
        <v>0</v>
      </c>
      <c r="L17" s="102">
        <f t="shared" si="5"/>
        <v>41.666666666666664</v>
      </c>
      <c r="M17" s="103">
        <f>VLOOKUP(G17,'Q.3-Data'!$B$2:$C$118,2,0)*U17*$B$19/12</f>
        <v>169.92320402550669</v>
      </c>
      <c r="N17" s="103">
        <f t="shared" si="6"/>
        <v>108.23528966942651</v>
      </c>
      <c r="O17" s="102">
        <f t="shared" si="21"/>
        <v>95250.827152044178</v>
      </c>
      <c r="P17" s="102">
        <f t="shared" si="7"/>
        <v>1.0064340301100034</v>
      </c>
      <c r="Q17" s="102"/>
      <c r="R17" s="102">
        <f t="shared" si="22"/>
        <v>95612.391371319565</v>
      </c>
      <c r="S17" s="105">
        <f t="shared" si="8"/>
        <v>95484.673729509639</v>
      </c>
      <c r="U17" s="102">
        <f t="shared" si="9"/>
        <v>904749.17284795584</v>
      </c>
      <c r="W17" s="106"/>
      <c r="X17" s="107"/>
      <c r="Y17" s="107">
        <f t="shared" si="10"/>
        <v>29.166666666666668</v>
      </c>
      <c r="Z17" s="108">
        <f t="shared" si="11"/>
        <v>0</v>
      </c>
      <c r="AA17" s="107">
        <f t="shared" si="12"/>
        <v>0</v>
      </c>
      <c r="AB17" s="107">
        <f t="shared" si="13"/>
        <v>41.666666666666664</v>
      </c>
      <c r="AC17" s="107">
        <f t="shared" si="14"/>
        <v>169.92320402550669</v>
      </c>
      <c r="AD17" s="107">
        <f t="shared" si="15"/>
        <v>108.23528966942651</v>
      </c>
      <c r="AE17" s="107">
        <f t="shared" si="16"/>
        <v>108.75085057632428</v>
      </c>
      <c r="AF17" s="107">
        <f t="shared" si="17"/>
        <v>0</v>
      </c>
      <c r="AG17" s="109">
        <f t="shared" si="18"/>
        <v>0.30015028738466182</v>
      </c>
      <c r="AH17" s="110">
        <f t="shared" si="19"/>
        <v>182.20779340599356</v>
      </c>
    </row>
    <row r="18" spans="1:34" x14ac:dyDescent="0.2">
      <c r="A18" s="18" t="s">
        <v>131</v>
      </c>
      <c r="B18" s="23">
        <v>0.05</v>
      </c>
      <c r="C18" s="134">
        <f>(1+B18)^(1/12)-1</f>
        <v>4.0741237836483535E-3</v>
      </c>
      <c r="E18" s="99">
        <f t="shared" si="20"/>
        <v>7</v>
      </c>
      <c r="F18" s="26">
        <f t="shared" si="23"/>
        <v>1</v>
      </c>
      <c r="G18" s="26">
        <f t="shared" si="0"/>
        <v>40</v>
      </c>
      <c r="H18" s="100">
        <f t="shared" si="1"/>
        <v>0</v>
      </c>
      <c r="I18" s="101">
        <f t="shared" si="2"/>
        <v>0</v>
      </c>
      <c r="J18" s="101">
        <f t="shared" si="3"/>
        <v>0</v>
      </c>
      <c r="K18" s="101">
        <f t="shared" si="4"/>
        <v>0</v>
      </c>
      <c r="L18" s="102">
        <f t="shared" si="5"/>
        <v>41.666666666666664</v>
      </c>
      <c r="M18" s="103">
        <f>VLOOKUP(G18,'Q.3-Data'!$B$2:$C$118,2,0)*U18*$B$19/12</f>
        <v>169.87928471517648</v>
      </c>
      <c r="N18" s="103">
        <f t="shared" si="6"/>
        <v>108.50177129650746</v>
      </c>
      <c r="O18" s="102">
        <f t="shared" si="21"/>
        <v>95484.673729509639</v>
      </c>
      <c r="P18" s="102">
        <f t="shared" si="7"/>
        <v>1.0064340301100034</v>
      </c>
      <c r="Q18" s="102"/>
      <c r="R18" s="102">
        <f t="shared" si="22"/>
        <v>95847.794682933993</v>
      </c>
      <c r="S18" s="105">
        <f t="shared" si="8"/>
        <v>95719.762592804109</v>
      </c>
      <c r="U18" s="102">
        <f t="shared" si="9"/>
        <v>904515.32627049042</v>
      </c>
      <c r="W18" s="106"/>
      <c r="X18" s="107"/>
      <c r="Y18" s="107">
        <f t="shared" si="10"/>
        <v>29.166666666666668</v>
      </c>
      <c r="Z18" s="108">
        <f t="shared" si="11"/>
        <v>0</v>
      </c>
      <c r="AA18" s="107">
        <f t="shared" si="12"/>
        <v>0</v>
      </c>
      <c r="AB18" s="107">
        <f t="shared" si="13"/>
        <v>41.666666666666664</v>
      </c>
      <c r="AC18" s="107">
        <f t="shared" si="14"/>
        <v>169.87928471517648</v>
      </c>
      <c r="AD18" s="107">
        <f t="shared" si="15"/>
        <v>108.50177129650746</v>
      </c>
      <c r="AE18" s="107">
        <f t="shared" si="16"/>
        <v>108.72274221771295</v>
      </c>
      <c r="AF18" s="107">
        <f t="shared" si="17"/>
        <v>0</v>
      </c>
      <c r="AG18" s="109">
        <f t="shared" si="18"/>
        <v>0.30008587161022188</v>
      </c>
      <c r="AH18" s="110">
        <f t="shared" si="19"/>
        <v>182.45839966558125</v>
      </c>
    </row>
    <row r="19" spans="1:34" x14ac:dyDescent="0.2">
      <c r="A19" s="18" t="s">
        <v>132</v>
      </c>
      <c r="B19" s="23">
        <v>1.25</v>
      </c>
      <c r="C19" s="91"/>
      <c r="E19" s="99">
        <f t="shared" si="20"/>
        <v>8</v>
      </c>
      <c r="F19" s="26">
        <f t="shared" si="23"/>
        <v>1</v>
      </c>
      <c r="G19" s="26">
        <f t="shared" si="0"/>
        <v>40</v>
      </c>
      <c r="H19" s="100">
        <f t="shared" si="1"/>
        <v>0</v>
      </c>
      <c r="I19" s="101">
        <f t="shared" si="2"/>
        <v>0</v>
      </c>
      <c r="J19" s="101">
        <f t="shared" si="3"/>
        <v>0</v>
      </c>
      <c r="K19" s="101">
        <f t="shared" si="4"/>
        <v>0</v>
      </c>
      <c r="L19" s="102">
        <f t="shared" si="5"/>
        <v>41.666666666666664</v>
      </c>
      <c r="M19" s="103">
        <f>VLOOKUP(G19,'Q.3-Data'!$B$2:$C$118,2,0)*U19*$B$19/12</f>
        <v>169.83513208803896</v>
      </c>
      <c r="N19" s="103">
        <f t="shared" si="6"/>
        <v>108.76966857975323</v>
      </c>
      <c r="O19" s="102">
        <f t="shared" si="21"/>
        <v>95719.762592804109</v>
      </c>
      <c r="P19" s="102">
        <f t="shared" si="7"/>
        <v>1.0064340301100034</v>
      </c>
      <c r="Q19" s="102"/>
      <c r="R19" s="102">
        <f t="shared" si="22"/>
        <v>96084.448550367058</v>
      </c>
      <c r="S19" s="105">
        <f t="shared" si="8"/>
        <v>95956.100341442943</v>
      </c>
      <c r="U19" s="102">
        <f t="shared" si="9"/>
        <v>904280.23740719585</v>
      </c>
      <c r="W19" s="106"/>
      <c r="X19" s="107"/>
      <c r="Y19" s="107">
        <f t="shared" si="10"/>
        <v>29.166666666666668</v>
      </c>
      <c r="Z19" s="108">
        <f t="shared" si="11"/>
        <v>0</v>
      </c>
      <c r="AA19" s="107">
        <f t="shared" si="12"/>
        <v>0</v>
      </c>
      <c r="AB19" s="107">
        <f t="shared" si="13"/>
        <v>41.666666666666664</v>
      </c>
      <c r="AC19" s="107">
        <f t="shared" si="14"/>
        <v>169.83513208803896</v>
      </c>
      <c r="AD19" s="107">
        <f t="shared" si="15"/>
        <v>108.76966857975323</v>
      </c>
      <c r="AE19" s="107">
        <f t="shared" si="16"/>
        <v>108.69448453634493</v>
      </c>
      <c r="AF19" s="107">
        <f t="shared" si="17"/>
        <v>0</v>
      </c>
      <c r="AG19" s="109">
        <f t="shared" si="18"/>
        <v>0.30002111363362255</v>
      </c>
      <c r="AH19" s="110">
        <f t="shared" si="19"/>
        <v>182.71033724508092</v>
      </c>
    </row>
    <row r="20" spans="1:34" x14ac:dyDescent="0.2">
      <c r="A20" s="18" t="s">
        <v>133</v>
      </c>
      <c r="B20" s="70">
        <v>1.35E-2</v>
      </c>
      <c r="C20" s="91" t="s">
        <v>130</v>
      </c>
      <c r="E20" s="99">
        <f t="shared" si="20"/>
        <v>9</v>
      </c>
      <c r="F20" s="26">
        <f t="shared" si="23"/>
        <v>1</v>
      </c>
      <c r="G20" s="26">
        <f t="shared" si="0"/>
        <v>40</v>
      </c>
      <c r="H20" s="100">
        <f t="shared" si="1"/>
        <v>0</v>
      </c>
      <c r="I20" s="101">
        <f t="shared" si="2"/>
        <v>0</v>
      </c>
      <c r="J20" s="101">
        <f t="shared" si="3"/>
        <v>0</v>
      </c>
      <c r="K20" s="101">
        <f t="shared" si="4"/>
        <v>0</v>
      </c>
      <c r="L20" s="102">
        <f t="shared" si="5"/>
        <v>41.666666666666664</v>
      </c>
      <c r="M20" s="103">
        <f>VLOOKUP(G20,'Q.3-Data'!$B$2:$C$118,2,0)*U20*$B$19/12</f>
        <v>169.79074490462276</v>
      </c>
      <c r="N20" s="103">
        <f t="shared" si="6"/>
        <v>109.03898903969123</v>
      </c>
      <c r="O20" s="102">
        <f t="shared" si="21"/>
        <v>95956.100341442943</v>
      </c>
      <c r="P20" s="102">
        <f t="shared" si="7"/>
        <v>1.0064340301100034</v>
      </c>
      <c r="Q20" s="102"/>
      <c r="R20" s="102">
        <f t="shared" si="22"/>
        <v>96322.359617067603</v>
      </c>
      <c r="S20" s="105">
        <f t="shared" si="8"/>
        <v>96193.693610000773</v>
      </c>
      <c r="U20" s="102">
        <f t="shared" si="9"/>
        <v>904043.89965855703</v>
      </c>
      <c r="W20" s="106"/>
      <c r="X20" s="107"/>
      <c r="Y20" s="107">
        <f t="shared" si="10"/>
        <v>29.166666666666668</v>
      </c>
      <c r="Z20" s="108">
        <f t="shared" si="11"/>
        <v>0</v>
      </c>
      <c r="AA20" s="107">
        <f t="shared" si="12"/>
        <v>0</v>
      </c>
      <c r="AB20" s="107">
        <f t="shared" si="13"/>
        <v>41.666666666666664</v>
      </c>
      <c r="AC20" s="107">
        <f t="shared" si="14"/>
        <v>169.79074490462276</v>
      </c>
      <c r="AD20" s="107">
        <f t="shared" si="15"/>
        <v>109.03898903969123</v>
      </c>
      <c r="AE20" s="107">
        <f t="shared" si="16"/>
        <v>108.66607673895857</v>
      </c>
      <c r="AF20" s="107">
        <f t="shared" si="17"/>
        <v>0</v>
      </c>
      <c r="AG20" s="109">
        <f t="shared" si="18"/>
        <v>0.29995601163695029</v>
      </c>
      <c r="AH20" s="110">
        <f t="shared" si="19"/>
        <v>182.96361321699234</v>
      </c>
    </row>
    <row r="21" spans="1:34" x14ac:dyDescent="0.2">
      <c r="A21" s="18" t="s">
        <v>116</v>
      </c>
      <c r="B21" s="70">
        <v>5.0000000000000001E-3</v>
      </c>
      <c r="C21" s="91"/>
      <c r="E21" s="99">
        <f t="shared" si="20"/>
        <v>10</v>
      </c>
      <c r="F21" s="26">
        <f t="shared" si="23"/>
        <v>1</v>
      </c>
      <c r="G21" s="26">
        <f t="shared" si="0"/>
        <v>40</v>
      </c>
      <c r="H21" s="100">
        <f t="shared" si="1"/>
        <v>0</v>
      </c>
      <c r="I21" s="101">
        <f t="shared" si="2"/>
        <v>0</v>
      </c>
      <c r="J21" s="101">
        <f t="shared" si="3"/>
        <v>0</v>
      </c>
      <c r="K21" s="101">
        <f t="shared" si="4"/>
        <v>0</v>
      </c>
      <c r="L21" s="102">
        <f t="shared" si="5"/>
        <v>41.666666666666664</v>
      </c>
      <c r="M21" s="103">
        <f>VLOOKUP(G21,'Q.3-Data'!$B$2:$C$118,2,0)*U21*$B$19/12</f>
        <v>169.74612191887172</v>
      </c>
      <c r="N21" s="103">
        <f t="shared" si="6"/>
        <v>109.30974023680088</v>
      </c>
      <c r="O21" s="102">
        <f t="shared" si="21"/>
        <v>96193.693610000773</v>
      </c>
      <c r="P21" s="102">
        <f t="shared" si="7"/>
        <v>1.0064340301100034</v>
      </c>
      <c r="Q21" s="102"/>
      <c r="R21" s="102">
        <f t="shared" si="22"/>
        <v>96561.534561777094</v>
      </c>
      <c r="S21" s="105">
        <f t="shared" si="8"/>
        <v>96432.549068297667</v>
      </c>
      <c r="U21" s="102">
        <f t="shared" si="9"/>
        <v>903806.30638999923</v>
      </c>
      <c r="W21" s="106"/>
      <c r="X21" s="107"/>
      <c r="Y21" s="107">
        <f t="shared" si="10"/>
        <v>29.166666666666668</v>
      </c>
      <c r="Z21" s="108">
        <f t="shared" si="11"/>
        <v>0</v>
      </c>
      <c r="AA21" s="107">
        <f t="shared" si="12"/>
        <v>0</v>
      </c>
      <c r="AB21" s="107">
        <f t="shared" si="13"/>
        <v>41.666666666666664</v>
      </c>
      <c r="AC21" s="107">
        <f t="shared" si="14"/>
        <v>169.74612191887172</v>
      </c>
      <c r="AD21" s="107">
        <f t="shared" si="15"/>
        <v>109.30974023680088</v>
      </c>
      <c r="AE21" s="107">
        <f t="shared" si="16"/>
        <v>108.63751802807791</v>
      </c>
      <c r="AF21" s="107">
        <f t="shared" si="17"/>
        <v>0</v>
      </c>
      <c r="AG21" s="109">
        <f t="shared" si="18"/>
        <v>0.29989056379263374</v>
      </c>
      <c r="AH21" s="110">
        <f t="shared" si="19"/>
        <v>183.21823469138732</v>
      </c>
    </row>
    <row r="22" spans="1:34" x14ac:dyDescent="0.2">
      <c r="A22" s="18" t="s">
        <v>119</v>
      </c>
      <c r="B22" s="113">
        <v>0.2</v>
      </c>
      <c r="C22" s="91" t="s">
        <v>134</v>
      </c>
      <c r="E22" s="99">
        <f t="shared" si="20"/>
        <v>11</v>
      </c>
      <c r="F22" s="26">
        <f t="shared" si="23"/>
        <v>1</v>
      </c>
      <c r="G22" s="26">
        <f t="shared" si="0"/>
        <v>40</v>
      </c>
      <c r="H22" s="100">
        <f t="shared" si="1"/>
        <v>0</v>
      </c>
      <c r="I22" s="101">
        <f t="shared" si="2"/>
        <v>0</v>
      </c>
      <c r="J22" s="101">
        <f t="shared" si="3"/>
        <v>0</v>
      </c>
      <c r="K22" s="101">
        <f t="shared" si="4"/>
        <v>0</v>
      </c>
      <c r="L22" s="102">
        <f t="shared" si="5"/>
        <v>41.666666666666664</v>
      </c>
      <c r="M22" s="103">
        <f>VLOOKUP(G22,'Q.3-Data'!$B$2:$C$118,2,0)*U22*$B$19/12</f>
        <v>169.70126187811033</v>
      </c>
      <c r="N22" s="103">
        <f t="shared" si="6"/>
        <v>109.58192977172585</v>
      </c>
      <c r="O22" s="102">
        <f t="shared" si="21"/>
        <v>96432.549068297667</v>
      </c>
      <c r="P22" s="102">
        <f t="shared" si="7"/>
        <v>1.0064340301100034</v>
      </c>
      <c r="Q22" s="102"/>
      <c r="R22" s="102">
        <f t="shared" si="22"/>
        <v>96801.980098717118</v>
      </c>
      <c r="S22" s="105">
        <f t="shared" si="8"/>
        <v>96672.673421586485</v>
      </c>
      <c r="U22" s="102">
        <f t="shared" si="9"/>
        <v>903567.45093170227</v>
      </c>
      <c r="W22" s="106"/>
      <c r="X22" s="107"/>
      <c r="Y22" s="107">
        <f t="shared" si="10"/>
        <v>29.166666666666668</v>
      </c>
      <c r="Z22" s="108">
        <f t="shared" si="11"/>
        <v>0</v>
      </c>
      <c r="AA22" s="107">
        <f t="shared" si="12"/>
        <v>0</v>
      </c>
      <c r="AB22" s="107">
        <f t="shared" si="13"/>
        <v>41.666666666666664</v>
      </c>
      <c r="AC22" s="107">
        <f t="shared" si="14"/>
        <v>169.70126187811033</v>
      </c>
      <c r="AD22" s="107">
        <f t="shared" si="15"/>
        <v>109.58192977172585</v>
      </c>
      <c r="AE22" s="107">
        <f t="shared" si="16"/>
        <v>108.60880760199062</v>
      </c>
      <c r="AF22" s="107">
        <f t="shared" si="17"/>
        <v>0</v>
      </c>
      <c r="AG22" s="109">
        <f t="shared" si="18"/>
        <v>0.29982476826339322</v>
      </c>
      <c r="AH22" s="110">
        <f t="shared" si="19"/>
        <v>183.47420881610898</v>
      </c>
    </row>
    <row r="23" spans="1:34" x14ac:dyDescent="0.2">
      <c r="A23" s="18" t="s">
        <v>135</v>
      </c>
      <c r="B23" s="70">
        <v>0.03</v>
      </c>
      <c r="C23" s="91"/>
      <c r="E23" s="99">
        <f t="shared" si="20"/>
        <v>12</v>
      </c>
      <c r="F23" s="26">
        <f t="shared" si="23"/>
        <v>1</v>
      </c>
      <c r="G23" s="26">
        <f t="shared" si="0"/>
        <v>40</v>
      </c>
      <c r="H23" s="100">
        <f t="shared" si="1"/>
        <v>0</v>
      </c>
      <c r="I23" s="101">
        <f t="shared" si="2"/>
        <v>0</v>
      </c>
      <c r="J23" s="101">
        <f t="shared" si="3"/>
        <v>0</v>
      </c>
      <c r="K23" s="101">
        <f t="shared" si="4"/>
        <v>0</v>
      </c>
      <c r="L23" s="102">
        <f t="shared" si="5"/>
        <v>41.666666666666664</v>
      </c>
      <c r="M23" s="103">
        <f>VLOOKUP(G23,'Q.3-Data'!$B$2:$C$118,2,0)*U23*$B$19/12</f>
        <v>169.65616352300827</v>
      </c>
      <c r="N23" s="103">
        <f t="shared" si="6"/>
        <v>109.85556528548749</v>
      </c>
      <c r="O23" s="102">
        <f t="shared" si="21"/>
        <v>96672.673421586485</v>
      </c>
      <c r="P23" s="102">
        <f t="shared" si="7"/>
        <v>1.0064340301100034</v>
      </c>
      <c r="Q23" s="102"/>
      <c r="R23" s="102">
        <f t="shared" si="22"/>
        <v>97043.702977777881</v>
      </c>
      <c r="S23" s="105">
        <f t="shared" si="8"/>
        <v>96914.07341074101</v>
      </c>
      <c r="U23" s="102">
        <f t="shared" si="9"/>
        <v>903327.32657841349</v>
      </c>
      <c r="W23" s="106"/>
      <c r="X23" s="107"/>
      <c r="Y23" s="107">
        <f t="shared" si="10"/>
        <v>29.166666666666668</v>
      </c>
      <c r="Z23" s="108">
        <f t="shared" si="11"/>
        <v>0</v>
      </c>
      <c r="AA23" s="107">
        <f t="shared" si="12"/>
        <v>0</v>
      </c>
      <c r="AB23" s="107">
        <f t="shared" si="13"/>
        <v>41.666666666666664</v>
      </c>
      <c r="AC23" s="107">
        <f t="shared" si="14"/>
        <v>169.65616352300827</v>
      </c>
      <c r="AD23" s="107">
        <f t="shared" si="15"/>
        <v>109.85556528548749</v>
      </c>
      <c r="AE23" s="107">
        <f t="shared" si="16"/>
        <v>108.5799446547253</v>
      </c>
      <c r="AF23" s="107">
        <f t="shared" si="17"/>
        <v>0</v>
      </c>
      <c r="AG23" s="109">
        <f t="shared" si="18"/>
        <v>0.29975862320218843</v>
      </c>
      <c r="AH23" s="110">
        <f t="shared" si="19"/>
        <v>183.73154277697265</v>
      </c>
    </row>
    <row r="24" spans="1:34" x14ac:dyDescent="0.2">
      <c r="A24" s="18" t="s">
        <v>136</v>
      </c>
      <c r="B24" s="114">
        <v>3500</v>
      </c>
      <c r="C24" s="91"/>
      <c r="E24" s="99">
        <f t="shared" si="20"/>
        <v>13</v>
      </c>
      <c r="F24" s="26">
        <f t="shared" si="23"/>
        <v>2</v>
      </c>
      <c r="G24" s="26">
        <f t="shared" si="0"/>
        <v>41</v>
      </c>
      <c r="H24" s="100">
        <f t="shared" si="1"/>
        <v>100000</v>
      </c>
      <c r="I24" s="101">
        <f t="shared" si="2"/>
        <v>3000</v>
      </c>
      <c r="J24" s="101">
        <f t="shared" si="3"/>
        <v>540</v>
      </c>
      <c r="K24" s="101">
        <f t="shared" si="4"/>
        <v>96460</v>
      </c>
      <c r="L24" s="102">
        <f t="shared" si="5"/>
        <v>41.666666666666664</v>
      </c>
      <c r="M24" s="103">
        <f>VLOOKUP(G24,'Q.3-Data'!$B$2:$C$118,2,0)*U24*$B$19/12</f>
        <v>164.60210314462066</v>
      </c>
      <c r="N24" s="103">
        <f t="shared" si="6"/>
        <v>220.03475164514057</v>
      </c>
      <c r="O24" s="102">
        <f t="shared" si="21"/>
        <v>193374.073410741</v>
      </c>
      <c r="P24" s="102">
        <f t="shared" si="7"/>
        <v>1.0064340301100034</v>
      </c>
      <c r="Q24" s="102"/>
      <c r="R24" s="102">
        <f t="shared" si="22"/>
        <v>194373.28484860103</v>
      </c>
      <c r="S24" s="105">
        <f t="shared" si="8"/>
        <v>194113.64384165977</v>
      </c>
      <c r="U24" s="102">
        <f t="shared" si="9"/>
        <v>806625.92658925895</v>
      </c>
      <c r="W24" s="106"/>
      <c r="X24" s="107"/>
      <c r="Y24" s="107">
        <f t="shared" si="10"/>
        <v>30.916666666666668</v>
      </c>
      <c r="Z24" s="108">
        <f t="shared" si="11"/>
        <v>4000</v>
      </c>
      <c r="AA24" s="107">
        <f t="shared" si="12"/>
        <v>3000</v>
      </c>
      <c r="AB24" s="107">
        <f t="shared" si="13"/>
        <v>41.666666666666664</v>
      </c>
      <c r="AC24" s="107">
        <f t="shared" si="14"/>
        <v>164.60210314462066</v>
      </c>
      <c r="AD24" s="107">
        <f t="shared" si="15"/>
        <v>220.03475164514057</v>
      </c>
      <c r="AE24" s="107">
        <f t="shared" si="16"/>
        <v>105.34534601255723</v>
      </c>
      <c r="AF24" s="107">
        <f t="shared" si="17"/>
        <v>0</v>
      </c>
      <c r="AG24" s="109">
        <f t="shared" si="18"/>
        <v>-3.7889075894005186</v>
      </c>
      <c r="AH24" s="110">
        <f t="shared" si="19"/>
        <v>-713.74739881219602</v>
      </c>
    </row>
    <row r="25" spans="1:34" x14ac:dyDescent="0.2">
      <c r="A25" s="18" t="s">
        <v>137</v>
      </c>
      <c r="B25" s="114">
        <v>350</v>
      </c>
      <c r="C25" s="91" t="s">
        <v>130</v>
      </c>
      <c r="E25" s="99">
        <f t="shared" si="20"/>
        <v>14</v>
      </c>
      <c r="F25" s="26">
        <f t="shared" si="23"/>
        <v>2</v>
      </c>
      <c r="G25" s="26">
        <f t="shared" si="0"/>
        <v>41</v>
      </c>
      <c r="H25" s="100">
        <f t="shared" si="1"/>
        <v>0</v>
      </c>
      <c r="I25" s="101">
        <f t="shared" si="2"/>
        <v>0</v>
      </c>
      <c r="J25" s="101">
        <f t="shared" si="3"/>
        <v>0</v>
      </c>
      <c r="K25" s="101">
        <f t="shared" si="4"/>
        <v>0</v>
      </c>
      <c r="L25" s="102">
        <f t="shared" si="5"/>
        <v>41.666666666666664</v>
      </c>
      <c r="M25" s="103">
        <f>VLOOKUP(G25,'Q.3-Data'!$B$2:$C$118,2,0)*U25*$B$19/12</f>
        <v>164.45118455356126</v>
      </c>
      <c r="N25" s="103">
        <f t="shared" si="6"/>
        <v>220.87755085185557</v>
      </c>
      <c r="O25" s="102">
        <f t="shared" si="21"/>
        <v>194113.64384165977</v>
      </c>
      <c r="P25" s="102">
        <f t="shared" si="7"/>
        <v>1.0064340301100034</v>
      </c>
      <c r="Q25" s="102"/>
      <c r="R25" s="102">
        <f t="shared" si="22"/>
        <v>195117.79292767568</v>
      </c>
      <c r="S25" s="105">
        <f t="shared" si="8"/>
        <v>194857.15741767047</v>
      </c>
      <c r="U25" s="102">
        <f t="shared" si="9"/>
        <v>805886.35615834023</v>
      </c>
      <c r="W25" s="106"/>
      <c r="X25" s="107"/>
      <c r="Y25" s="107">
        <f t="shared" si="10"/>
        <v>30.916666666666668</v>
      </c>
      <c r="Z25" s="108">
        <f t="shared" si="11"/>
        <v>0</v>
      </c>
      <c r="AA25" s="107">
        <f t="shared" si="12"/>
        <v>0</v>
      </c>
      <c r="AB25" s="107">
        <f t="shared" si="13"/>
        <v>41.666666666666664</v>
      </c>
      <c r="AC25" s="107">
        <f t="shared" si="14"/>
        <v>164.45118455356126</v>
      </c>
      <c r="AD25" s="107">
        <f t="shared" si="15"/>
        <v>220.87755085185557</v>
      </c>
      <c r="AE25" s="107">
        <f t="shared" si="16"/>
        <v>105.24875811427921</v>
      </c>
      <c r="AF25" s="107">
        <f t="shared" si="17"/>
        <v>0</v>
      </c>
      <c r="AG25" s="109">
        <f t="shared" si="18"/>
        <v>0.2849948442801909</v>
      </c>
      <c r="AH25" s="110">
        <f t="shared" si="19"/>
        <v>291.11497213541782</v>
      </c>
    </row>
    <row r="26" spans="1:34" x14ac:dyDescent="0.2">
      <c r="A26" s="18" t="s">
        <v>138</v>
      </c>
      <c r="B26" s="23">
        <v>0.06</v>
      </c>
      <c r="C26" s="91" t="s">
        <v>130</v>
      </c>
      <c r="E26" s="99">
        <f t="shared" si="20"/>
        <v>15</v>
      </c>
      <c r="F26" s="26">
        <f t="shared" si="23"/>
        <v>2</v>
      </c>
      <c r="G26" s="26">
        <f t="shared" si="0"/>
        <v>41</v>
      </c>
      <c r="H26" s="100">
        <f t="shared" si="1"/>
        <v>0</v>
      </c>
      <c r="I26" s="101">
        <f t="shared" si="2"/>
        <v>0</v>
      </c>
      <c r="J26" s="101">
        <f t="shared" si="3"/>
        <v>0</v>
      </c>
      <c r="K26" s="101">
        <f t="shared" si="4"/>
        <v>0</v>
      </c>
      <c r="L26" s="102">
        <f t="shared" si="5"/>
        <v>41.666666666666664</v>
      </c>
      <c r="M26" s="103">
        <f>VLOOKUP(G26,'Q.3-Data'!$B$2:$C$118,2,0)*U26*$B$19/12</f>
        <v>164.29946131445661</v>
      </c>
      <c r="N26" s="103">
        <f t="shared" si="6"/>
        <v>221.72484358537545</v>
      </c>
      <c r="O26" s="102">
        <f t="shared" si="21"/>
        <v>194857.15741767047</v>
      </c>
      <c r="P26" s="102">
        <f t="shared" si="7"/>
        <v>1.0064340301100034</v>
      </c>
      <c r="Q26" s="102"/>
      <c r="R26" s="102">
        <f t="shared" si="22"/>
        <v>195866.27047775019</v>
      </c>
      <c r="S26" s="105">
        <f t="shared" si="8"/>
        <v>195604.63516231946</v>
      </c>
      <c r="U26" s="102">
        <f t="shared" si="9"/>
        <v>805142.84258232953</v>
      </c>
      <c r="W26" s="106"/>
      <c r="X26" s="107"/>
      <c r="Y26" s="107">
        <f t="shared" si="10"/>
        <v>30.916666666666668</v>
      </c>
      <c r="Z26" s="108">
        <f t="shared" si="11"/>
        <v>0</v>
      </c>
      <c r="AA26" s="107">
        <f t="shared" si="12"/>
        <v>0</v>
      </c>
      <c r="AB26" s="107">
        <f t="shared" si="13"/>
        <v>41.666666666666664</v>
      </c>
      <c r="AC26" s="107">
        <f t="shared" si="14"/>
        <v>164.29946131445661</v>
      </c>
      <c r="AD26" s="107">
        <f t="shared" si="15"/>
        <v>221.72484358537545</v>
      </c>
      <c r="AE26" s="107">
        <f t="shared" si="16"/>
        <v>105.15165524125223</v>
      </c>
      <c r="AF26" s="107">
        <f t="shared" si="17"/>
        <v>0</v>
      </c>
      <c r="AG26" s="109">
        <f t="shared" si="18"/>
        <v>0.28477231414768228</v>
      </c>
      <c r="AH26" s="110">
        <f t="shared" si="19"/>
        <v>291.90742197272755</v>
      </c>
    </row>
    <row r="27" spans="1:34" ht="13.5" thickBot="1" x14ac:dyDescent="0.25">
      <c r="A27" s="20" t="s">
        <v>139</v>
      </c>
      <c r="B27" s="115">
        <v>0.8</v>
      </c>
      <c r="C27" s="116"/>
      <c r="E27" s="99">
        <f t="shared" si="20"/>
        <v>16</v>
      </c>
      <c r="F27" s="26">
        <f t="shared" si="23"/>
        <v>2</v>
      </c>
      <c r="G27" s="26">
        <f t="shared" si="0"/>
        <v>41</v>
      </c>
      <c r="H27" s="100">
        <f t="shared" si="1"/>
        <v>0</v>
      </c>
      <c r="I27" s="101">
        <f t="shared" si="2"/>
        <v>0</v>
      </c>
      <c r="J27" s="101">
        <f t="shared" si="3"/>
        <v>0</v>
      </c>
      <c r="K27" s="101">
        <f t="shared" si="4"/>
        <v>0</v>
      </c>
      <c r="L27" s="102">
        <f t="shared" si="5"/>
        <v>41.666666666666664</v>
      </c>
      <c r="M27" s="103">
        <f>VLOOKUP(G27,'Q.3-Data'!$B$2:$C$118,2,0)*U27*$B$19/12</f>
        <v>164.14692913718918</v>
      </c>
      <c r="N27" s="103">
        <f t="shared" si="6"/>
        <v>222.57665380370003</v>
      </c>
      <c r="O27" s="102">
        <f t="shared" si="21"/>
        <v>195604.63516231946</v>
      </c>
      <c r="P27" s="102">
        <f t="shared" si="7"/>
        <v>1.0064340301100034</v>
      </c>
      <c r="Q27" s="102"/>
      <c r="R27" s="102">
        <f t="shared" si="22"/>
        <v>196618.73866273204</v>
      </c>
      <c r="S27" s="105">
        <f t="shared" si="8"/>
        <v>196356.09821124366</v>
      </c>
      <c r="U27" s="102">
        <f t="shared" si="9"/>
        <v>804395.36483768048</v>
      </c>
      <c r="W27" s="106"/>
      <c r="X27" s="107"/>
      <c r="Y27" s="107">
        <f t="shared" si="10"/>
        <v>30.916666666666668</v>
      </c>
      <c r="Z27" s="108">
        <f t="shared" si="11"/>
        <v>0</v>
      </c>
      <c r="AA27" s="107">
        <f t="shared" si="12"/>
        <v>0</v>
      </c>
      <c r="AB27" s="107">
        <f t="shared" si="13"/>
        <v>41.666666666666664</v>
      </c>
      <c r="AC27" s="107">
        <f t="shared" si="14"/>
        <v>164.14692913718918</v>
      </c>
      <c r="AD27" s="107">
        <f t="shared" si="15"/>
        <v>222.57665380370003</v>
      </c>
      <c r="AE27" s="107">
        <f t="shared" si="16"/>
        <v>105.05403464780107</v>
      </c>
      <c r="AF27" s="107">
        <f t="shared" si="17"/>
        <v>0</v>
      </c>
      <c r="AG27" s="109">
        <f t="shared" si="18"/>
        <v>0.28454859755805861</v>
      </c>
      <c r="AH27" s="110">
        <f t="shared" si="19"/>
        <v>292.70409689064616</v>
      </c>
    </row>
    <row r="28" spans="1:34" x14ac:dyDescent="0.2">
      <c r="E28" s="99">
        <f t="shared" si="20"/>
        <v>17</v>
      </c>
      <c r="F28" s="26">
        <f t="shared" si="23"/>
        <v>2</v>
      </c>
      <c r="G28" s="26">
        <f t="shared" si="0"/>
        <v>41</v>
      </c>
      <c r="H28" s="100">
        <f t="shared" si="1"/>
        <v>0</v>
      </c>
      <c r="I28" s="101">
        <f t="shared" si="2"/>
        <v>0</v>
      </c>
      <c r="J28" s="101">
        <f t="shared" si="3"/>
        <v>0</v>
      </c>
      <c r="K28" s="101">
        <f t="shared" si="4"/>
        <v>0</v>
      </c>
      <c r="L28" s="102">
        <f t="shared" si="5"/>
        <v>41.666666666666664</v>
      </c>
      <c r="M28" s="103">
        <f>VLOOKUP(G28,'Q.3-Data'!$B$2:$C$118,2,0)*U28*$B$19/12</f>
        <v>163.99358370876809</v>
      </c>
      <c r="N28" s="103">
        <f t="shared" si="6"/>
        <v>223.433005592565</v>
      </c>
      <c r="O28" s="102">
        <f t="shared" si="21"/>
        <v>196356.09821124366</v>
      </c>
      <c r="P28" s="102">
        <f t="shared" si="7"/>
        <v>1.0064340301100034</v>
      </c>
      <c r="Q28" s="102"/>
      <c r="R28" s="102">
        <f t="shared" si="22"/>
        <v>197375.21875936742</v>
      </c>
      <c r="S28" s="105">
        <f t="shared" si="8"/>
        <v>197111.56781276819</v>
      </c>
      <c r="U28" s="102">
        <f t="shared" si="9"/>
        <v>803643.90178875637</v>
      </c>
      <c r="W28" s="106"/>
      <c r="X28" s="107"/>
      <c r="Y28" s="107">
        <f t="shared" si="10"/>
        <v>30.916666666666668</v>
      </c>
      <c r="Z28" s="108">
        <f t="shared" si="11"/>
        <v>0</v>
      </c>
      <c r="AA28" s="107">
        <f t="shared" si="12"/>
        <v>0</v>
      </c>
      <c r="AB28" s="107">
        <f t="shared" si="13"/>
        <v>41.666666666666664</v>
      </c>
      <c r="AC28" s="107">
        <f t="shared" si="14"/>
        <v>163.99358370876809</v>
      </c>
      <c r="AD28" s="107">
        <f t="shared" si="15"/>
        <v>223.433005592565</v>
      </c>
      <c r="AE28" s="107">
        <f t="shared" si="16"/>
        <v>104.95589357361158</v>
      </c>
      <c r="AF28" s="107">
        <f t="shared" si="17"/>
        <v>0</v>
      </c>
      <c r="AG28" s="109">
        <f t="shared" si="18"/>
        <v>0.28432368818552273</v>
      </c>
      <c r="AH28" s="110">
        <f t="shared" si="19"/>
        <v>293.50501941590704</v>
      </c>
    </row>
    <row r="29" spans="1:34" x14ac:dyDescent="0.2">
      <c r="E29" s="99">
        <f t="shared" si="20"/>
        <v>18</v>
      </c>
      <c r="F29" s="26">
        <f t="shared" si="23"/>
        <v>2</v>
      </c>
      <c r="G29" s="26">
        <f t="shared" si="0"/>
        <v>41</v>
      </c>
      <c r="H29" s="100">
        <f t="shared" si="1"/>
        <v>0</v>
      </c>
      <c r="I29" s="101">
        <f t="shared" si="2"/>
        <v>0</v>
      </c>
      <c r="J29" s="101">
        <f t="shared" si="3"/>
        <v>0</v>
      </c>
      <c r="K29" s="101">
        <f t="shared" si="4"/>
        <v>0</v>
      </c>
      <c r="L29" s="102">
        <f t="shared" si="5"/>
        <v>41.666666666666664</v>
      </c>
      <c r="M29" s="103">
        <f>VLOOKUP(G29,'Q.3-Data'!$B$2:$C$118,2,0)*U29*$B$19/12</f>
        <v>163.83942069320699</v>
      </c>
      <c r="N29" s="103">
        <f t="shared" si="6"/>
        <v>224.29392316612345</v>
      </c>
      <c r="O29" s="102">
        <f t="shared" si="21"/>
        <v>197111.56781276819</v>
      </c>
      <c r="P29" s="102">
        <f t="shared" si="7"/>
        <v>1.0064340301100034</v>
      </c>
      <c r="Q29" s="102"/>
      <c r="R29" s="102">
        <f t="shared" si="22"/>
        <v>198135.7321578433</v>
      </c>
      <c r="S29" s="105">
        <f t="shared" si="8"/>
        <v>197871.06532850728</v>
      </c>
      <c r="U29" s="102">
        <f t="shared" si="9"/>
        <v>802888.43218723184</v>
      </c>
      <c r="W29" s="106"/>
      <c r="X29" s="107"/>
      <c r="Y29" s="107">
        <f t="shared" si="10"/>
        <v>30.916666666666668</v>
      </c>
      <c r="Z29" s="108">
        <f t="shared" si="11"/>
        <v>0</v>
      </c>
      <c r="AA29" s="107">
        <f t="shared" si="12"/>
        <v>0</v>
      </c>
      <c r="AB29" s="107">
        <f t="shared" si="13"/>
        <v>41.666666666666664</v>
      </c>
      <c r="AC29" s="107">
        <f t="shared" si="14"/>
        <v>163.83942069320699</v>
      </c>
      <c r="AD29" s="107">
        <f t="shared" si="15"/>
        <v>224.29392316612345</v>
      </c>
      <c r="AE29" s="107">
        <f t="shared" si="16"/>
        <v>104.85722924365248</v>
      </c>
      <c r="AF29" s="107">
        <f t="shared" si="17"/>
        <v>0</v>
      </c>
      <c r="AG29" s="109">
        <f t="shared" si="18"/>
        <v>0.28409757967055038</v>
      </c>
      <c r="AH29" s="110">
        <f t="shared" si="19"/>
        <v>294.31021219534853</v>
      </c>
    </row>
    <row r="30" spans="1:34" x14ac:dyDescent="0.2">
      <c r="E30" s="99">
        <f t="shared" si="20"/>
        <v>19</v>
      </c>
      <c r="F30" s="26">
        <f t="shared" si="23"/>
        <v>2</v>
      </c>
      <c r="G30" s="26">
        <f t="shared" si="0"/>
        <v>41</v>
      </c>
      <c r="H30" s="100">
        <f t="shared" si="1"/>
        <v>0</v>
      </c>
      <c r="I30" s="101">
        <f t="shared" si="2"/>
        <v>0</v>
      </c>
      <c r="J30" s="101">
        <f t="shared" si="3"/>
        <v>0</v>
      </c>
      <c r="K30" s="101">
        <f t="shared" si="4"/>
        <v>0</v>
      </c>
      <c r="L30" s="102">
        <f t="shared" si="5"/>
        <v>41.666666666666664</v>
      </c>
      <c r="M30" s="103">
        <f>VLOOKUP(G30,'Q.3-Data'!$B$2:$C$118,2,0)*U30*$B$19/12</f>
        <v>163.68443573140146</v>
      </c>
      <c r="N30" s="103">
        <f t="shared" si="6"/>
        <v>225.15943086763028</v>
      </c>
      <c r="O30" s="102">
        <f t="shared" si="21"/>
        <v>197871.06532850728</v>
      </c>
      <c r="P30" s="102">
        <f t="shared" si="7"/>
        <v>1.0064340301100034</v>
      </c>
      <c r="Q30" s="102"/>
      <c r="R30" s="102">
        <f t="shared" si="22"/>
        <v>198900.30036239201</v>
      </c>
      <c r="S30" s="105">
        <f t="shared" si="8"/>
        <v>198634.61223396822</v>
      </c>
      <c r="U30" s="102">
        <f t="shared" si="9"/>
        <v>802128.93467149278</v>
      </c>
      <c r="W30" s="106"/>
      <c r="X30" s="107"/>
      <c r="Y30" s="107">
        <f t="shared" si="10"/>
        <v>30.916666666666668</v>
      </c>
      <c r="Z30" s="108">
        <f t="shared" si="11"/>
        <v>0</v>
      </c>
      <c r="AA30" s="107">
        <f t="shared" si="12"/>
        <v>0</v>
      </c>
      <c r="AB30" s="107">
        <f t="shared" si="13"/>
        <v>41.666666666666664</v>
      </c>
      <c r="AC30" s="107">
        <f t="shared" si="14"/>
        <v>163.68443573140146</v>
      </c>
      <c r="AD30" s="107">
        <f t="shared" si="15"/>
        <v>225.15943086763028</v>
      </c>
      <c r="AE30" s="107">
        <f t="shared" si="16"/>
        <v>104.75803886809695</v>
      </c>
      <c r="AF30" s="107">
        <f t="shared" si="17"/>
        <v>0</v>
      </c>
      <c r="AG30" s="109">
        <f t="shared" si="18"/>
        <v>0.28387026561971046</v>
      </c>
      <c r="AH30" s="110">
        <f t="shared" si="19"/>
        <v>295.11969799655458</v>
      </c>
    </row>
    <row r="31" spans="1:34" x14ac:dyDescent="0.2">
      <c r="E31" s="99">
        <f t="shared" si="20"/>
        <v>20</v>
      </c>
      <c r="F31" s="26">
        <f t="shared" si="23"/>
        <v>2</v>
      </c>
      <c r="G31" s="26">
        <f t="shared" si="0"/>
        <v>41</v>
      </c>
      <c r="H31" s="100">
        <f t="shared" si="1"/>
        <v>0</v>
      </c>
      <c r="I31" s="101">
        <f t="shared" si="2"/>
        <v>0</v>
      </c>
      <c r="J31" s="101">
        <f t="shared" si="3"/>
        <v>0</v>
      </c>
      <c r="K31" s="101">
        <f t="shared" si="4"/>
        <v>0</v>
      </c>
      <c r="L31" s="102">
        <f t="shared" si="5"/>
        <v>41.666666666666664</v>
      </c>
      <c r="M31" s="103">
        <f>VLOOKUP(G31,'Q.3-Data'!$B$2:$C$118,2,0)*U31*$B$19/12</f>
        <v>163.52862444100586</v>
      </c>
      <c r="N31" s="103">
        <f t="shared" si="6"/>
        <v>226.02955317013055</v>
      </c>
      <c r="O31" s="102">
        <f t="shared" si="21"/>
        <v>198634.61223396822</v>
      </c>
      <c r="P31" s="102">
        <f t="shared" si="7"/>
        <v>1.0064340301100034</v>
      </c>
      <c r="Q31" s="102"/>
      <c r="R31" s="102">
        <f t="shared" si="22"/>
        <v>199668.94499189931</v>
      </c>
      <c r="S31" s="105">
        <f t="shared" si="8"/>
        <v>199402.23011915854</v>
      </c>
      <c r="U31" s="102">
        <f t="shared" si="9"/>
        <v>801365.38776603178</v>
      </c>
      <c r="W31" s="106"/>
      <c r="X31" s="107"/>
      <c r="Y31" s="107">
        <f t="shared" si="10"/>
        <v>30.916666666666668</v>
      </c>
      <c r="Z31" s="108">
        <f t="shared" si="11"/>
        <v>0</v>
      </c>
      <c r="AA31" s="107">
        <f t="shared" si="12"/>
        <v>0</v>
      </c>
      <c r="AB31" s="107">
        <f t="shared" si="13"/>
        <v>41.666666666666664</v>
      </c>
      <c r="AC31" s="107">
        <f t="shared" si="14"/>
        <v>163.52862444100586</v>
      </c>
      <c r="AD31" s="107">
        <f t="shared" si="15"/>
        <v>226.02955317013055</v>
      </c>
      <c r="AE31" s="107">
        <f t="shared" si="16"/>
        <v>104.65831964224377</v>
      </c>
      <c r="AF31" s="107">
        <f t="shared" si="17"/>
        <v>0</v>
      </c>
      <c r="AG31" s="109">
        <f t="shared" si="18"/>
        <v>0.28364173960548417</v>
      </c>
      <c r="AH31" s="110">
        <f t="shared" si="19"/>
        <v>295.93349970849806</v>
      </c>
    </row>
    <row r="32" spans="1:34" x14ac:dyDescent="0.2">
      <c r="E32" s="99">
        <f t="shared" si="20"/>
        <v>21</v>
      </c>
      <c r="F32" s="26">
        <f t="shared" si="23"/>
        <v>2</v>
      </c>
      <c r="G32" s="26">
        <f t="shared" si="0"/>
        <v>41</v>
      </c>
      <c r="H32" s="100">
        <f t="shared" si="1"/>
        <v>0</v>
      </c>
      <c r="I32" s="101">
        <f t="shared" si="2"/>
        <v>0</v>
      </c>
      <c r="J32" s="101">
        <f t="shared" si="3"/>
        <v>0</v>
      </c>
      <c r="K32" s="101">
        <f t="shared" si="4"/>
        <v>0</v>
      </c>
      <c r="L32" s="102">
        <f t="shared" si="5"/>
        <v>41.666666666666664</v>
      </c>
      <c r="M32" s="103">
        <f>VLOOKUP(G32,'Q.3-Data'!$B$2:$C$118,2,0)*U32*$B$19/12</f>
        <v>163.37198241630918</v>
      </c>
      <c r="N32" s="103">
        <f t="shared" si="6"/>
        <v>226.90431467715152</v>
      </c>
      <c r="O32" s="102">
        <f t="shared" si="21"/>
        <v>199402.23011915854</v>
      </c>
      <c r="P32" s="102">
        <f t="shared" si="7"/>
        <v>1.0064340301100034</v>
      </c>
      <c r="Q32" s="102"/>
      <c r="R32" s="102">
        <f t="shared" si="22"/>
        <v>200441.68778051567</v>
      </c>
      <c r="S32" s="105">
        <f t="shared" si="8"/>
        <v>200173.94068919664</v>
      </c>
      <c r="U32" s="102">
        <f t="shared" si="9"/>
        <v>800597.76988084149</v>
      </c>
      <c r="W32" s="106"/>
      <c r="X32" s="107"/>
      <c r="Y32" s="107">
        <f t="shared" si="10"/>
        <v>30.916666666666668</v>
      </c>
      <c r="Z32" s="108">
        <f t="shared" si="11"/>
        <v>0</v>
      </c>
      <c r="AA32" s="107">
        <f t="shared" si="12"/>
        <v>0</v>
      </c>
      <c r="AB32" s="107">
        <f t="shared" si="13"/>
        <v>41.666666666666664</v>
      </c>
      <c r="AC32" s="107">
        <f t="shared" si="14"/>
        <v>163.37198241630918</v>
      </c>
      <c r="AD32" s="107">
        <f t="shared" si="15"/>
        <v>226.90431467715152</v>
      </c>
      <c r="AE32" s="107">
        <f t="shared" si="16"/>
        <v>104.55806874643788</v>
      </c>
      <c r="AF32" s="107">
        <f t="shared" si="17"/>
        <v>0</v>
      </c>
      <c r="AG32" s="109">
        <f t="shared" si="18"/>
        <v>0.2834119951660834</v>
      </c>
      <c r="AH32" s="110">
        <f t="shared" si="19"/>
        <v>296.75164034218886</v>
      </c>
    </row>
    <row r="33" spans="5:34" x14ac:dyDescent="0.2">
      <c r="E33" s="99">
        <f t="shared" si="20"/>
        <v>22</v>
      </c>
      <c r="F33" s="26">
        <f t="shared" si="23"/>
        <v>2</v>
      </c>
      <c r="G33" s="26">
        <f t="shared" si="0"/>
        <v>41</v>
      </c>
      <c r="H33" s="100">
        <f t="shared" si="1"/>
        <v>0</v>
      </c>
      <c r="I33" s="101">
        <f t="shared" si="2"/>
        <v>0</v>
      </c>
      <c r="J33" s="101">
        <f t="shared" si="3"/>
        <v>0</v>
      </c>
      <c r="K33" s="101">
        <f t="shared" si="4"/>
        <v>0</v>
      </c>
      <c r="L33" s="102">
        <f t="shared" si="5"/>
        <v>41.666666666666664</v>
      </c>
      <c r="M33" s="103">
        <f>VLOOKUP(G33,'Q.3-Data'!$B$2:$C$118,2,0)*U33*$B$19/12</f>
        <v>163.21450522811082</v>
      </c>
      <c r="N33" s="103">
        <f t="shared" si="6"/>
        <v>227.78374012339833</v>
      </c>
      <c r="O33" s="102">
        <f t="shared" si="21"/>
        <v>200173.94068919664</v>
      </c>
      <c r="P33" s="102">
        <f t="shared" si="7"/>
        <v>1.0064340301100034</v>
      </c>
      <c r="Q33" s="102"/>
      <c r="R33" s="102">
        <f t="shared" si="22"/>
        <v>201218.55057827098</v>
      </c>
      <c r="S33" s="105">
        <f t="shared" si="8"/>
        <v>200949.76576492537</v>
      </c>
      <c r="U33" s="102">
        <f t="shared" si="9"/>
        <v>799826.05931080342</v>
      </c>
      <c r="W33" s="106"/>
      <c r="X33" s="107"/>
      <c r="Y33" s="107">
        <f t="shared" si="10"/>
        <v>30.916666666666668</v>
      </c>
      <c r="Z33" s="108">
        <f t="shared" si="11"/>
        <v>0</v>
      </c>
      <c r="AA33" s="107">
        <f t="shared" si="12"/>
        <v>0</v>
      </c>
      <c r="AB33" s="107">
        <f t="shared" si="13"/>
        <v>41.666666666666664</v>
      </c>
      <c r="AC33" s="107">
        <f t="shared" si="14"/>
        <v>163.21450522811082</v>
      </c>
      <c r="AD33" s="107">
        <f t="shared" si="15"/>
        <v>227.78374012339833</v>
      </c>
      <c r="AE33" s="107">
        <f t="shared" si="16"/>
        <v>104.45728334599094</v>
      </c>
      <c r="AF33" s="107">
        <f t="shared" si="17"/>
        <v>0</v>
      </c>
      <c r="AG33" s="109">
        <f t="shared" si="18"/>
        <v>0.28318102580526783</v>
      </c>
      <c r="AH33" s="110">
        <f t="shared" si="19"/>
        <v>297.5741430313235</v>
      </c>
    </row>
    <row r="34" spans="5:34" x14ac:dyDescent="0.2">
      <c r="E34" s="99">
        <f t="shared" si="20"/>
        <v>23</v>
      </c>
      <c r="F34" s="26">
        <f t="shared" si="23"/>
        <v>2</v>
      </c>
      <c r="G34" s="26">
        <f t="shared" si="0"/>
        <v>41</v>
      </c>
      <c r="H34" s="100">
        <f t="shared" si="1"/>
        <v>0</v>
      </c>
      <c r="I34" s="101">
        <f t="shared" si="2"/>
        <v>0</v>
      </c>
      <c r="J34" s="101">
        <f t="shared" si="3"/>
        <v>0</v>
      </c>
      <c r="K34" s="101">
        <f t="shared" si="4"/>
        <v>0</v>
      </c>
      <c r="L34" s="102">
        <f t="shared" si="5"/>
        <v>41.666666666666664</v>
      </c>
      <c r="M34" s="103">
        <f>VLOOKUP(G34,'Q.3-Data'!$B$2:$C$118,2,0)*U34*$B$19/12</f>
        <v>163.05618842359488</v>
      </c>
      <c r="N34" s="103">
        <f t="shared" si="6"/>
        <v>228.66785437545335</v>
      </c>
      <c r="O34" s="102">
        <f t="shared" si="21"/>
        <v>200949.76576492537</v>
      </c>
      <c r="P34" s="102">
        <f t="shared" si="7"/>
        <v>1.0064340301100034</v>
      </c>
      <c r="Q34" s="102"/>
      <c r="R34" s="102">
        <f t="shared" si="22"/>
        <v>201999.55535169216</v>
      </c>
      <c r="S34" s="105">
        <f t="shared" si="8"/>
        <v>201729.72728352912</v>
      </c>
      <c r="U34" s="102">
        <f t="shared" si="9"/>
        <v>799050.2342350746</v>
      </c>
      <c r="W34" s="106"/>
      <c r="X34" s="107"/>
      <c r="Y34" s="107">
        <f t="shared" si="10"/>
        <v>30.916666666666668</v>
      </c>
      <c r="Z34" s="108">
        <f t="shared" si="11"/>
        <v>0</v>
      </c>
      <c r="AA34" s="107">
        <f t="shared" si="12"/>
        <v>0</v>
      </c>
      <c r="AB34" s="107">
        <f t="shared" si="13"/>
        <v>41.666666666666664</v>
      </c>
      <c r="AC34" s="107">
        <f t="shared" si="14"/>
        <v>163.05618842359488</v>
      </c>
      <c r="AD34" s="107">
        <f t="shared" si="15"/>
        <v>228.66785437545335</v>
      </c>
      <c r="AE34" s="107">
        <f t="shared" si="16"/>
        <v>104.35596059110071</v>
      </c>
      <c r="AF34" s="107">
        <f t="shared" si="17"/>
        <v>0</v>
      </c>
      <c r="AG34" s="109">
        <f t="shared" si="18"/>
        <v>0.28294882499216129</v>
      </c>
      <c r="AH34" s="110">
        <f t="shared" si="19"/>
        <v>298.40103103293961</v>
      </c>
    </row>
    <row r="35" spans="5:34" x14ac:dyDescent="0.2">
      <c r="E35" s="99">
        <f t="shared" si="20"/>
        <v>24</v>
      </c>
      <c r="F35" s="26">
        <f t="shared" si="23"/>
        <v>2</v>
      </c>
      <c r="G35" s="26">
        <f t="shared" si="0"/>
        <v>41</v>
      </c>
      <c r="H35" s="100">
        <f t="shared" si="1"/>
        <v>0</v>
      </c>
      <c r="I35" s="101">
        <f t="shared" si="2"/>
        <v>0</v>
      </c>
      <c r="J35" s="101">
        <f t="shared" si="3"/>
        <v>0</v>
      </c>
      <c r="K35" s="101">
        <f t="shared" si="4"/>
        <v>0</v>
      </c>
      <c r="L35" s="102">
        <f t="shared" si="5"/>
        <v>41.666666666666664</v>
      </c>
      <c r="M35" s="103">
        <f>VLOOKUP(G35,'Q.3-Data'!$B$2:$C$118,2,0)*U35*$B$19/12</f>
        <v>162.89702752620482</v>
      </c>
      <c r="N35" s="103">
        <f t="shared" si="6"/>
        <v>229.55668243247942</v>
      </c>
      <c r="O35" s="102">
        <f t="shared" si="21"/>
        <v>201729.72728352912</v>
      </c>
      <c r="P35" s="102">
        <f t="shared" si="7"/>
        <v>1.0064340301100034</v>
      </c>
      <c r="Q35" s="102"/>
      <c r="R35" s="102">
        <f t="shared" si="22"/>
        <v>202784.72418442447</v>
      </c>
      <c r="S35" s="105">
        <f t="shared" si="8"/>
        <v>202513.84729915415</v>
      </c>
      <c r="U35" s="102">
        <f t="shared" si="9"/>
        <v>798270.27271647088</v>
      </c>
      <c r="W35" s="106"/>
      <c r="X35" s="107"/>
      <c r="Y35" s="107">
        <f t="shared" si="10"/>
        <v>30.916666666666668</v>
      </c>
      <c r="Z35" s="108">
        <f t="shared" si="11"/>
        <v>0</v>
      </c>
      <c r="AA35" s="107">
        <f t="shared" si="12"/>
        <v>0</v>
      </c>
      <c r="AB35" s="107">
        <f t="shared" si="13"/>
        <v>41.666666666666664</v>
      </c>
      <c r="AC35" s="107">
        <f t="shared" si="14"/>
        <v>162.89702752620482</v>
      </c>
      <c r="AD35" s="107">
        <f t="shared" si="15"/>
        <v>229.55668243247942</v>
      </c>
      <c r="AE35" s="107">
        <f t="shared" si="16"/>
        <v>104.25409761677109</v>
      </c>
      <c r="AF35" s="107">
        <f t="shared" si="17"/>
        <v>0</v>
      </c>
      <c r="AG35" s="109">
        <f t="shared" si="18"/>
        <v>0.28271538616106712</v>
      </c>
      <c r="AH35" s="110">
        <f t="shared" si="19"/>
        <v>299.23232772807421</v>
      </c>
    </row>
    <row r="36" spans="5:34" x14ac:dyDescent="0.2">
      <c r="E36" s="99">
        <f t="shared" si="20"/>
        <v>25</v>
      </c>
      <c r="F36" s="26">
        <f t="shared" si="23"/>
        <v>3</v>
      </c>
      <c r="G36" s="26">
        <f t="shared" si="0"/>
        <v>42</v>
      </c>
      <c r="H36" s="100">
        <f t="shared" si="1"/>
        <v>100000</v>
      </c>
      <c r="I36" s="101">
        <f t="shared" si="2"/>
        <v>3000</v>
      </c>
      <c r="J36" s="101">
        <f t="shared" si="3"/>
        <v>540</v>
      </c>
      <c r="K36" s="101">
        <f t="shared" si="4"/>
        <v>96460</v>
      </c>
      <c r="L36" s="102">
        <f t="shared" si="5"/>
        <v>41.666666666666664</v>
      </c>
      <c r="M36" s="103">
        <f>VLOOKUP(G36,'Q.3-Data'!$B$2:$C$118,2,0)*U36*$B$19/12</f>
        <v>156.27041320623022</v>
      </c>
      <c r="N36" s="103">
        <f t="shared" si="6"/>
        <v>340.35630656020294</v>
      </c>
      <c r="O36" s="102">
        <f t="shared" si="21"/>
        <v>298973.84729915415</v>
      </c>
      <c r="P36" s="102">
        <f t="shared" si="7"/>
        <v>1.0064340301100034</v>
      </c>
      <c r="Q36" s="102"/>
      <c r="R36" s="102">
        <f t="shared" si="22"/>
        <v>300662.38551143493</v>
      </c>
      <c r="S36" s="105">
        <f t="shared" si="8"/>
        <v>300260.76506969391</v>
      </c>
      <c r="U36" s="102">
        <f t="shared" si="9"/>
        <v>701026.15270084585</v>
      </c>
      <c r="W36" s="106"/>
      <c r="X36" s="107"/>
      <c r="Y36" s="107">
        <f t="shared" si="10"/>
        <v>32.771666666666668</v>
      </c>
      <c r="Z36" s="108">
        <f t="shared" si="11"/>
        <v>3000</v>
      </c>
      <c r="AA36" s="107">
        <f t="shared" si="12"/>
        <v>3000</v>
      </c>
      <c r="AB36" s="107">
        <f t="shared" si="13"/>
        <v>41.666666666666664</v>
      </c>
      <c r="AC36" s="107">
        <f t="shared" si="14"/>
        <v>156.27041320623022</v>
      </c>
      <c r="AD36" s="107">
        <f t="shared" si="15"/>
        <v>340.35630656020294</v>
      </c>
      <c r="AE36" s="107">
        <f t="shared" si="16"/>
        <v>100.01306445198735</v>
      </c>
      <c r="AF36" s="107">
        <f t="shared" si="17"/>
        <v>0</v>
      </c>
      <c r="AG36" s="109">
        <f t="shared" si="18"/>
        <v>0.26543873362021408</v>
      </c>
      <c r="AH36" s="110">
        <f t="shared" si="19"/>
        <v>405.77409404806622</v>
      </c>
    </row>
    <row r="37" spans="5:34" x14ac:dyDescent="0.2">
      <c r="E37" s="99">
        <f t="shared" si="20"/>
        <v>26</v>
      </c>
      <c r="F37" s="26">
        <f t="shared" si="23"/>
        <v>3</v>
      </c>
      <c r="G37" s="26">
        <f t="shared" si="0"/>
        <v>42</v>
      </c>
      <c r="H37" s="100">
        <f t="shared" si="1"/>
        <v>0</v>
      </c>
      <c r="I37" s="101">
        <f t="shared" si="2"/>
        <v>0</v>
      </c>
      <c r="J37" s="101">
        <f t="shared" si="3"/>
        <v>0</v>
      </c>
      <c r="K37" s="101">
        <f t="shared" si="4"/>
        <v>0</v>
      </c>
      <c r="L37" s="102">
        <f t="shared" si="5"/>
        <v>41.666666666666664</v>
      </c>
      <c r="M37" s="103">
        <f>VLOOKUP(G37,'Q.3-Data'!$B$2:$C$118,2,0)*U37*$B$19/12</f>
        <v>155.9835377865474</v>
      </c>
      <c r="N37" s="103">
        <f t="shared" si="6"/>
        <v>341.8228841238132</v>
      </c>
      <c r="O37" s="102">
        <f t="shared" si="21"/>
        <v>300260.76506969391</v>
      </c>
      <c r="P37" s="102">
        <f t="shared" si="7"/>
        <v>1.0064340301100034</v>
      </c>
      <c r="Q37" s="102"/>
      <c r="R37" s="102">
        <f t="shared" si="22"/>
        <v>301957.92404065747</v>
      </c>
      <c r="S37" s="105">
        <f t="shared" si="8"/>
        <v>301554.57303739135</v>
      </c>
      <c r="U37" s="102">
        <f t="shared" si="9"/>
        <v>699739.23493030609</v>
      </c>
      <c r="W37" s="106"/>
      <c r="X37" s="107"/>
      <c r="Y37" s="107">
        <f t="shared" si="10"/>
        <v>32.771666666666668</v>
      </c>
      <c r="Z37" s="108">
        <f t="shared" si="11"/>
        <v>0</v>
      </c>
      <c r="AA37" s="107">
        <f t="shared" si="12"/>
        <v>0</v>
      </c>
      <c r="AB37" s="107">
        <f t="shared" si="13"/>
        <v>41.666666666666664</v>
      </c>
      <c r="AC37" s="107">
        <f t="shared" si="14"/>
        <v>155.9835377865474</v>
      </c>
      <c r="AD37" s="107">
        <f t="shared" si="15"/>
        <v>341.8228841238132</v>
      </c>
      <c r="AE37" s="107">
        <f t="shared" si="16"/>
        <v>99.829464183390343</v>
      </c>
      <c r="AF37" s="107">
        <f t="shared" si="17"/>
        <v>0</v>
      </c>
      <c r="AG37" s="109">
        <f t="shared" si="18"/>
        <v>0.26501797787091441</v>
      </c>
      <c r="AH37" s="110">
        <f t="shared" si="19"/>
        <v>407.13697570484118</v>
      </c>
    </row>
    <row r="38" spans="5:34" x14ac:dyDescent="0.2">
      <c r="E38" s="99">
        <f t="shared" si="20"/>
        <v>27</v>
      </c>
      <c r="F38" s="26">
        <f t="shared" si="23"/>
        <v>3</v>
      </c>
      <c r="G38" s="26">
        <f t="shared" si="0"/>
        <v>42</v>
      </c>
      <c r="H38" s="100">
        <f t="shared" si="1"/>
        <v>0</v>
      </c>
      <c r="I38" s="101">
        <f t="shared" si="2"/>
        <v>0</v>
      </c>
      <c r="J38" s="101">
        <f t="shared" si="3"/>
        <v>0</v>
      </c>
      <c r="K38" s="101">
        <f t="shared" si="4"/>
        <v>0</v>
      </c>
      <c r="L38" s="102">
        <f t="shared" si="5"/>
        <v>41.666666666666664</v>
      </c>
      <c r="M38" s="103">
        <f>VLOOKUP(G38,'Q.3-Data'!$B$2:$C$118,2,0)*U38*$B$19/12</f>
        <v>155.69512642708153</v>
      </c>
      <c r="N38" s="103">
        <f t="shared" si="6"/>
        <v>343.29731378861572</v>
      </c>
      <c r="O38" s="102">
        <f t="shared" si="21"/>
        <v>301554.57303739135</v>
      </c>
      <c r="P38" s="102">
        <f t="shared" si="7"/>
        <v>1.0064340301100034</v>
      </c>
      <c r="Q38" s="102"/>
      <c r="R38" s="102">
        <f t="shared" si="22"/>
        <v>303260.39892284374</v>
      </c>
      <c r="S38" s="105">
        <f t="shared" si="8"/>
        <v>302855.30809257319</v>
      </c>
      <c r="U38" s="102">
        <f t="shared" si="9"/>
        <v>698445.4269626087</v>
      </c>
      <c r="W38" s="106"/>
      <c r="X38" s="107"/>
      <c r="Y38" s="107">
        <f t="shared" si="10"/>
        <v>32.771666666666668</v>
      </c>
      <c r="Z38" s="108">
        <f t="shared" si="11"/>
        <v>0</v>
      </c>
      <c r="AA38" s="107">
        <f t="shared" si="12"/>
        <v>0</v>
      </c>
      <c r="AB38" s="107">
        <f t="shared" si="13"/>
        <v>41.666666666666664</v>
      </c>
      <c r="AC38" s="107">
        <f t="shared" si="14"/>
        <v>155.69512642708153</v>
      </c>
      <c r="AD38" s="107">
        <f t="shared" si="15"/>
        <v>343.29731378861572</v>
      </c>
      <c r="AE38" s="107">
        <f t="shared" si="16"/>
        <v>99.644880913332187</v>
      </c>
      <c r="AF38" s="107">
        <f t="shared" si="17"/>
        <v>0</v>
      </c>
      <c r="AG38" s="109">
        <f t="shared" si="18"/>
        <v>0.2645949693824477</v>
      </c>
      <c r="AH38" s="110">
        <f t="shared" si="19"/>
        <v>408.50715427174742</v>
      </c>
    </row>
    <row r="39" spans="5:34" x14ac:dyDescent="0.2">
      <c r="E39" s="99">
        <f t="shared" si="20"/>
        <v>28</v>
      </c>
      <c r="F39" s="26">
        <f t="shared" si="23"/>
        <v>3</v>
      </c>
      <c r="G39" s="26">
        <f t="shared" si="0"/>
        <v>42</v>
      </c>
      <c r="H39" s="100">
        <f t="shared" si="1"/>
        <v>0</v>
      </c>
      <c r="I39" s="101">
        <f t="shared" si="2"/>
        <v>0</v>
      </c>
      <c r="J39" s="101">
        <f t="shared" si="3"/>
        <v>0</v>
      </c>
      <c r="K39" s="101">
        <f t="shared" si="4"/>
        <v>0</v>
      </c>
      <c r="L39" s="102">
        <f t="shared" si="5"/>
        <v>41.666666666666664</v>
      </c>
      <c r="M39" s="103">
        <f>VLOOKUP(G39,'Q.3-Data'!$B$2:$C$118,2,0)*U39*$B$19/12</f>
        <v>155.40517090436387</v>
      </c>
      <c r="N39" s="103">
        <f t="shared" si="6"/>
        <v>344.77963759500074</v>
      </c>
      <c r="O39" s="102">
        <f t="shared" si="21"/>
        <v>302855.30809257319</v>
      </c>
      <c r="P39" s="102">
        <f t="shared" si="7"/>
        <v>1.0064340301100034</v>
      </c>
      <c r="Q39" s="102"/>
      <c r="R39" s="102">
        <f t="shared" si="22"/>
        <v>304569.84729543992</v>
      </c>
      <c r="S39" s="105">
        <f t="shared" si="8"/>
        <v>304163.00732307782</v>
      </c>
      <c r="U39" s="102">
        <f t="shared" si="9"/>
        <v>697144.69190742681</v>
      </c>
      <c r="W39" s="106"/>
      <c r="X39" s="107"/>
      <c r="Y39" s="107">
        <f t="shared" si="10"/>
        <v>32.771666666666668</v>
      </c>
      <c r="Z39" s="108">
        <f t="shared" si="11"/>
        <v>0</v>
      </c>
      <c r="AA39" s="107">
        <f t="shared" si="12"/>
        <v>0</v>
      </c>
      <c r="AB39" s="107">
        <f t="shared" si="13"/>
        <v>41.666666666666664</v>
      </c>
      <c r="AC39" s="107">
        <f t="shared" si="14"/>
        <v>155.40517090436387</v>
      </c>
      <c r="AD39" s="107">
        <f t="shared" si="15"/>
        <v>344.77963759500074</v>
      </c>
      <c r="AE39" s="107">
        <f t="shared" si="16"/>
        <v>99.459309378792881</v>
      </c>
      <c r="AF39" s="107">
        <f t="shared" si="17"/>
        <v>0</v>
      </c>
      <c r="AG39" s="109">
        <f t="shared" si="18"/>
        <v>0.26416969609357815</v>
      </c>
      <c r="AH39" s="110">
        <f t="shared" si="19"/>
        <v>409.88466881666534</v>
      </c>
    </row>
    <row r="40" spans="5:34" x14ac:dyDescent="0.2">
      <c r="E40" s="99">
        <f t="shared" si="20"/>
        <v>29</v>
      </c>
      <c r="F40" s="26">
        <f t="shared" si="23"/>
        <v>3</v>
      </c>
      <c r="G40" s="26">
        <f t="shared" si="0"/>
        <v>42</v>
      </c>
      <c r="H40" s="100">
        <f t="shared" si="1"/>
        <v>0</v>
      </c>
      <c r="I40" s="101">
        <f t="shared" si="2"/>
        <v>0</v>
      </c>
      <c r="J40" s="101">
        <f t="shared" si="3"/>
        <v>0</v>
      </c>
      <c r="K40" s="101">
        <f t="shared" si="4"/>
        <v>0</v>
      </c>
      <c r="L40" s="102">
        <f t="shared" si="5"/>
        <v>41.666666666666664</v>
      </c>
      <c r="M40" s="103">
        <f>VLOOKUP(G40,'Q.3-Data'!$B$2:$C$118,2,0)*U40*$B$19/12</f>
        <v>155.11366295089724</v>
      </c>
      <c r="N40" s="103">
        <f t="shared" si="6"/>
        <v>346.26989780844406</v>
      </c>
      <c r="O40" s="102">
        <f t="shared" si="21"/>
        <v>304163.00732307782</v>
      </c>
      <c r="P40" s="102">
        <f t="shared" si="7"/>
        <v>1.0064340301100034</v>
      </c>
      <c r="Q40" s="102"/>
      <c r="R40" s="102">
        <f t="shared" si="22"/>
        <v>305886.30649472727</v>
      </c>
      <c r="S40" s="105">
        <f t="shared" si="8"/>
        <v>305477.70801531331</v>
      </c>
      <c r="U40" s="102">
        <f t="shared" si="9"/>
        <v>695836.99267692212</v>
      </c>
      <c r="W40" s="106"/>
      <c r="X40" s="107"/>
      <c r="Y40" s="107">
        <f t="shared" si="10"/>
        <v>32.771666666666668</v>
      </c>
      <c r="Z40" s="108">
        <f t="shared" si="11"/>
        <v>0</v>
      </c>
      <c r="AA40" s="107">
        <f t="shared" si="12"/>
        <v>0</v>
      </c>
      <c r="AB40" s="107">
        <f t="shared" si="13"/>
        <v>41.666666666666664</v>
      </c>
      <c r="AC40" s="107">
        <f t="shared" si="14"/>
        <v>155.11366295089724</v>
      </c>
      <c r="AD40" s="107">
        <f t="shared" si="15"/>
        <v>346.26989780844406</v>
      </c>
      <c r="AE40" s="107">
        <f t="shared" si="16"/>
        <v>99.272744288574245</v>
      </c>
      <c r="AF40" s="107">
        <f t="shared" si="17"/>
        <v>0</v>
      </c>
      <c r="AG40" s="109">
        <f t="shared" si="18"/>
        <v>0.26374214587849532</v>
      </c>
      <c r="AH40" s="110">
        <f t="shared" si="19"/>
        <v>411.26955861664555</v>
      </c>
    </row>
    <row r="41" spans="5:34" x14ac:dyDescent="0.2">
      <c r="E41" s="99">
        <f t="shared" si="20"/>
        <v>30</v>
      </c>
      <c r="F41" s="26">
        <f t="shared" si="23"/>
        <v>3</v>
      </c>
      <c r="G41" s="26">
        <f t="shared" si="0"/>
        <v>42</v>
      </c>
      <c r="H41" s="100">
        <f t="shared" si="1"/>
        <v>0</v>
      </c>
      <c r="I41" s="101">
        <f t="shared" si="2"/>
        <v>0</v>
      </c>
      <c r="J41" s="101">
        <f t="shared" si="3"/>
        <v>0</v>
      </c>
      <c r="K41" s="101">
        <f t="shared" si="4"/>
        <v>0</v>
      </c>
      <c r="L41" s="102">
        <f t="shared" si="5"/>
        <v>41.666666666666664</v>
      </c>
      <c r="M41" s="103">
        <f>VLOOKUP(G41,'Q.3-Data'!$B$2:$C$118,2,0)*U41*$B$19/12</f>
        <v>154.82059425491971</v>
      </c>
      <c r="N41" s="103">
        <f t="shared" si="6"/>
        <v>347.76813692071215</v>
      </c>
      <c r="O41" s="102">
        <f t="shared" si="21"/>
        <v>305477.70801531331</v>
      </c>
      <c r="P41" s="102">
        <f t="shared" si="7"/>
        <v>1.0064340301100034</v>
      </c>
      <c r="Q41" s="102"/>
      <c r="R41" s="102">
        <f t="shared" si="22"/>
        <v>307209.81405688665</v>
      </c>
      <c r="S41" s="105">
        <f t="shared" si="8"/>
        <v>306799.44765532023</v>
      </c>
      <c r="U41" s="102">
        <f t="shared" si="9"/>
        <v>694522.29198468663</v>
      </c>
      <c r="W41" s="106"/>
      <c r="X41" s="107"/>
      <c r="Y41" s="107">
        <f t="shared" si="10"/>
        <v>32.771666666666668</v>
      </c>
      <c r="Z41" s="108">
        <f t="shared" si="11"/>
        <v>0</v>
      </c>
      <c r="AA41" s="107">
        <f t="shared" si="12"/>
        <v>0</v>
      </c>
      <c r="AB41" s="107">
        <f t="shared" si="13"/>
        <v>41.666666666666664</v>
      </c>
      <c r="AC41" s="107">
        <f t="shared" si="14"/>
        <v>154.82059425491971</v>
      </c>
      <c r="AD41" s="107">
        <f t="shared" si="15"/>
        <v>347.76813692071215</v>
      </c>
      <c r="AE41" s="107">
        <f t="shared" si="16"/>
        <v>99.08518032314862</v>
      </c>
      <c r="AF41" s="107">
        <f t="shared" si="17"/>
        <v>0</v>
      </c>
      <c r="AG41" s="109">
        <f t="shared" si="18"/>
        <v>0.26331230654646642</v>
      </c>
      <c r="AH41" s="110">
        <f t="shared" si="19"/>
        <v>412.66186315902974</v>
      </c>
    </row>
    <row r="42" spans="5:34" x14ac:dyDescent="0.2">
      <c r="E42" s="99">
        <f t="shared" si="20"/>
        <v>31</v>
      </c>
      <c r="F42" s="26">
        <f t="shared" si="23"/>
        <v>3</v>
      </c>
      <c r="G42" s="26">
        <f t="shared" si="0"/>
        <v>42</v>
      </c>
      <c r="H42" s="100">
        <f t="shared" si="1"/>
        <v>0</v>
      </c>
      <c r="I42" s="101">
        <f t="shared" si="2"/>
        <v>0</v>
      </c>
      <c r="J42" s="101">
        <f t="shared" si="3"/>
        <v>0</v>
      </c>
      <c r="K42" s="101">
        <f t="shared" si="4"/>
        <v>0</v>
      </c>
      <c r="L42" s="102">
        <f t="shared" si="5"/>
        <v>41.666666666666664</v>
      </c>
      <c r="M42" s="103">
        <f>VLOOKUP(G42,'Q.3-Data'!$B$2:$C$118,2,0)*U42*$B$19/12</f>
        <v>154.52595646016823</v>
      </c>
      <c r="N42" s="103">
        <f t="shared" si="6"/>
        <v>349.27439765107374</v>
      </c>
      <c r="O42" s="102">
        <f t="shared" si="21"/>
        <v>306799.44765532023</v>
      </c>
      <c r="P42" s="102">
        <f t="shared" si="7"/>
        <v>1.0064340301100034</v>
      </c>
      <c r="Q42" s="102"/>
      <c r="R42" s="102">
        <f t="shared" si="22"/>
        <v>308540.40771906875</v>
      </c>
      <c r="S42" s="105">
        <f t="shared" si="8"/>
        <v>308128.26392984047</v>
      </c>
      <c r="U42" s="102">
        <f t="shared" si="9"/>
        <v>693200.55234467983</v>
      </c>
      <c r="W42" s="106"/>
      <c r="X42" s="107"/>
      <c r="Y42" s="107">
        <f t="shared" si="10"/>
        <v>32.771666666666668</v>
      </c>
      <c r="Z42" s="108">
        <f t="shared" si="11"/>
        <v>0</v>
      </c>
      <c r="AA42" s="107">
        <f t="shared" si="12"/>
        <v>0</v>
      </c>
      <c r="AB42" s="107">
        <f t="shared" si="13"/>
        <v>41.666666666666664</v>
      </c>
      <c r="AC42" s="107">
        <f t="shared" si="14"/>
        <v>154.52595646016823</v>
      </c>
      <c r="AD42" s="107">
        <f t="shared" si="15"/>
        <v>349.27439765107374</v>
      </c>
      <c r="AE42" s="107">
        <f t="shared" si="16"/>
        <v>98.896612134507677</v>
      </c>
      <c r="AF42" s="107">
        <f t="shared" si="17"/>
        <v>0</v>
      </c>
      <c r="AG42" s="109">
        <f t="shared" si="18"/>
        <v>0.26288016584148927</v>
      </c>
      <c r="AH42" s="110">
        <f t="shared" si="19"/>
        <v>414.06162214257574</v>
      </c>
    </row>
    <row r="43" spans="5:34" x14ac:dyDescent="0.2">
      <c r="E43" s="99">
        <f t="shared" si="20"/>
        <v>32</v>
      </c>
      <c r="F43" s="26">
        <f t="shared" si="23"/>
        <v>3</v>
      </c>
      <c r="G43" s="26">
        <f t="shared" si="0"/>
        <v>42</v>
      </c>
      <c r="H43" s="100">
        <f t="shared" si="1"/>
        <v>0</v>
      </c>
      <c r="I43" s="101">
        <f t="shared" si="2"/>
        <v>0</v>
      </c>
      <c r="J43" s="101">
        <f t="shared" si="3"/>
        <v>0</v>
      </c>
      <c r="K43" s="101">
        <f t="shared" si="4"/>
        <v>0</v>
      </c>
      <c r="L43" s="102">
        <f t="shared" si="5"/>
        <v>41.666666666666664</v>
      </c>
      <c r="M43" s="103">
        <f>VLOOKUP(G43,'Q.3-Data'!$B$2:$C$118,2,0)*U43*$B$19/12</f>
        <v>154.22974116563975</v>
      </c>
      <c r="N43" s="103">
        <f t="shared" si="6"/>
        <v>350.78872294751767</v>
      </c>
      <c r="O43" s="102">
        <f t="shared" si="21"/>
        <v>308128.26392984047</v>
      </c>
      <c r="P43" s="102">
        <f t="shared" si="7"/>
        <v>1.0064340301100034</v>
      </c>
      <c r="Q43" s="102"/>
      <c r="R43" s="102">
        <f t="shared" si="22"/>
        <v>309878.12542047002</v>
      </c>
      <c r="S43" s="105">
        <f t="shared" si="8"/>
        <v>309464.19472739194</v>
      </c>
      <c r="U43" s="102">
        <f t="shared" si="9"/>
        <v>691871.73607015959</v>
      </c>
      <c r="W43" s="106"/>
      <c r="X43" s="107"/>
      <c r="Y43" s="107">
        <f t="shared" si="10"/>
        <v>32.771666666666668</v>
      </c>
      <c r="Z43" s="108">
        <f t="shared" si="11"/>
        <v>0</v>
      </c>
      <c r="AA43" s="107">
        <f t="shared" si="12"/>
        <v>0</v>
      </c>
      <c r="AB43" s="107">
        <f t="shared" si="13"/>
        <v>41.666666666666664</v>
      </c>
      <c r="AC43" s="107">
        <f t="shared" si="14"/>
        <v>154.22974116563975</v>
      </c>
      <c r="AD43" s="107">
        <f t="shared" si="15"/>
        <v>350.78872294751767</v>
      </c>
      <c r="AE43" s="107">
        <f t="shared" si="16"/>
        <v>98.707034346009436</v>
      </c>
      <c r="AF43" s="107">
        <f t="shared" si="17"/>
        <v>0</v>
      </c>
      <c r="AG43" s="109">
        <f t="shared" si="18"/>
        <v>0.26244571144194251</v>
      </c>
      <c r="AH43" s="110">
        <f t="shared" si="19"/>
        <v>415.46887547858989</v>
      </c>
    </row>
    <row r="44" spans="5:34" x14ac:dyDescent="0.2">
      <c r="E44" s="99">
        <f t="shared" si="20"/>
        <v>33</v>
      </c>
      <c r="F44" s="26">
        <f t="shared" si="23"/>
        <v>3</v>
      </c>
      <c r="G44" s="26">
        <f t="shared" ref="G44:G75" si="24">+$B$5+F44-1</f>
        <v>42</v>
      </c>
      <c r="H44" s="100">
        <f t="shared" ref="H44:H75" si="25">+IF(AND(MOD(E44,12)=1,F44&lt;=$B$3),$B$2,0)</f>
        <v>0</v>
      </c>
      <c r="I44" s="101">
        <f t="shared" ref="I44:I75" si="26">H44*VLOOKUP(F44,$A$8:$C$12,2,1)</f>
        <v>0</v>
      </c>
      <c r="J44" s="101">
        <f t="shared" ref="J44:J75" si="27">+I44*$B$14</f>
        <v>0</v>
      </c>
      <c r="K44" s="101">
        <f t="shared" ref="K44:K75" si="28">+H44-I44-J44</f>
        <v>0</v>
      </c>
      <c r="L44" s="102">
        <f t="shared" ref="L44:L75" si="29">+MIN($B$2*$B$15,$B$16)/12</f>
        <v>41.666666666666664</v>
      </c>
      <c r="M44" s="103">
        <f>VLOOKUP(G44,'Q.3-Data'!$B$2:$C$118,2,0)*U44*$B$19/12</f>
        <v>153.93193992535222</v>
      </c>
      <c r="N44" s="103">
        <f t="shared" ref="N44:N75" si="30">+R44*(1-(1-$B$20)^(0.0833333333333333))</f>
        <v>352.31115598797783</v>
      </c>
      <c r="O44" s="102">
        <f t="shared" si="21"/>
        <v>309464.19472739194</v>
      </c>
      <c r="P44" s="102">
        <f t="shared" ref="P44:P75" si="31">(1+$B$17)^(1/12)</f>
        <v>1.0064340301100034</v>
      </c>
      <c r="Q44" s="102"/>
      <c r="R44" s="102">
        <f t="shared" si="22"/>
        <v>311223.00530341471</v>
      </c>
      <c r="S44" s="105">
        <f t="shared" ref="S44:S75" si="32">+R44-(N44*(1+$B$14))</f>
        <v>310807.2781393489</v>
      </c>
      <c r="U44" s="102">
        <f t="shared" ref="U44:U75" si="33">+MAX($B$2*10-O44,0)</f>
        <v>690535.80527260806</v>
      </c>
      <c r="W44" s="106"/>
      <c r="X44" s="107"/>
      <c r="Y44" s="107">
        <f t="shared" ref="Y44:Y75" si="34">+$B$25*(1+$B$26)^(F44-1)/12</f>
        <v>32.771666666666668</v>
      </c>
      <c r="Z44" s="108">
        <f t="shared" ref="Z44:Z75" si="35">H44*VLOOKUP(F44,$A$8:$C$12,3,1)</f>
        <v>0</v>
      </c>
      <c r="AA44" s="107">
        <f t="shared" ref="AA44:AA75" si="36">+I44</f>
        <v>0</v>
      </c>
      <c r="AB44" s="107">
        <f t="shared" ref="AB44:AB75" si="37">+L44</f>
        <v>41.666666666666664</v>
      </c>
      <c r="AC44" s="107">
        <f t="shared" ref="AC44:AC75" si="38">+M44</f>
        <v>153.93193992535222</v>
      </c>
      <c r="AD44" s="107">
        <f t="shared" ref="AD44:AD75" si="39">+N44</f>
        <v>352.31115598797783</v>
      </c>
      <c r="AE44" s="107">
        <f t="shared" ref="AE44:AE75" si="40">+M44/$B$19*$B$27</f>
        <v>98.51644155222543</v>
      </c>
      <c r="AF44" s="107">
        <f t="shared" ref="AF44:AF75" si="41">+Q44</f>
        <v>0</v>
      </c>
      <c r="AG44" s="109">
        <f t="shared" ref="AG44:AG75" si="42">(SUM(AA44:AC44)-SUM(W44:Z44,AE44))*$C$18</f>
        <v>0.26200893096023459</v>
      </c>
      <c r="AH44" s="110">
        <f t="shared" ref="AH44:AH75" si="43">+SUM(AA44:AD44,AG44)-SUM(W44:Z44,AE44:AF44)</f>
        <v>416.8836632920648</v>
      </c>
    </row>
    <row r="45" spans="5:34" x14ac:dyDescent="0.2">
      <c r="E45" s="99">
        <f t="shared" ref="E45:E76" si="44">+E44+1</f>
        <v>34</v>
      </c>
      <c r="F45" s="26">
        <f t="shared" si="23"/>
        <v>3</v>
      </c>
      <c r="G45" s="26">
        <f t="shared" si="24"/>
        <v>42</v>
      </c>
      <c r="H45" s="100">
        <f t="shared" si="25"/>
        <v>0</v>
      </c>
      <c r="I45" s="101">
        <f t="shared" si="26"/>
        <v>0</v>
      </c>
      <c r="J45" s="101">
        <f t="shared" si="27"/>
        <v>0</v>
      </c>
      <c r="K45" s="101">
        <f t="shared" si="28"/>
        <v>0</v>
      </c>
      <c r="L45" s="102">
        <f t="shared" si="29"/>
        <v>41.666666666666664</v>
      </c>
      <c r="M45" s="103">
        <f>VLOOKUP(G45,'Q.3-Data'!$B$2:$C$118,2,0)*U45*$B$19/12</f>
        <v>153.63254424810347</v>
      </c>
      <c r="N45" s="103">
        <f t="shared" si="30"/>
        <v>353.84174018156392</v>
      </c>
      <c r="O45" s="102">
        <f t="shared" ref="O45:O76" si="45">+S44+K45</f>
        <v>310807.2781393489</v>
      </c>
      <c r="P45" s="102">
        <f t="shared" si="31"/>
        <v>1.0064340301100034</v>
      </c>
      <c r="Q45" s="102"/>
      <c r="R45" s="102">
        <f t="shared" ref="R45:R76" si="46">((O45)-(L45+M45)*(1+$B$14))*P45+Q45</f>
        <v>312575.08571444213</v>
      </c>
      <c r="S45" s="105">
        <f t="shared" si="32"/>
        <v>312157.55246102787</v>
      </c>
      <c r="U45" s="102">
        <f t="shared" si="33"/>
        <v>689192.72186065116</v>
      </c>
      <c r="W45" s="106"/>
      <c r="X45" s="107"/>
      <c r="Y45" s="107">
        <f t="shared" si="34"/>
        <v>32.771666666666668</v>
      </c>
      <c r="Z45" s="108">
        <f t="shared" si="35"/>
        <v>0</v>
      </c>
      <c r="AA45" s="107">
        <f t="shared" si="36"/>
        <v>0</v>
      </c>
      <c r="AB45" s="107">
        <f t="shared" si="37"/>
        <v>41.666666666666664</v>
      </c>
      <c r="AC45" s="107">
        <f t="shared" si="38"/>
        <v>153.63254424810347</v>
      </c>
      <c r="AD45" s="107">
        <f t="shared" si="39"/>
        <v>353.84174018156392</v>
      </c>
      <c r="AE45" s="107">
        <f t="shared" si="40"/>
        <v>98.324828318786217</v>
      </c>
      <c r="AF45" s="107">
        <f t="shared" si="41"/>
        <v>0</v>
      </c>
      <c r="AG45" s="109">
        <f t="shared" si="42"/>
        <v>0.26156981194245033</v>
      </c>
      <c r="AH45" s="110">
        <f t="shared" si="43"/>
        <v>418.30602592282355</v>
      </c>
    </row>
    <row r="46" spans="5:34" x14ac:dyDescent="0.2">
      <c r="E46" s="99">
        <f t="shared" si="44"/>
        <v>35</v>
      </c>
      <c r="F46" s="26">
        <f t="shared" ref="F46:F77" si="47">IF(MOD(E46,12)=1,F45+1,F45)</f>
        <v>3</v>
      </c>
      <c r="G46" s="26">
        <f t="shared" si="24"/>
        <v>42</v>
      </c>
      <c r="H46" s="100">
        <f t="shared" si="25"/>
        <v>0</v>
      </c>
      <c r="I46" s="101">
        <f t="shared" si="26"/>
        <v>0</v>
      </c>
      <c r="J46" s="101">
        <f t="shared" si="27"/>
        <v>0</v>
      </c>
      <c r="K46" s="101">
        <f t="shared" si="28"/>
        <v>0</v>
      </c>
      <c r="L46" s="102">
        <f t="shared" si="29"/>
        <v>41.666666666666664</v>
      </c>
      <c r="M46" s="103">
        <f>VLOOKUP(G46,'Q.3-Data'!$B$2:$C$118,2,0)*U46*$B$19/12</f>
        <v>153.33154559722922</v>
      </c>
      <c r="N46" s="103">
        <f t="shared" si="30"/>
        <v>355.38051916979947</v>
      </c>
      <c r="O46" s="102">
        <f t="shared" si="45"/>
        <v>312157.55246102787</v>
      </c>
      <c r="P46" s="102">
        <f t="shared" si="31"/>
        <v>1.0064340301100034</v>
      </c>
      <c r="Q46" s="102"/>
      <c r="R46" s="102">
        <f t="shared" si="46"/>
        <v>313934.40520540014</v>
      </c>
      <c r="S46" s="105">
        <f t="shared" si="32"/>
        <v>313515.0561927798</v>
      </c>
      <c r="U46" s="102">
        <f t="shared" si="33"/>
        <v>687842.44753897213</v>
      </c>
      <c r="W46" s="106"/>
      <c r="X46" s="107"/>
      <c r="Y46" s="107">
        <f t="shared" si="34"/>
        <v>32.771666666666668</v>
      </c>
      <c r="Z46" s="108">
        <f t="shared" si="35"/>
        <v>0</v>
      </c>
      <c r="AA46" s="107">
        <f t="shared" si="36"/>
        <v>0</v>
      </c>
      <c r="AB46" s="107">
        <f t="shared" si="37"/>
        <v>41.666666666666664</v>
      </c>
      <c r="AC46" s="107">
        <f t="shared" si="38"/>
        <v>153.33154559722922</v>
      </c>
      <c r="AD46" s="107">
        <f t="shared" si="39"/>
        <v>355.38051916979947</v>
      </c>
      <c r="AE46" s="107">
        <f t="shared" si="40"/>
        <v>98.13218918222671</v>
      </c>
      <c r="AF46" s="107">
        <f t="shared" si="41"/>
        <v>0</v>
      </c>
      <c r="AG46" s="109">
        <f t="shared" si="42"/>
        <v>0.26112834186799611</v>
      </c>
      <c r="AH46" s="110">
        <f t="shared" si="43"/>
        <v>419.73600392666992</v>
      </c>
    </row>
    <row r="47" spans="5:34" x14ac:dyDescent="0.2">
      <c r="E47" s="99">
        <f t="shared" si="44"/>
        <v>36</v>
      </c>
      <c r="F47" s="26">
        <f t="shared" si="47"/>
        <v>3</v>
      </c>
      <c r="G47" s="26">
        <f t="shared" si="24"/>
        <v>42</v>
      </c>
      <c r="H47" s="100">
        <f t="shared" si="25"/>
        <v>0</v>
      </c>
      <c r="I47" s="101">
        <f t="shared" si="26"/>
        <v>0</v>
      </c>
      <c r="J47" s="101">
        <f t="shared" si="27"/>
        <v>0</v>
      </c>
      <c r="K47" s="101">
        <f t="shared" si="28"/>
        <v>0</v>
      </c>
      <c r="L47" s="102">
        <f t="shared" si="29"/>
        <v>41.666666666666664</v>
      </c>
      <c r="M47" s="103">
        <f>VLOOKUP(G47,'Q.3-Data'!$B$2:$C$118,2,0)*U47*$B$19/12</f>
        <v>153.02893539035949</v>
      </c>
      <c r="N47" s="103">
        <f t="shared" si="30"/>
        <v>356.92753682786605</v>
      </c>
      <c r="O47" s="102">
        <f t="shared" si="45"/>
        <v>313515.0561927798</v>
      </c>
      <c r="P47" s="102">
        <f t="shared" si="31"/>
        <v>1.0064340301100034</v>
      </c>
      <c r="Q47" s="102"/>
      <c r="R47" s="102">
        <f t="shared" si="46"/>
        <v>315301.0025345445</v>
      </c>
      <c r="S47" s="105">
        <f t="shared" si="32"/>
        <v>314879.8280410876</v>
      </c>
      <c r="U47" s="102">
        <f t="shared" si="33"/>
        <v>686484.9438072202</v>
      </c>
      <c r="W47" s="106"/>
      <c r="X47" s="107"/>
      <c r="Y47" s="107">
        <f t="shared" si="34"/>
        <v>32.771666666666668</v>
      </c>
      <c r="Z47" s="108">
        <f t="shared" si="35"/>
        <v>0</v>
      </c>
      <c r="AA47" s="107">
        <f t="shared" si="36"/>
        <v>0</v>
      </c>
      <c r="AB47" s="107">
        <f t="shared" si="37"/>
        <v>41.666666666666664</v>
      </c>
      <c r="AC47" s="107">
        <f t="shared" si="38"/>
        <v>153.02893539035949</v>
      </c>
      <c r="AD47" s="107">
        <f t="shared" si="39"/>
        <v>356.92753682786605</v>
      </c>
      <c r="AE47" s="107">
        <f t="shared" si="40"/>
        <v>97.938518649830087</v>
      </c>
      <c r="AF47" s="107">
        <f t="shared" si="41"/>
        <v>0</v>
      </c>
      <c r="AG47" s="109">
        <f t="shared" si="42"/>
        <v>0.26068450814924227</v>
      </c>
      <c r="AH47" s="110">
        <f t="shared" si="43"/>
        <v>421.17363807654465</v>
      </c>
    </row>
    <row r="48" spans="5:34" x14ac:dyDescent="0.2">
      <c r="E48" s="99">
        <f t="shared" si="44"/>
        <v>37</v>
      </c>
      <c r="F48" s="26">
        <f t="shared" si="47"/>
        <v>4</v>
      </c>
      <c r="G48" s="26">
        <f t="shared" si="24"/>
        <v>43</v>
      </c>
      <c r="H48" s="100">
        <f t="shared" si="25"/>
        <v>100000</v>
      </c>
      <c r="I48" s="101">
        <f t="shared" si="26"/>
        <v>2500</v>
      </c>
      <c r="J48" s="101">
        <f t="shared" si="27"/>
        <v>450</v>
      </c>
      <c r="K48" s="101">
        <f t="shared" si="28"/>
        <v>97050</v>
      </c>
      <c r="L48" s="102">
        <f t="shared" si="29"/>
        <v>41.666666666666664</v>
      </c>
      <c r="M48" s="103">
        <f>VLOOKUP(G48,'Q.3-Data'!$B$2:$C$118,2,0)*U48*$B$19/12</f>
        <v>143.95467751077544</v>
      </c>
      <c r="N48" s="103">
        <f t="shared" si="30"/>
        <v>469.06418104428292</v>
      </c>
      <c r="O48" s="102">
        <f t="shared" si="45"/>
        <v>411929.8280410876</v>
      </c>
      <c r="P48" s="102">
        <f t="shared" si="31"/>
        <v>1.0064340301100034</v>
      </c>
      <c r="Q48" s="102"/>
      <c r="R48" s="102">
        <f t="shared" si="46"/>
        <v>414359.75450566842</v>
      </c>
      <c r="S48" s="105">
        <f t="shared" si="32"/>
        <v>413806.25877203618</v>
      </c>
      <c r="U48" s="102">
        <f t="shared" si="33"/>
        <v>588070.1719589124</v>
      </c>
      <c r="W48" s="106"/>
      <c r="X48" s="107"/>
      <c r="Y48" s="107">
        <f t="shared" si="34"/>
        <v>34.737966666666672</v>
      </c>
      <c r="Z48" s="108">
        <f t="shared" si="35"/>
        <v>2000</v>
      </c>
      <c r="AA48" s="107">
        <f t="shared" si="36"/>
        <v>2500</v>
      </c>
      <c r="AB48" s="107">
        <f t="shared" si="37"/>
        <v>41.666666666666664</v>
      </c>
      <c r="AC48" s="107">
        <f t="shared" si="38"/>
        <v>143.95467751077544</v>
      </c>
      <c r="AD48" s="107">
        <f t="shared" si="39"/>
        <v>469.06418104428292</v>
      </c>
      <c r="AE48" s="107">
        <f t="shared" si="40"/>
        <v>92.130993606896283</v>
      </c>
      <c r="AF48" s="107">
        <f t="shared" si="41"/>
        <v>0</v>
      </c>
      <c r="AG48" s="109">
        <f t="shared" si="42"/>
        <v>2.276426376433009</v>
      </c>
      <c r="AH48" s="110">
        <f t="shared" si="43"/>
        <v>1030.092991324595</v>
      </c>
    </row>
    <row r="49" spans="5:34" x14ac:dyDescent="0.2">
      <c r="E49" s="99">
        <f t="shared" si="44"/>
        <v>38</v>
      </c>
      <c r="F49" s="26">
        <f t="shared" si="47"/>
        <v>4</v>
      </c>
      <c r="G49" s="26">
        <f t="shared" si="24"/>
        <v>43</v>
      </c>
      <c r="H49" s="100">
        <f t="shared" si="25"/>
        <v>0</v>
      </c>
      <c r="I49" s="101">
        <f t="shared" si="26"/>
        <v>0</v>
      </c>
      <c r="J49" s="101">
        <f t="shared" si="27"/>
        <v>0</v>
      </c>
      <c r="K49" s="101">
        <f t="shared" si="28"/>
        <v>0</v>
      </c>
      <c r="L49" s="102">
        <f t="shared" si="29"/>
        <v>41.666666666666664</v>
      </c>
      <c r="M49" s="103">
        <f>VLOOKUP(G49,'Q.3-Data'!$B$2:$C$118,2,0)*U49*$B$19/12</f>
        <v>143.49534290476197</v>
      </c>
      <c r="N49" s="103">
        <f t="shared" si="30"/>
        <v>471.20262554184256</v>
      </c>
      <c r="O49" s="102">
        <f t="shared" si="45"/>
        <v>413806.25877203618</v>
      </c>
      <c r="P49" s="102">
        <f t="shared" si="31"/>
        <v>1.0064340301100034</v>
      </c>
      <c r="Q49" s="102"/>
      <c r="R49" s="102">
        <f t="shared" si="46"/>
        <v>416248.80375061417</v>
      </c>
      <c r="S49" s="105">
        <f t="shared" si="32"/>
        <v>415692.7846524748</v>
      </c>
      <c r="U49" s="102">
        <f t="shared" si="33"/>
        <v>586193.74122796382</v>
      </c>
      <c r="W49" s="106"/>
      <c r="X49" s="107"/>
      <c r="Y49" s="107">
        <f t="shared" si="34"/>
        <v>34.737966666666672</v>
      </c>
      <c r="Z49" s="108">
        <f t="shared" si="35"/>
        <v>0</v>
      </c>
      <c r="AA49" s="107">
        <f t="shared" si="36"/>
        <v>0</v>
      </c>
      <c r="AB49" s="107">
        <f t="shared" si="37"/>
        <v>41.666666666666664</v>
      </c>
      <c r="AC49" s="107">
        <f t="shared" si="38"/>
        <v>143.49534290476197</v>
      </c>
      <c r="AD49" s="107">
        <f t="shared" si="39"/>
        <v>471.20262554184256</v>
      </c>
      <c r="AE49" s="107">
        <f t="shared" si="40"/>
        <v>91.837019459047667</v>
      </c>
      <c r="AF49" s="107">
        <f t="shared" si="41"/>
        <v>0</v>
      </c>
      <c r="AG49" s="109">
        <f t="shared" si="42"/>
        <v>0.23869078563334831</v>
      </c>
      <c r="AH49" s="110">
        <f t="shared" si="43"/>
        <v>530.02833977319028</v>
      </c>
    </row>
    <row r="50" spans="5:34" x14ac:dyDescent="0.2">
      <c r="E50" s="99">
        <f t="shared" si="44"/>
        <v>39</v>
      </c>
      <c r="F50" s="26">
        <f t="shared" si="47"/>
        <v>4</v>
      </c>
      <c r="G50" s="26">
        <f t="shared" si="24"/>
        <v>43</v>
      </c>
      <c r="H50" s="100">
        <f t="shared" si="25"/>
        <v>0</v>
      </c>
      <c r="I50" s="101">
        <f t="shared" si="26"/>
        <v>0</v>
      </c>
      <c r="J50" s="101">
        <f t="shared" si="27"/>
        <v>0</v>
      </c>
      <c r="K50" s="101">
        <f t="shared" si="28"/>
        <v>0</v>
      </c>
      <c r="L50" s="102">
        <f t="shared" si="29"/>
        <v>41.666666666666664</v>
      </c>
      <c r="M50" s="103">
        <f>VLOOKUP(G50,'Q.3-Data'!$B$2:$C$118,2,0)*U50*$B$19/12</f>
        <v>143.03353709027962</v>
      </c>
      <c r="N50" s="103">
        <f t="shared" si="30"/>
        <v>473.35257481627605</v>
      </c>
      <c r="O50" s="102">
        <f t="shared" si="45"/>
        <v>415692.7846524748</v>
      </c>
      <c r="P50" s="102">
        <f t="shared" si="31"/>
        <v>1.0064340301100034</v>
      </c>
      <c r="Q50" s="102"/>
      <c r="R50" s="102">
        <f t="shared" si="46"/>
        <v>418148.01603233349</v>
      </c>
      <c r="S50" s="105">
        <f t="shared" si="32"/>
        <v>417589.45999405027</v>
      </c>
      <c r="U50" s="102">
        <f t="shared" si="33"/>
        <v>584307.2153475252</v>
      </c>
      <c r="W50" s="106"/>
      <c r="X50" s="107"/>
      <c r="Y50" s="107">
        <f t="shared" si="34"/>
        <v>34.737966666666672</v>
      </c>
      <c r="Z50" s="108">
        <f t="shared" si="35"/>
        <v>0</v>
      </c>
      <c r="AA50" s="107">
        <f t="shared" si="36"/>
        <v>0</v>
      </c>
      <c r="AB50" s="107">
        <f t="shared" si="37"/>
        <v>41.666666666666664</v>
      </c>
      <c r="AC50" s="107">
        <f t="shared" si="38"/>
        <v>143.03353709027962</v>
      </c>
      <c r="AD50" s="107">
        <f t="shared" si="39"/>
        <v>473.35257481627605</v>
      </c>
      <c r="AE50" s="107">
        <f t="shared" si="40"/>
        <v>91.541463737778969</v>
      </c>
      <c r="AF50" s="107">
        <f t="shared" si="41"/>
        <v>0</v>
      </c>
      <c r="AG50" s="109">
        <f t="shared" si="42"/>
        <v>0.23801346217455283</v>
      </c>
      <c r="AH50" s="110">
        <f t="shared" si="43"/>
        <v>532.01136163095123</v>
      </c>
    </row>
    <row r="51" spans="5:34" x14ac:dyDescent="0.2">
      <c r="E51" s="99">
        <f t="shared" si="44"/>
        <v>40</v>
      </c>
      <c r="F51" s="26">
        <f t="shared" si="47"/>
        <v>4</v>
      </c>
      <c r="G51" s="26">
        <f t="shared" si="24"/>
        <v>43</v>
      </c>
      <c r="H51" s="100">
        <f t="shared" si="25"/>
        <v>0</v>
      </c>
      <c r="I51" s="101">
        <f t="shared" si="26"/>
        <v>0</v>
      </c>
      <c r="J51" s="101">
        <f t="shared" si="27"/>
        <v>0</v>
      </c>
      <c r="K51" s="101">
        <f t="shared" si="28"/>
        <v>0</v>
      </c>
      <c r="L51" s="102">
        <f t="shared" si="29"/>
        <v>41.666666666666664</v>
      </c>
      <c r="M51" s="103">
        <f>VLOOKUP(G51,'Q.3-Data'!$B$2:$C$118,2,0)*U51*$B$19/12</f>
        <v>142.5692467722898</v>
      </c>
      <c r="N51" s="103">
        <f t="shared" si="30"/>
        <v>475.51409076298978</v>
      </c>
      <c r="O51" s="102">
        <f t="shared" si="45"/>
        <v>417589.45999405027</v>
      </c>
      <c r="P51" s="102">
        <f t="shared" si="31"/>
        <v>1.0064340301100034</v>
      </c>
      <c r="Q51" s="102"/>
      <c r="R51" s="102">
        <f t="shared" si="46"/>
        <v>420057.4460277051</v>
      </c>
      <c r="S51" s="105">
        <f t="shared" si="32"/>
        <v>419496.33940060477</v>
      </c>
      <c r="U51" s="102">
        <f t="shared" si="33"/>
        <v>582410.54000594979</v>
      </c>
      <c r="W51" s="106"/>
      <c r="X51" s="107"/>
      <c r="Y51" s="107">
        <f t="shared" si="34"/>
        <v>34.737966666666672</v>
      </c>
      <c r="Z51" s="108">
        <f t="shared" si="35"/>
        <v>0</v>
      </c>
      <c r="AA51" s="107">
        <f t="shared" si="36"/>
        <v>0</v>
      </c>
      <c r="AB51" s="107">
        <f t="shared" si="37"/>
        <v>41.666666666666664</v>
      </c>
      <c r="AC51" s="107">
        <f t="shared" si="38"/>
        <v>142.5692467722898</v>
      </c>
      <c r="AD51" s="107">
        <f t="shared" si="39"/>
        <v>475.51409076298978</v>
      </c>
      <c r="AE51" s="107">
        <f t="shared" si="40"/>
        <v>91.244317934265482</v>
      </c>
      <c r="AF51" s="107">
        <f t="shared" si="41"/>
        <v>0</v>
      </c>
      <c r="AG51" s="109">
        <f t="shared" si="42"/>
        <v>0.23733249473281839</v>
      </c>
      <c r="AH51" s="110">
        <f t="shared" si="43"/>
        <v>534.00505209574692</v>
      </c>
    </row>
    <row r="52" spans="5:34" x14ac:dyDescent="0.2">
      <c r="E52" s="99">
        <f t="shared" si="44"/>
        <v>41</v>
      </c>
      <c r="F52" s="26">
        <f t="shared" si="47"/>
        <v>4</v>
      </c>
      <c r="G52" s="26">
        <f t="shared" si="24"/>
        <v>43</v>
      </c>
      <c r="H52" s="100">
        <f t="shared" si="25"/>
        <v>0</v>
      </c>
      <c r="I52" s="101">
        <f t="shared" si="26"/>
        <v>0</v>
      </c>
      <c r="J52" s="101">
        <f t="shared" si="27"/>
        <v>0</v>
      </c>
      <c r="K52" s="101">
        <f t="shared" si="28"/>
        <v>0</v>
      </c>
      <c r="L52" s="102">
        <f t="shared" si="29"/>
        <v>41.666666666666664</v>
      </c>
      <c r="M52" s="103">
        <f>VLOOKUP(G52,'Q.3-Data'!$B$2:$C$118,2,0)*U52*$B$19/12</f>
        <v>142.10245858422695</v>
      </c>
      <c r="N52" s="103">
        <f t="shared" si="30"/>
        <v>477.68723561038559</v>
      </c>
      <c r="O52" s="102">
        <f t="shared" si="45"/>
        <v>419496.33940060477</v>
      </c>
      <c r="P52" s="102">
        <f t="shared" si="31"/>
        <v>1.0064340301100034</v>
      </c>
      <c r="Q52" s="102"/>
      <c r="R52" s="102">
        <f t="shared" si="46"/>
        <v>421977.14870776795</v>
      </c>
      <c r="S52" s="105">
        <f t="shared" si="32"/>
        <v>421413.47776974767</v>
      </c>
      <c r="U52" s="102">
        <f t="shared" si="33"/>
        <v>580503.66059939517</v>
      </c>
      <c r="W52" s="106"/>
      <c r="X52" s="107"/>
      <c r="Y52" s="107">
        <f t="shared" si="34"/>
        <v>34.737966666666672</v>
      </c>
      <c r="Z52" s="108">
        <f t="shared" si="35"/>
        <v>0</v>
      </c>
      <c r="AA52" s="107">
        <f t="shared" si="36"/>
        <v>0</v>
      </c>
      <c r="AB52" s="107">
        <f t="shared" si="37"/>
        <v>41.666666666666664</v>
      </c>
      <c r="AC52" s="107">
        <f t="shared" si="38"/>
        <v>142.10245858422695</v>
      </c>
      <c r="AD52" s="107">
        <f t="shared" si="39"/>
        <v>477.68723561038559</v>
      </c>
      <c r="AE52" s="107">
        <f t="shared" si="40"/>
        <v>90.945573493905258</v>
      </c>
      <c r="AF52" s="107">
        <f t="shared" si="41"/>
        <v>0</v>
      </c>
      <c r="AG52" s="109">
        <f t="shared" si="42"/>
        <v>0.23664786370360971</v>
      </c>
      <c r="AH52" s="110">
        <f t="shared" si="43"/>
        <v>536.00946856441089</v>
      </c>
    </row>
    <row r="53" spans="5:34" x14ac:dyDescent="0.2">
      <c r="E53" s="99">
        <f t="shared" si="44"/>
        <v>42</v>
      </c>
      <c r="F53" s="26">
        <f t="shared" si="47"/>
        <v>4</v>
      </c>
      <c r="G53" s="26">
        <f t="shared" si="24"/>
        <v>43</v>
      </c>
      <c r="H53" s="100">
        <f t="shared" si="25"/>
        <v>0</v>
      </c>
      <c r="I53" s="101">
        <f t="shared" si="26"/>
        <v>0</v>
      </c>
      <c r="J53" s="101">
        <f t="shared" si="27"/>
        <v>0</v>
      </c>
      <c r="K53" s="101">
        <f t="shared" si="28"/>
        <v>0</v>
      </c>
      <c r="L53" s="102">
        <f t="shared" si="29"/>
        <v>41.666666666666664</v>
      </c>
      <c r="M53" s="103">
        <f>VLOOKUP(G53,'Q.3-Data'!$B$2:$C$118,2,0)*U53*$B$19/12</f>
        <v>141.63315908761388</v>
      </c>
      <c r="N53" s="103">
        <f t="shared" si="30"/>
        <v>479.87207192165272</v>
      </c>
      <c r="O53" s="102">
        <f t="shared" si="45"/>
        <v>421413.47776974767</v>
      </c>
      <c r="P53" s="102">
        <f t="shared" si="31"/>
        <v>1.0064340301100034</v>
      </c>
      <c r="Q53" s="102"/>
      <c r="R53" s="102">
        <f t="shared" si="46"/>
        <v>423907.17933930375</v>
      </c>
      <c r="S53" s="105">
        <f t="shared" si="32"/>
        <v>423340.93029443623</v>
      </c>
      <c r="U53" s="102">
        <f t="shared" si="33"/>
        <v>578586.52223025239</v>
      </c>
      <c r="W53" s="106"/>
      <c r="X53" s="107"/>
      <c r="Y53" s="107">
        <f t="shared" si="34"/>
        <v>34.737966666666672</v>
      </c>
      <c r="Z53" s="108">
        <f t="shared" si="35"/>
        <v>0</v>
      </c>
      <c r="AA53" s="107">
        <f t="shared" si="36"/>
        <v>0</v>
      </c>
      <c r="AB53" s="107">
        <f t="shared" si="37"/>
        <v>41.666666666666664</v>
      </c>
      <c r="AC53" s="107">
        <f t="shared" si="38"/>
        <v>141.63315908761388</v>
      </c>
      <c r="AD53" s="107">
        <f t="shared" si="39"/>
        <v>479.87207192165272</v>
      </c>
      <c r="AE53" s="107">
        <f t="shared" si="40"/>
        <v>90.645221816072876</v>
      </c>
      <c r="AF53" s="107">
        <f t="shared" si="41"/>
        <v>0</v>
      </c>
      <c r="AG53" s="109">
        <f t="shared" si="42"/>
        <v>0.23595954937691985</v>
      </c>
      <c r="AH53" s="110">
        <f t="shared" si="43"/>
        <v>538.02466874257061</v>
      </c>
    </row>
    <row r="54" spans="5:34" x14ac:dyDescent="0.2">
      <c r="E54" s="99">
        <f t="shared" si="44"/>
        <v>43</v>
      </c>
      <c r="F54" s="26">
        <f t="shared" si="47"/>
        <v>4</v>
      </c>
      <c r="G54" s="26">
        <f t="shared" si="24"/>
        <v>43</v>
      </c>
      <c r="H54" s="100">
        <f t="shared" si="25"/>
        <v>0</v>
      </c>
      <c r="I54" s="101">
        <f t="shared" si="26"/>
        <v>0</v>
      </c>
      <c r="J54" s="101">
        <f t="shared" si="27"/>
        <v>0</v>
      </c>
      <c r="K54" s="101">
        <f t="shared" si="28"/>
        <v>0</v>
      </c>
      <c r="L54" s="102">
        <f t="shared" si="29"/>
        <v>41.666666666666664</v>
      </c>
      <c r="M54" s="103">
        <f>VLOOKUP(G54,'Q.3-Data'!$B$2:$C$118,2,0)*U54*$B$19/12</f>
        <v>141.16133477167449</v>
      </c>
      <c r="N54" s="103">
        <f t="shared" si="30"/>
        <v>482.06866259656874</v>
      </c>
      <c r="O54" s="102">
        <f t="shared" si="45"/>
        <v>423340.93029443623</v>
      </c>
      <c r="P54" s="102">
        <f t="shared" si="31"/>
        <v>1.0064340301100034</v>
      </c>
      <c r="Q54" s="102"/>
      <c r="R54" s="102">
        <f t="shared" si="46"/>
        <v>425847.59348642814</v>
      </c>
      <c r="S54" s="105">
        <f t="shared" si="32"/>
        <v>425278.75246456417</v>
      </c>
      <c r="U54" s="102">
        <f t="shared" si="33"/>
        <v>576659.06970556383</v>
      </c>
      <c r="W54" s="106"/>
      <c r="X54" s="107"/>
      <c r="Y54" s="107">
        <f t="shared" si="34"/>
        <v>34.737966666666672</v>
      </c>
      <c r="Z54" s="108">
        <f t="shared" si="35"/>
        <v>0</v>
      </c>
      <c r="AA54" s="107">
        <f t="shared" si="36"/>
        <v>0</v>
      </c>
      <c r="AB54" s="107">
        <f t="shared" si="37"/>
        <v>41.666666666666664</v>
      </c>
      <c r="AC54" s="107">
        <f t="shared" si="38"/>
        <v>141.16133477167449</v>
      </c>
      <c r="AD54" s="107">
        <f t="shared" si="39"/>
        <v>482.06866259656874</v>
      </c>
      <c r="AE54" s="107">
        <f t="shared" si="40"/>
        <v>90.343254253871677</v>
      </c>
      <c r="AF54" s="107">
        <f t="shared" si="41"/>
        <v>0</v>
      </c>
      <c r="AG54" s="109">
        <f t="shared" si="42"/>
        <v>0.23526753193670172</v>
      </c>
      <c r="AH54" s="110">
        <f t="shared" si="43"/>
        <v>540.05071064630829</v>
      </c>
    </row>
    <row r="55" spans="5:34" x14ac:dyDescent="0.2">
      <c r="E55" s="99">
        <f t="shared" si="44"/>
        <v>44</v>
      </c>
      <c r="F55" s="26">
        <f t="shared" si="47"/>
        <v>4</v>
      </c>
      <c r="G55" s="26">
        <f t="shared" si="24"/>
        <v>43</v>
      </c>
      <c r="H55" s="100">
        <f t="shared" si="25"/>
        <v>0</v>
      </c>
      <c r="I55" s="101">
        <f t="shared" si="26"/>
        <v>0</v>
      </c>
      <c r="J55" s="101">
        <f t="shared" si="27"/>
        <v>0</v>
      </c>
      <c r="K55" s="101">
        <f t="shared" si="28"/>
        <v>0</v>
      </c>
      <c r="L55" s="102">
        <f t="shared" si="29"/>
        <v>41.666666666666664</v>
      </c>
      <c r="M55" s="103">
        <f>VLOOKUP(G55,'Q.3-Data'!$B$2:$C$118,2,0)*U55*$B$19/12</f>
        <v>140.68697205294524</v>
      </c>
      <c r="N55" s="103">
        <f t="shared" si="30"/>
        <v>484.27707087331027</v>
      </c>
      <c r="O55" s="102">
        <f t="shared" si="45"/>
        <v>425278.75246456417</v>
      </c>
      <c r="P55" s="102">
        <f t="shared" si="31"/>
        <v>1.0064340301100034</v>
      </c>
      <c r="Q55" s="102"/>
      <c r="R55" s="102">
        <f t="shared" si="46"/>
        <v>427798.44701219012</v>
      </c>
      <c r="S55" s="105">
        <f t="shared" si="32"/>
        <v>427227.0000685596</v>
      </c>
      <c r="U55" s="102">
        <f t="shared" si="33"/>
        <v>574721.24753543583</v>
      </c>
      <c r="W55" s="106"/>
      <c r="X55" s="107"/>
      <c r="Y55" s="107">
        <f t="shared" si="34"/>
        <v>34.737966666666672</v>
      </c>
      <c r="Z55" s="108">
        <f t="shared" si="35"/>
        <v>0</v>
      </c>
      <c r="AA55" s="107">
        <f t="shared" si="36"/>
        <v>0</v>
      </c>
      <c r="AB55" s="107">
        <f t="shared" si="37"/>
        <v>41.666666666666664</v>
      </c>
      <c r="AC55" s="107">
        <f t="shared" si="38"/>
        <v>140.68697205294524</v>
      </c>
      <c r="AD55" s="107">
        <f t="shared" si="39"/>
        <v>484.27707087331027</v>
      </c>
      <c r="AE55" s="107">
        <f t="shared" si="40"/>
        <v>90.039662113884958</v>
      </c>
      <c r="AF55" s="107">
        <f t="shared" si="41"/>
        <v>0</v>
      </c>
      <c r="AG55" s="109">
        <f t="shared" si="42"/>
        <v>0.23457179146029944</v>
      </c>
      <c r="AH55" s="110">
        <f t="shared" si="43"/>
        <v>542.08765260383086</v>
      </c>
    </row>
    <row r="56" spans="5:34" x14ac:dyDescent="0.2">
      <c r="E56" s="99">
        <f t="shared" si="44"/>
        <v>45</v>
      </c>
      <c r="F56" s="26">
        <f t="shared" si="47"/>
        <v>4</v>
      </c>
      <c r="G56" s="26">
        <f t="shared" si="24"/>
        <v>43</v>
      </c>
      <c r="H56" s="100">
        <f t="shared" si="25"/>
        <v>0</v>
      </c>
      <c r="I56" s="101">
        <f t="shared" si="26"/>
        <v>0</v>
      </c>
      <c r="J56" s="101">
        <f t="shared" si="27"/>
        <v>0</v>
      </c>
      <c r="K56" s="101">
        <f t="shared" si="28"/>
        <v>0</v>
      </c>
      <c r="L56" s="102">
        <f t="shared" si="29"/>
        <v>41.666666666666664</v>
      </c>
      <c r="M56" s="103">
        <f>VLOOKUP(G56,'Q.3-Data'!$B$2:$C$118,2,0)*U56*$B$19/12</f>
        <v>140.21005727488387</v>
      </c>
      <c r="N56" s="103">
        <f t="shared" si="30"/>
        <v>486.49736033027386</v>
      </c>
      <c r="O56" s="102">
        <f t="shared" si="45"/>
        <v>427227.0000685596</v>
      </c>
      <c r="P56" s="102">
        <f t="shared" si="31"/>
        <v>1.0064340301100034</v>
      </c>
      <c r="Q56" s="102"/>
      <c r="R56" s="102">
        <f t="shared" si="46"/>
        <v>429759.79608018068</v>
      </c>
      <c r="S56" s="105">
        <f t="shared" si="32"/>
        <v>429185.72919499094</v>
      </c>
      <c r="U56" s="102">
        <f t="shared" si="33"/>
        <v>572772.99993144046</v>
      </c>
      <c r="W56" s="106"/>
      <c r="X56" s="107"/>
      <c r="Y56" s="107">
        <f t="shared" si="34"/>
        <v>34.737966666666672</v>
      </c>
      <c r="Z56" s="108">
        <f t="shared" si="35"/>
        <v>0</v>
      </c>
      <c r="AA56" s="107">
        <f t="shared" si="36"/>
        <v>0</v>
      </c>
      <c r="AB56" s="107">
        <f t="shared" si="37"/>
        <v>41.666666666666664</v>
      </c>
      <c r="AC56" s="107">
        <f t="shared" si="38"/>
        <v>140.21005727488387</v>
      </c>
      <c r="AD56" s="107">
        <f t="shared" si="39"/>
        <v>486.49736033027386</v>
      </c>
      <c r="AE56" s="107">
        <f t="shared" si="40"/>
        <v>89.734436655925677</v>
      </c>
      <c r="AF56" s="107">
        <f t="shared" si="41"/>
        <v>0</v>
      </c>
      <c r="AG56" s="109">
        <f t="shared" si="42"/>
        <v>0.23387230791787303</v>
      </c>
      <c r="AH56" s="110">
        <f t="shared" si="43"/>
        <v>544.13555325714992</v>
      </c>
    </row>
    <row r="57" spans="5:34" x14ac:dyDescent="0.2">
      <c r="E57" s="99">
        <f t="shared" si="44"/>
        <v>46</v>
      </c>
      <c r="F57" s="26">
        <f t="shared" si="47"/>
        <v>4</v>
      </c>
      <c r="G57" s="26">
        <f t="shared" si="24"/>
        <v>43</v>
      </c>
      <c r="H57" s="100">
        <f t="shared" si="25"/>
        <v>0</v>
      </c>
      <c r="I57" s="101">
        <f t="shared" si="26"/>
        <v>0</v>
      </c>
      <c r="J57" s="101">
        <f t="shared" si="27"/>
        <v>0</v>
      </c>
      <c r="K57" s="101">
        <f t="shared" si="28"/>
        <v>0</v>
      </c>
      <c r="L57" s="102">
        <f t="shared" si="29"/>
        <v>41.666666666666664</v>
      </c>
      <c r="M57" s="103">
        <f>VLOOKUP(G57,'Q.3-Data'!$B$2:$C$118,2,0)*U57*$B$19/12</f>
        <v>139.73057670747616</v>
      </c>
      <c r="N57" s="103">
        <f t="shared" si="30"/>
        <v>488.72959488790622</v>
      </c>
      <c r="O57" s="102">
        <f t="shared" si="45"/>
        <v>429185.72919499094</v>
      </c>
      <c r="P57" s="102">
        <f t="shared" si="31"/>
        <v>1.0064340301100034</v>
      </c>
      <c r="Q57" s="102"/>
      <c r="R57" s="102">
        <f t="shared" si="46"/>
        <v>431731.69715614943</v>
      </c>
      <c r="S57" s="105">
        <f t="shared" si="32"/>
        <v>431154.99623418169</v>
      </c>
      <c r="U57" s="102">
        <f t="shared" si="33"/>
        <v>570814.27080500906</v>
      </c>
      <c r="W57" s="106"/>
      <c r="X57" s="107"/>
      <c r="Y57" s="107">
        <f t="shared" si="34"/>
        <v>34.737966666666672</v>
      </c>
      <c r="Z57" s="108">
        <f t="shared" si="35"/>
        <v>0</v>
      </c>
      <c r="AA57" s="107">
        <f t="shared" si="36"/>
        <v>0</v>
      </c>
      <c r="AB57" s="107">
        <f t="shared" si="37"/>
        <v>41.666666666666664</v>
      </c>
      <c r="AC57" s="107">
        <f t="shared" si="38"/>
        <v>139.73057670747616</v>
      </c>
      <c r="AD57" s="107">
        <f t="shared" si="39"/>
        <v>488.72959488790622</v>
      </c>
      <c r="AE57" s="107">
        <f t="shared" si="40"/>
        <v>89.427569092784751</v>
      </c>
      <c r="AF57" s="107">
        <f t="shared" si="41"/>
        <v>0</v>
      </c>
      <c r="AG57" s="109">
        <f t="shared" si="42"/>
        <v>0.23316906117182282</v>
      </c>
      <c r="AH57" s="110">
        <f t="shared" si="43"/>
        <v>546.19447156376941</v>
      </c>
    </row>
    <row r="58" spans="5:34" x14ac:dyDescent="0.2">
      <c r="E58" s="99">
        <f t="shared" si="44"/>
        <v>47</v>
      </c>
      <c r="F58" s="26">
        <f t="shared" si="47"/>
        <v>4</v>
      </c>
      <c r="G58" s="26">
        <f t="shared" si="24"/>
        <v>43</v>
      </c>
      <c r="H58" s="100">
        <f t="shared" si="25"/>
        <v>0</v>
      </c>
      <c r="I58" s="101">
        <f t="shared" si="26"/>
        <v>0</v>
      </c>
      <c r="J58" s="101">
        <f t="shared" si="27"/>
        <v>0</v>
      </c>
      <c r="K58" s="101">
        <f t="shared" si="28"/>
        <v>0</v>
      </c>
      <c r="L58" s="102">
        <f t="shared" si="29"/>
        <v>41.666666666666664</v>
      </c>
      <c r="M58" s="103">
        <f>VLOOKUP(G58,'Q.3-Data'!$B$2:$C$118,2,0)*U58*$B$19/12</f>
        <v>139.24851654684096</v>
      </c>
      <c r="N58" s="103">
        <f t="shared" si="30"/>
        <v>490.97383881054441</v>
      </c>
      <c r="O58" s="102">
        <f t="shared" si="45"/>
        <v>431154.99623418169</v>
      </c>
      <c r="P58" s="102">
        <f t="shared" si="31"/>
        <v>1.0064340301100034</v>
      </c>
      <c r="Q58" s="102"/>
      <c r="R58" s="102">
        <f t="shared" si="46"/>
        <v>433714.20700963022</v>
      </c>
      <c r="S58" s="105">
        <f t="shared" si="32"/>
        <v>433134.85787983378</v>
      </c>
      <c r="U58" s="102">
        <f t="shared" si="33"/>
        <v>568845.00376581831</v>
      </c>
      <c r="W58" s="106"/>
      <c r="X58" s="107"/>
      <c r="Y58" s="107">
        <f t="shared" si="34"/>
        <v>34.737966666666672</v>
      </c>
      <c r="Z58" s="108">
        <f t="shared" si="35"/>
        <v>0</v>
      </c>
      <c r="AA58" s="107">
        <f t="shared" si="36"/>
        <v>0</v>
      </c>
      <c r="AB58" s="107">
        <f t="shared" si="37"/>
        <v>41.666666666666664</v>
      </c>
      <c r="AC58" s="107">
        <f t="shared" si="38"/>
        <v>139.24851654684096</v>
      </c>
      <c r="AD58" s="107">
        <f t="shared" si="39"/>
        <v>490.97383881054441</v>
      </c>
      <c r="AE58" s="107">
        <f t="shared" si="40"/>
        <v>89.119050589978215</v>
      </c>
      <c r="AF58" s="107">
        <f t="shared" si="41"/>
        <v>0</v>
      </c>
      <c r="AG58" s="109">
        <f t="shared" si="42"/>
        <v>0.23246203097620924</v>
      </c>
      <c r="AH58" s="110">
        <f t="shared" si="43"/>
        <v>548.2644667983833</v>
      </c>
    </row>
    <row r="59" spans="5:34" x14ac:dyDescent="0.2">
      <c r="E59" s="99">
        <f t="shared" si="44"/>
        <v>48</v>
      </c>
      <c r="F59" s="26">
        <f t="shared" si="47"/>
        <v>4</v>
      </c>
      <c r="G59" s="26">
        <f t="shared" si="24"/>
        <v>43</v>
      </c>
      <c r="H59" s="100">
        <f t="shared" si="25"/>
        <v>0</v>
      </c>
      <c r="I59" s="101">
        <f t="shared" si="26"/>
        <v>0</v>
      </c>
      <c r="J59" s="101">
        <f t="shared" si="27"/>
        <v>0</v>
      </c>
      <c r="K59" s="101">
        <f t="shared" si="28"/>
        <v>0</v>
      </c>
      <c r="L59" s="102">
        <f t="shared" si="29"/>
        <v>41.666666666666664</v>
      </c>
      <c r="M59" s="103">
        <f>VLOOKUP(G59,'Q.3-Data'!$B$2:$C$118,2,0)*U59*$B$19/12</f>
        <v>138.76386291483234</v>
      </c>
      <c r="N59" s="103">
        <f t="shared" si="30"/>
        <v>493.23015670826595</v>
      </c>
      <c r="O59" s="102">
        <f t="shared" si="45"/>
        <v>433134.85787983378</v>
      </c>
      <c r="P59" s="102">
        <f t="shared" si="31"/>
        <v>1.0064340301100034</v>
      </c>
      <c r="Q59" s="102"/>
      <c r="R59" s="102">
        <f t="shared" si="46"/>
        <v>435707.38271557563</v>
      </c>
      <c r="S59" s="105">
        <f t="shared" si="32"/>
        <v>435125.37113065989</v>
      </c>
      <c r="U59" s="102">
        <f t="shared" si="33"/>
        <v>566865.14212016622</v>
      </c>
      <c r="W59" s="106"/>
      <c r="X59" s="107"/>
      <c r="Y59" s="107">
        <f t="shared" si="34"/>
        <v>34.737966666666672</v>
      </c>
      <c r="Z59" s="108">
        <f t="shared" si="35"/>
        <v>0</v>
      </c>
      <c r="AA59" s="107">
        <f t="shared" si="36"/>
        <v>0</v>
      </c>
      <c r="AB59" s="107">
        <f t="shared" si="37"/>
        <v>41.666666666666664</v>
      </c>
      <c r="AC59" s="107">
        <f t="shared" si="38"/>
        <v>138.76386291483234</v>
      </c>
      <c r="AD59" s="107">
        <f t="shared" si="39"/>
        <v>493.23015670826595</v>
      </c>
      <c r="AE59" s="107">
        <f t="shared" si="40"/>
        <v>88.80887226549271</v>
      </c>
      <c r="AF59" s="107">
        <f t="shared" si="41"/>
        <v>0</v>
      </c>
      <c r="AG59" s="109">
        <f t="shared" si="42"/>
        <v>0.23175119697617003</v>
      </c>
      <c r="AH59" s="110">
        <f t="shared" si="43"/>
        <v>550.34559855458167</v>
      </c>
    </row>
    <row r="60" spans="5:34" x14ac:dyDescent="0.2">
      <c r="E60" s="99">
        <f t="shared" si="44"/>
        <v>49</v>
      </c>
      <c r="F60" s="26">
        <f t="shared" si="47"/>
        <v>5</v>
      </c>
      <c r="G60" s="26">
        <f t="shared" si="24"/>
        <v>44</v>
      </c>
      <c r="H60" s="100">
        <f t="shared" si="25"/>
        <v>100000</v>
      </c>
      <c r="I60" s="101">
        <f t="shared" si="26"/>
        <v>2500</v>
      </c>
      <c r="J60" s="101">
        <f t="shared" si="27"/>
        <v>450</v>
      </c>
      <c r="K60" s="101">
        <f t="shared" si="28"/>
        <v>97050</v>
      </c>
      <c r="L60" s="102">
        <f t="shared" si="29"/>
        <v>41.666666666666664</v>
      </c>
      <c r="M60" s="103">
        <f>VLOOKUP(G60,'Q.3-Data'!$B$2:$C$118,2,0)*U60*$B$19/12</f>
        <v>126.3613815268957</v>
      </c>
      <c r="N60" s="103">
        <f t="shared" si="30"/>
        <v>606.08418565134332</v>
      </c>
      <c r="O60" s="102">
        <f t="shared" si="45"/>
        <v>532175.37113065994</v>
      </c>
      <c r="P60" s="102">
        <f t="shared" si="31"/>
        <v>1.0064340301100034</v>
      </c>
      <c r="Q60" s="102"/>
      <c r="R60" s="102">
        <f t="shared" si="46"/>
        <v>535399.85470037314</v>
      </c>
      <c r="S60" s="105">
        <f t="shared" si="32"/>
        <v>534684.67536130454</v>
      </c>
      <c r="U60" s="102">
        <f t="shared" si="33"/>
        <v>467824.62886934006</v>
      </c>
      <c r="W60" s="106"/>
      <c r="X60" s="107"/>
      <c r="Y60" s="107">
        <f t="shared" si="34"/>
        <v>36.822244666666677</v>
      </c>
      <c r="Z60" s="108">
        <f t="shared" si="35"/>
        <v>2000</v>
      </c>
      <c r="AA60" s="107">
        <f t="shared" si="36"/>
        <v>2500</v>
      </c>
      <c r="AB60" s="107">
        <f t="shared" si="37"/>
        <v>41.666666666666664</v>
      </c>
      <c r="AC60" s="107">
        <f t="shared" si="38"/>
        <v>126.3613815268957</v>
      </c>
      <c r="AD60" s="107">
        <f t="shared" si="39"/>
        <v>606.08418565134332</v>
      </c>
      <c r="AE60" s="107">
        <f t="shared" si="40"/>
        <v>80.871284177213255</v>
      </c>
      <c r="AF60" s="107">
        <f t="shared" si="41"/>
        <v>0</v>
      </c>
      <c r="AG60" s="109">
        <f t="shared" si="42"/>
        <v>2.2421309542452263</v>
      </c>
      <c r="AH60" s="110">
        <f t="shared" si="43"/>
        <v>1158.6608359552711</v>
      </c>
    </row>
    <row r="61" spans="5:34" x14ac:dyDescent="0.2">
      <c r="E61" s="99">
        <f t="shared" si="44"/>
        <v>50</v>
      </c>
      <c r="F61" s="26">
        <f t="shared" si="47"/>
        <v>5</v>
      </c>
      <c r="G61" s="26">
        <f t="shared" si="24"/>
        <v>44</v>
      </c>
      <c r="H61" s="100">
        <f t="shared" si="25"/>
        <v>0</v>
      </c>
      <c r="I61" s="101">
        <f t="shared" si="26"/>
        <v>0</v>
      </c>
      <c r="J61" s="101">
        <f t="shared" si="27"/>
        <v>0</v>
      </c>
      <c r="K61" s="101">
        <f t="shared" si="28"/>
        <v>0</v>
      </c>
      <c r="L61" s="102">
        <f t="shared" si="29"/>
        <v>41.666666666666664</v>
      </c>
      <c r="M61" s="103">
        <f>VLOOKUP(G61,'Q.3-Data'!$B$2:$C$118,2,0)*U61*$B$19/12</f>
        <v>125.68360799876432</v>
      </c>
      <c r="N61" s="103">
        <f t="shared" si="30"/>
        <v>608.94395977776446</v>
      </c>
      <c r="O61" s="102">
        <f t="shared" si="45"/>
        <v>534684.67536130454</v>
      </c>
      <c r="P61" s="102">
        <f t="shared" si="31"/>
        <v>1.0064340301100034</v>
      </c>
      <c r="Q61" s="102"/>
      <c r="R61" s="102">
        <f t="shared" si="46"/>
        <v>537926.10878851812</v>
      </c>
      <c r="S61" s="105">
        <f t="shared" si="32"/>
        <v>537207.55491598032</v>
      </c>
      <c r="U61" s="102">
        <f t="shared" si="33"/>
        <v>465315.32463869546</v>
      </c>
      <c r="W61" s="106"/>
      <c r="X61" s="107"/>
      <c r="Y61" s="107">
        <f t="shared" si="34"/>
        <v>36.822244666666677</v>
      </c>
      <c r="Z61" s="108">
        <f t="shared" si="35"/>
        <v>0</v>
      </c>
      <c r="AA61" s="107">
        <f t="shared" si="36"/>
        <v>0</v>
      </c>
      <c r="AB61" s="107">
        <f t="shared" si="37"/>
        <v>41.666666666666664</v>
      </c>
      <c r="AC61" s="107">
        <f t="shared" si="38"/>
        <v>125.68360799876432</v>
      </c>
      <c r="AD61" s="107">
        <f t="shared" si="39"/>
        <v>608.94395977776446</v>
      </c>
      <c r="AE61" s="107">
        <f t="shared" si="40"/>
        <v>80.437509119209167</v>
      </c>
      <c r="AF61" s="107">
        <f t="shared" si="41"/>
        <v>0</v>
      </c>
      <c r="AG61" s="109">
        <f t="shared" si="42"/>
        <v>0.20407498245073005</v>
      </c>
      <c r="AH61" s="110">
        <f t="shared" si="43"/>
        <v>659.23855563977031</v>
      </c>
    </row>
    <row r="62" spans="5:34" x14ac:dyDescent="0.2">
      <c r="E62" s="99">
        <f t="shared" si="44"/>
        <v>51</v>
      </c>
      <c r="F62" s="26">
        <f t="shared" si="47"/>
        <v>5</v>
      </c>
      <c r="G62" s="26">
        <f t="shared" si="24"/>
        <v>44</v>
      </c>
      <c r="H62" s="100">
        <f t="shared" si="25"/>
        <v>0</v>
      </c>
      <c r="I62" s="101">
        <f t="shared" si="26"/>
        <v>0</v>
      </c>
      <c r="J62" s="101">
        <f t="shared" si="27"/>
        <v>0</v>
      </c>
      <c r="K62" s="101">
        <f t="shared" si="28"/>
        <v>0</v>
      </c>
      <c r="L62" s="102">
        <f t="shared" si="29"/>
        <v>41.666666666666664</v>
      </c>
      <c r="M62" s="103">
        <f>VLOOKUP(G62,'Q.3-Data'!$B$2:$C$118,2,0)*U62*$B$19/12</f>
        <v>125.00216771904822</v>
      </c>
      <c r="N62" s="103">
        <f t="shared" si="30"/>
        <v>611.81920526869681</v>
      </c>
      <c r="O62" s="102">
        <f t="shared" si="45"/>
        <v>537207.55491598032</v>
      </c>
      <c r="P62" s="102">
        <f t="shared" si="31"/>
        <v>1.0064340301100034</v>
      </c>
      <c r="Q62" s="102"/>
      <c r="R62" s="102">
        <f t="shared" si="46"/>
        <v>540466.02989934327</v>
      </c>
      <c r="S62" s="105">
        <f t="shared" si="32"/>
        <v>539744.08323712624</v>
      </c>
      <c r="U62" s="102">
        <f t="shared" si="33"/>
        <v>462792.44508401968</v>
      </c>
      <c r="W62" s="106"/>
      <c r="X62" s="107"/>
      <c r="Y62" s="107">
        <f t="shared" si="34"/>
        <v>36.822244666666677</v>
      </c>
      <c r="Z62" s="108">
        <f t="shared" si="35"/>
        <v>0</v>
      </c>
      <c r="AA62" s="107">
        <f t="shared" si="36"/>
        <v>0</v>
      </c>
      <c r="AB62" s="107">
        <f t="shared" si="37"/>
        <v>41.666666666666664</v>
      </c>
      <c r="AC62" s="107">
        <f t="shared" si="38"/>
        <v>125.00216771904822</v>
      </c>
      <c r="AD62" s="107">
        <f t="shared" si="39"/>
        <v>611.81920526869681</v>
      </c>
      <c r="AE62" s="107">
        <f t="shared" si="40"/>
        <v>80.00138734019086</v>
      </c>
      <c r="AF62" s="107">
        <f t="shared" si="41"/>
        <v>0</v>
      </c>
      <c r="AG62" s="109">
        <f t="shared" si="42"/>
        <v>0.20307552451246821</v>
      </c>
      <c r="AH62" s="110">
        <f t="shared" si="43"/>
        <v>661.86748317206661</v>
      </c>
    </row>
    <row r="63" spans="5:34" x14ac:dyDescent="0.2">
      <c r="E63" s="99">
        <f t="shared" si="44"/>
        <v>52</v>
      </c>
      <c r="F63" s="26">
        <f t="shared" si="47"/>
        <v>5</v>
      </c>
      <c r="G63" s="26">
        <f t="shared" si="24"/>
        <v>44</v>
      </c>
      <c r="H63" s="100">
        <f t="shared" si="25"/>
        <v>0</v>
      </c>
      <c r="I63" s="101">
        <f t="shared" si="26"/>
        <v>0</v>
      </c>
      <c r="J63" s="101">
        <f t="shared" si="27"/>
        <v>0</v>
      </c>
      <c r="K63" s="101">
        <f t="shared" si="28"/>
        <v>0</v>
      </c>
      <c r="L63" s="102">
        <f t="shared" si="29"/>
        <v>41.666666666666664</v>
      </c>
      <c r="M63" s="103">
        <f>VLOOKUP(G63,'Q.3-Data'!$B$2:$C$118,2,0)*U63*$B$19/12</f>
        <v>124.3170408506387</v>
      </c>
      <c r="N63" s="103">
        <f t="shared" si="30"/>
        <v>614.71000582414968</v>
      </c>
      <c r="O63" s="102">
        <f t="shared" si="45"/>
        <v>539744.08323712624</v>
      </c>
      <c r="P63" s="102">
        <f t="shared" si="31"/>
        <v>1.0064340301100034</v>
      </c>
      <c r="Q63" s="102"/>
      <c r="R63" s="102">
        <f t="shared" si="46"/>
        <v>543019.69197137689</v>
      </c>
      <c r="S63" s="105">
        <f t="shared" si="32"/>
        <v>542294.33416450443</v>
      </c>
      <c r="U63" s="102">
        <f t="shared" si="33"/>
        <v>460255.91676287376</v>
      </c>
      <c r="W63" s="106"/>
      <c r="X63" s="107"/>
      <c r="Y63" s="107">
        <f t="shared" si="34"/>
        <v>36.822244666666677</v>
      </c>
      <c r="Z63" s="108">
        <f t="shared" si="35"/>
        <v>0</v>
      </c>
      <c r="AA63" s="107">
        <f t="shared" si="36"/>
        <v>0</v>
      </c>
      <c r="AB63" s="107">
        <f t="shared" si="37"/>
        <v>41.666666666666664</v>
      </c>
      <c r="AC63" s="107">
        <f t="shared" si="38"/>
        <v>124.3170408506387</v>
      </c>
      <c r="AD63" s="107">
        <f t="shared" si="39"/>
        <v>614.71000582414968</v>
      </c>
      <c r="AE63" s="107">
        <f t="shared" si="40"/>
        <v>79.562906144408771</v>
      </c>
      <c r="AF63" s="107">
        <f t="shared" si="41"/>
        <v>0</v>
      </c>
      <c r="AG63" s="109">
        <f t="shared" si="42"/>
        <v>0.20207065951148284</v>
      </c>
      <c r="AH63" s="110">
        <f t="shared" si="43"/>
        <v>664.510633189891</v>
      </c>
    </row>
    <row r="64" spans="5:34" x14ac:dyDescent="0.2">
      <c r="E64" s="99">
        <f t="shared" si="44"/>
        <v>53</v>
      </c>
      <c r="F64" s="26">
        <f t="shared" si="47"/>
        <v>5</v>
      </c>
      <c r="G64" s="26">
        <f t="shared" si="24"/>
        <v>44</v>
      </c>
      <c r="H64" s="100">
        <f t="shared" si="25"/>
        <v>0</v>
      </c>
      <c r="I64" s="101">
        <f t="shared" si="26"/>
        <v>0</v>
      </c>
      <c r="J64" s="101">
        <f t="shared" si="27"/>
        <v>0</v>
      </c>
      <c r="K64" s="101">
        <f t="shared" si="28"/>
        <v>0</v>
      </c>
      <c r="L64" s="102">
        <f t="shared" si="29"/>
        <v>41.666666666666664</v>
      </c>
      <c r="M64" s="103">
        <f>VLOOKUP(G64,'Q.3-Data'!$B$2:$C$118,2,0)*U64*$B$19/12</f>
        <v>123.62820744910833</v>
      </c>
      <c r="N64" s="103">
        <f t="shared" si="30"/>
        <v>617.61644559694832</v>
      </c>
      <c r="O64" s="102">
        <f t="shared" si="45"/>
        <v>542294.33416450443</v>
      </c>
      <c r="P64" s="102">
        <f t="shared" si="31"/>
        <v>1.0064340301100034</v>
      </c>
      <c r="Q64" s="102"/>
      <c r="R64" s="102">
        <f t="shared" si="46"/>
        <v>545587.16934315395</v>
      </c>
      <c r="S64" s="105">
        <f t="shared" si="32"/>
        <v>544858.38193734956</v>
      </c>
      <c r="U64" s="102">
        <f t="shared" si="33"/>
        <v>457705.66583549557</v>
      </c>
      <c r="W64" s="106"/>
      <c r="X64" s="107"/>
      <c r="Y64" s="107">
        <f t="shared" si="34"/>
        <v>36.822244666666677</v>
      </c>
      <c r="Z64" s="108">
        <f t="shared" si="35"/>
        <v>0</v>
      </c>
      <c r="AA64" s="107">
        <f t="shared" si="36"/>
        <v>0</v>
      </c>
      <c r="AB64" s="107">
        <f t="shared" si="37"/>
        <v>41.666666666666664</v>
      </c>
      <c r="AC64" s="107">
        <f t="shared" si="38"/>
        <v>123.62820744910833</v>
      </c>
      <c r="AD64" s="107">
        <f t="shared" si="39"/>
        <v>617.61644559694832</v>
      </c>
      <c r="AE64" s="107">
        <f t="shared" si="40"/>
        <v>79.122052767429338</v>
      </c>
      <c r="AF64" s="107">
        <f t="shared" si="41"/>
        <v>0</v>
      </c>
      <c r="AG64" s="109">
        <f t="shared" si="42"/>
        <v>0.20106035819559021</v>
      </c>
      <c r="AH64" s="110">
        <f t="shared" si="43"/>
        <v>667.16808263682287</v>
      </c>
    </row>
    <row r="65" spans="5:34" x14ac:dyDescent="0.2">
      <c r="E65" s="99">
        <f t="shared" si="44"/>
        <v>54</v>
      </c>
      <c r="F65" s="26">
        <f t="shared" si="47"/>
        <v>5</v>
      </c>
      <c r="G65" s="26">
        <f t="shared" si="24"/>
        <v>44</v>
      </c>
      <c r="H65" s="100">
        <f t="shared" si="25"/>
        <v>0</v>
      </c>
      <c r="I65" s="101">
        <f t="shared" si="26"/>
        <v>0</v>
      </c>
      <c r="J65" s="101">
        <f t="shared" si="27"/>
        <v>0</v>
      </c>
      <c r="K65" s="101">
        <f t="shared" si="28"/>
        <v>0</v>
      </c>
      <c r="L65" s="102">
        <f t="shared" si="29"/>
        <v>41.666666666666664</v>
      </c>
      <c r="M65" s="103">
        <f>VLOOKUP(G65,'Q.3-Data'!$B$2:$C$118,2,0)*U65*$B$19/12</f>
        <v>122.93564746213046</v>
      </c>
      <c r="N65" s="103">
        <f t="shared" si="30"/>
        <v>620.53860919518456</v>
      </c>
      <c r="O65" s="102">
        <f t="shared" si="45"/>
        <v>544858.38193734956</v>
      </c>
      <c r="P65" s="102">
        <f t="shared" si="31"/>
        <v>1.0064340301100034</v>
      </c>
      <c r="Q65" s="102"/>
      <c r="R65" s="102">
        <f t="shared" si="46"/>
        <v>548168.5367553808</v>
      </c>
      <c r="S65" s="105">
        <f t="shared" si="32"/>
        <v>547436.30119653046</v>
      </c>
      <c r="U65" s="102">
        <f t="shared" si="33"/>
        <v>455141.61806265044</v>
      </c>
      <c r="W65" s="106"/>
      <c r="X65" s="107"/>
      <c r="Y65" s="107">
        <f t="shared" si="34"/>
        <v>36.822244666666677</v>
      </c>
      <c r="Z65" s="108">
        <f t="shared" si="35"/>
        <v>0</v>
      </c>
      <c r="AA65" s="107">
        <f t="shared" si="36"/>
        <v>0</v>
      </c>
      <c r="AB65" s="107">
        <f t="shared" si="37"/>
        <v>41.666666666666664</v>
      </c>
      <c r="AC65" s="107">
        <f t="shared" si="38"/>
        <v>122.93564746213046</v>
      </c>
      <c r="AD65" s="107">
        <f t="shared" si="39"/>
        <v>620.53860919518456</v>
      </c>
      <c r="AE65" s="107">
        <f t="shared" si="40"/>
        <v>78.678814375763508</v>
      </c>
      <c r="AF65" s="107">
        <f t="shared" si="41"/>
        <v>0</v>
      </c>
      <c r="AG65" s="109">
        <f t="shared" si="42"/>
        <v>0.20004459115435227</v>
      </c>
      <c r="AH65" s="110">
        <f t="shared" si="43"/>
        <v>669.83990887270591</v>
      </c>
    </row>
    <row r="66" spans="5:34" x14ac:dyDescent="0.2">
      <c r="E66" s="99">
        <f t="shared" si="44"/>
        <v>55</v>
      </c>
      <c r="F66" s="26">
        <f t="shared" si="47"/>
        <v>5</v>
      </c>
      <c r="G66" s="26">
        <f t="shared" si="24"/>
        <v>44</v>
      </c>
      <c r="H66" s="100">
        <f t="shared" si="25"/>
        <v>0</v>
      </c>
      <c r="I66" s="101">
        <f t="shared" si="26"/>
        <v>0</v>
      </c>
      <c r="J66" s="101">
        <f t="shared" si="27"/>
        <v>0</v>
      </c>
      <c r="K66" s="101">
        <f t="shared" si="28"/>
        <v>0</v>
      </c>
      <c r="L66" s="102">
        <f t="shared" si="29"/>
        <v>41.666666666666664</v>
      </c>
      <c r="M66" s="103">
        <f>VLOOKUP(G66,'Q.3-Data'!$B$2:$C$118,2,0)*U66*$B$19/12</f>
        <v>122.23934072889546</v>
      </c>
      <c r="N66" s="103">
        <f t="shared" si="30"/>
        <v>623.4765816846799</v>
      </c>
      <c r="O66" s="102">
        <f t="shared" si="45"/>
        <v>547436.30119653046</v>
      </c>
      <c r="P66" s="102">
        <f t="shared" si="31"/>
        <v>1.0064340301100034</v>
      </c>
      <c r="Q66" s="102"/>
      <c r="R66" s="102">
        <f t="shared" si="46"/>
        <v>550763.86935311067</v>
      </c>
      <c r="S66" s="105">
        <f t="shared" si="32"/>
        <v>550028.16698672273</v>
      </c>
      <c r="U66" s="102">
        <f t="shared" si="33"/>
        <v>452563.69880346954</v>
      </c>
      <c r="W66" s="106"/>
      <c r="X66" s="107"/>
      <c r="Y66" s="107">
        <f t="shared" si="34"/>
        <v>36.822244666666677</v>
      </c>
      <c r="Z66" s="108">
        <f t="shared" si="35"/>
        <v>0</v>
      </c>
      <c r="AA66" s="107">
        <f t="shared" si="36"/>
        <v>0</v>
      </c>
      <c r="AB66" s="107">
        <f t="shared" si="37"/>
        <v>41.666666666666664</v>
      </c>
      <c r="AC66" s="107">
        <f t="shared" si="38"/>
        <v>122.23934072889546</v>
      </c>
      <c r="AD66" s="107">
        <f t="shared" si="39"/>
        <v>623.4765816846799</v>
      </c>
      <c r="AE66" s="107">
        <f t="shared" si="40"/>
        <v>78.233178066493096</v>
      </c>
      <c r="AF66" s="107">
        <f t="shared" si="41"/>
        <v>0</v>
      </c>
      <c r="AG66" s="109">
        <f t="shared" si="42"/>
        <v>0.19902332881822085</v>
      </c>
      <c r="AH66" s="110">
        <f t="shared" si="43"/>
        <v>672.52618967590058</v>
      </c>
    </row>
    <row r="67" spans="5:34" x14ac:dyDescent="0.2">
      <c r="E67" s="99">
        <f t="shared" si="44"/>
        <v>56</v>
      </c>
      <c r="F67" s="26">
        <f t="shared" si="47"/>
        <v>5</v>
      </c>
      <c r="G67" s="26">
        <f t="shared" si="24"/>
        <v>44</v>
      </c>
      <c r="H67" s="100">
        <f t="shared" si="25"/>
        <v>0</v>
      </c>
      <c r="I67" s="101">
        <f t="shared" si="26"/>
        <v>0</v>
      </c>
      <c r="J67" s="101">
        <f t="shared" si="27"/>
        <v>0</v>
      </c>
      <c r="K67" s="101">
        <f t="shared" si="28"/>
        <v>0</v>
      </c>
      <c r="L67" s="102">
        <f t="shared" si="29"/>
        <v>41.666666666666664</v>
      </c>
      <c r="M67" s="103">
        <f>VLOOKUP(G67,'Q.3-Data'!$B$2:$C$118,2,0)*U67*$B$19/12</f>
        <v>121.53926697952375</v>
      </c>
      <c r="N67" s="103">
        <f t="shared" si="30"/>
        <v>626.4304485914613</v>
      </c>
      <c r="O67" s="102">
        <f t="shared" si="45"/>
        <v>550028.16698672273</v>
      </c>
      <c r="P67" s="102">
        <f t="shared" si="31"/>
        <v>1.0064340301100034</v>
      </c>
      <c r="Q67" s="102"/>
      <c r="R67" s="102">
        <f t="shared" si="46"/>
        <v>553373.24268793117</v>
      </c>
      <c r="S67" s="105">
        <f t="shared" si="32"/>
        <v>552634.05475859321</v>
      </c>
      <c r="U67" s="102">
        <f t="shared" si="33"/>
        <v>449971.83301327727</v>
      </c>
      <c r="W67" s="106"/>
      <c r="X67" s="107"/>
      <c r="Y67" s="107">
        <f t="shared" si="34"/>
        <v>36.822244666666677</v>
      </c>
      <c r="Z67" s="108">
        <f t="shared" si="35"/>
        <v>0</v>
      </c>
      <c r="AA67" s="107">
        <f t="shared" si="36"/>
        <v>0</v>
      </c>
      <c r="AB67" s="107">
        <f t="shared" si="37"/>
        <v>41.666666666666664</v>
      </c>
      <c r="AC67" s="107">
        <f t="shared" si="38"/>
        <v>121.53926697952375</v>
      </c>
      <c r="AD67" s="107">
        <f t="shared" si="39"/>
        <v>626.4304485914613</v>
      </c>
      <c r="AE67" s="107">
        <f t="shared" si="40"/>
        <v>77.785130866895202</v>
      </c>
      <c r="AF67" s="107">
        <f t="shared" si="41"/>
        <v>0</v>
      </c>
      <c r="AG67" s="109">
        <f t="shared" si="42"/>
        <v>0.19799654145767651</v>
      </c>
      <c r="AH67" s="110">
        <f t="shared" si="43"/>
        <v>675.22700324554739</v>
      </c>
    </row>
    <row r="68" spans="5:34" x14ac:dyDescent="0.2">
      <c r="E68" s="99">
        <f t="shared" si="44"/>
        <v>57</v>
      </c>
      <c r="F68" s="26">
        <f t="shared" si="47"/>
        <v>5</v>
      </c>
      <c r="G68" s="26">
        <f t="shared" si="24"/>
        <v>44</v>
      </c>
      <c r="H68" s="100">
        <f t="shared" si="25"/>
        <v>0</v>
      </c>
      <c r="I68" s="101">
        <f t="shared" si="26"/>
        <v>0</v>
      </c>
      <c r="J68" s="101">
        <f t="shared" si="27"/>
        <v>0</v>
      </c>
      <c r="K68" s="101">
        <f t="shared" si="28"/>
        <v>0</v>
      </c>
      <c r="L68" s="102">
        <f t="shared" si="29"/>
        <v>41.666666666666664</v>
      </c>
      <c r="M68" s="103">
        <f>VLOOKUP(G68,'Q.3-Data'!$B$2:$C$118,2,0)*U68*$B$19/12</f>
        <v>120.83540583447582</v>
      </c>
      <c r="N68" s="103">
        <f t="shared" si="30"/>
        <v>629.40029590425127</v>
      </c>
      <c r="O68" s="102">
        <f t="shared" si="45"/>
        <v>552634.05475859321</v>
      </c>
      <c r="P68" s="102">
        <f t="shared" si="31"/>
        <v>1.0064340301100034</v>
      </c>
      <c r="Q68" s="102"/>
      <c r="R68" s="102">
        <f t="shared" si="46"/>
        <v>555996.73272016365</v>
      </c>
      <c r="S68" s="105">
        <f t="shared" si="32"/>
        <v>555254.04037099669</v>
      </c>
      <c r="U68" s="102">
        <f t="shared" si="33"/>
        <v>447365.94524140679</v>
      </c>
      <c r="W68" s="106"/>
      <c r="X68" s="107"/>
      <c r="Y68" s="107">
        <f t="shared" si="34"/>
        <v>36.822244666666677</v>
      </c>
      <c r="Z68" s="108">
        <f t="shared" si="35"/>
        <v>0</v>
      </c>
      <c r="AA68" s="107">
        <f t="shared" si="36"/>
        <v>0</v>
      </c>
      <c r="AB68" s="107">
        <f t="shared" si="37"/>
        <v>41.666666666666664</v>
      </c>
      <c r="AC68" s="107">
        <f t="shared" si="38"/>
        <v>120.83540583447582</v>
      </c>
      <c r="AD68" s="107">
        <f t="shared" si="39"/>
        <v>629.40029590425127</v>
      </c>
      <c r="AE68" s="107">
        <f t="shared" si="40"/>
        <v>77.33465973406453</v>
      </c>
      <c r="AF68" s="107">
        <f t="shared" si="41"/>
        <v>0</v>
      </c>
      <c r="AG68" s="109">
        <f t="shared" si="42"/>
        <v>0.1969641991823633</v>
      </c>
      <c r="AH68" s="110">
        <f t="shared" si="43"/>
        <v>677.94242820384488</v>
      </c>
    </row>
    <row r="69" spans="5:34" x14ac:dyDescent="0.2">
      <c r="E69" s="99">
        <f t="shared" si="44"/>
        <v>58</v>
      </c>
      <c r="F69" s="26">
        <f t="shared" si="47"/>
        <v>5</v>
      </c>
      <c r="G69" s="26">
        <f t="shared" si="24"/>
        <v>44</v>
      </c>
      <c r="H69" s="100">
        <f t="shared" si="25"/>
        <v>0</v>
      </c>
      <c r="I69" s="101">
        <f t="shared" si="26"/>
        <v>0</v>
      </c>
      <c r="J69" s="101">
        <f t="shared" si="27"/>
        <v>0</v>
      </c>
      <c r="K69" s="101">
        <f t="shared" si="28"/>
        <v>0</v>
      </c>
      <c r="L69" s="102">
        <f t="shared" si="29"/>
        <v>41.666666666666664</v>
      </c>
      <c r="M69" s="103">
        <f>VLOOKUP(G69,'Q.3-Data'!$B$2:$C$118,2,0)*U69*$B$19/12</f>
        <v>120.1277368039589</v>
      </c>
      <c r="N69" s="103">
        <f t="shared" si="30"/>
        <v>632.38621007697077</v>
      </c>
      <c r="O69" s="102">
        <f t="shared" si="45"/>
        <v>555254.04037099669</v>
      </c>
      <c r="P69" s="102">
        <f t="shared" si="31"/>
        <v>1.0064340301100034</v>
      </c>
      <c r="Q69" s="102"/>
      <c r="R69" s="102">
        <f t="shared" si="46"/>
        <v>558634.41582107439</v>
      </c>
      <c r="S69" s="105">
        <f t="shared" si="32"/>
        <v>557888.20009318355</v>
      </c>
      <c r="U69" s="102">
        <f t="shared" si="33"/>
        <v>444745.95962900331</v>
      </c>
      <c r="W69" s="106"/>
      <c r="X69" s="107"/>
      <c r="Y69" s="107">
        <f t="shared" si="34"/>
        <v>36.822244666666677</v>
      </c>
      <c r="Z69" s="108">
        <f t="shared" si="35"/>
        <v>0</v>
      </c>
      <c r="AA69" s="107">
        <f t="shared" si="36"/>
        <v>0</v>
      </c>
      <c r="AB69" s="107">
        <f t="shared" si="37"/>
        <v>41.666666666666664</v>
      </c>
      <c r="AC69" s="107">
        <f t="shared" si="38"/>
        <v>120.1277368039589</v>
      </c>
      <c r="AD69" s="107">
        <f t="shared" si="39"/>
        <v>632.38621007697077</v>
      </c>
      <c r="AE69" s="107">
        <f t="shared" si="40"/>
        <v>76.881751554533707</v>
      </c>
      <c r="AF69" s="107">
        <f t="shared" si="41"/>
        <v>0</v>
      </c>
      <c r="AG69" s="109">
        <f t="shared" si="42"/>
        <v>0.19592627194021828</v>
      </c>
      <c r="AH69" s="110">
        <f t="shared" si="43"/>
        <v>680.67254359833623</v>
      </c>
    </row>
    <row r="70" spans="5:34" x14ac:dyDescent="0.2">
      <c r="E70" s="99">
        <f t="shared" si="44"/>
        <v>59</v>
      </c>
      <c r="F70" s="26">
        <f t="shared" si="47"/>
        <v>5</v>
      </c>
      <c r="G70" s="26">
        <f t="shared" si="24"/>
        <v>44</v>
      </c>
      <c r="H70" s="100">
        <f t="shared" si="25"/>
        <v>0</v>
      </c>
      <c r="I70" s="101">
        <f t="shared" si="26"/>
        <v>0</v>
      </c>
      <c r="J70" s="101">
        <f t="shared" si="27"/>
        <v>0</v>
      </c>
      <c r="K70" s="101">
        <f t="shared" si="28"/>
        <v>0</v>
      </c>
      <c r="L70" s="102">
        <f t="shared" si="29"/>
        <v>41.666666666666664</v>
      </c>
      <c r="M70" s="103">
        <f>VLOOKUP(G70,'Q.3-Data'!$B$2:$C$118,2,0)*U70*$B$19/12</f>
        <v>119.41623928733073</v>
      </c>
      <c r="N70" s="103">
        <f t="shared" si="30"/>
        <v>635.38827803125605</v>
      </c>
      <c r="O70" s="102">
        <f t="shared" si="45"/>
        <v>557888.20009318355</v>
      </c>
      <c r="P70" s="102">
        <f t="shared" si="31"/>
        <v>1.0064340301100034</v>
      </c>
      <c r="Q70" s="102"/>
      <c r="R70" s="102">
        <f t="shared" si="46"/>
        <v>561286.36877509789</v>
      </c>
      <c r="S70" s="105">
        <f t="shared" si="32"/>
        <v>560536.61060702102</v>
      </c>
      <c r="U70" s="102">
        <f t="shared" si="33"/>
        <v>442111.79990681645</v>
      </c>
      <c r="W70" s="106"/>
      <c r="X70" s="107"/>
      <c r="Y70" s="107">
        <f t="shared" si="34"/>
        <v>36.822244666666677</v>
      </c>
      <c r="Z70" s="108">
        <f t="shared" si="35"/>
        <v>0</v>
      </c>
      <c r="AA70" s="107">
        <f t="shared" si="36"/>
        <v>0</v>
      </c>
      <c r="AB70" s="107">
        <f t="shared" si="37"/>
        <v>41.666666666666664</v>
      </c>
      <c r="AC70" s="107">
        <f t="shared" si="38"/>
        <v>119.41623928733073</v>
      </c>
      <c r="AD70" s="107">
        <f t="shared" si="39"/>
        <v>635.38827803125605</v>
      </c>
      <c r="AE70" s="107">
        <f t="shared" si="40"/>
        <v>76.426393143891673</v>
      </c>
      <c r="AF70" s="107">
        <f t="shared" si="41"/>
        <v>0</v>
      </c>
      <c r="AG70" s="109">
        <f t="shared" si="42"/>
        <v>0.1948827295165978</v>
      </c>
      <c r="AH70" s="110">
        <f t="shared" si="43"/>
        <v>683.41742890421176</v>
      </c>
    </row>
    <row r="71" spans="5:34" x14ac:dyDescent="0.2">
      <c r="E71" s="99">
        <f t="shared" si="44"/>
        <v>60</v>
      </c>
      <c r="F71" s="26">
        <f t="shared" si="47"/>
        <v>5</v>
      </c>
      <c r="G71" s="26">
        <f t="shared" si="24"/>
        <v>44</v>
      </c>
      <c r="H71" s="100">
        <f t="shared" si="25"/>
        <v>0</v>
      </c>
      <c r="I71" s="101">
        <f t="shared" si="26"/>
        <v>0</v>
      </c>
      <c r="J71" s="101">
        <f t="shared" si="27"/>
        <v>0</v>
      </c>
      <c r="K71" s="101">
        <f t="shared" si="28"/>
        <v>0</v>
      </c>
      <c r="L71" s="102">
        <f t="shared" si="29"/>
        <v>41.666666666666664</v>
      </c>
      <c r="M71" s="103">
        <f>VLOOKUP(G71,'Q.3-Data'!$B$2:$C$118,2,0)*U71*$B$19/12</f>
        <v>118.70089257249941</v>
      </c>
      <c r="N71" s="103">
        <f t="shared" si="30"/>
        <v>638.40658715898905</v>
      </c>
      <c r="O71" s="102">
        <f t="shared" si="45"/>
        <v>560536.61060702102</v>
      </c>
      <c r="P71" s="102">
        <f t="shared" si="31"/>
        <v>1.0064340301100034</v>
      </c>
      <c r="Q71" s="102"/>
      <c r="R71" s="102">
        <f t="shared" si="46"/>
        <v>563952.66878207191</v>
      </c>
      <c r="S71" s="105">
        <f t="shared" si="32"/>
        <v>563199.34900922433</v>
      </c>
      <c r="U71" s="102">
        <f t="shared" si="33"/>
        <v>439463.38939297898</v>
      </c>
      <c r="W71" s="106"/>
      <c r="X71" s="107"/>
      <c r="Y71" s="107">
        <f t="shared" si="34"/>
        <v>36.822244666666677</v>
      </c>
      <c r="Z71" s="108">
        <f t="shared" si="35"/>
        <v>0</v>
      </c>
      <c r="AA71" s="107">
        <f t="shared" si="36"/>
        <v>0</v>
      </c>
      <c r="AB71" s="107">
        <f t="shared" si="37"/>
        <v>41.666666666666664</v>
      </c>
      <c r="AC71" s="107">
        <f t="shared" si="38"/>
        <v>118.70089257249941</v>
      </c>
      <c r="AD71" s="107">
        <f t="shared" si="39"/>
        <v>638.40658715898905</v>
      </c>
      <c r="AE71" s="107">
        <f t="shared" si="40"/>
        <v>75.96857124639962</v>
      </c>
      <c r="AF71" s="107">
        <f t="shared" si="41"/>
        <v>0</v>
      </c>
      <c r="AG71" s="109">
        <f t="shared" si="42"/>
        <v>0.19383354153339616</v>
      </c>
      <c r="AH71" s="110">
        <f t="shared" si="43"/>
        <v>686.17716402662222</v>
      </c>
    </row>
    <row r="72" spans="5:34" x14ac:dyDescent="0.2">
      <c r="E72" s="99">
        <f t="shared" si="44"/>
        <v>61</v>
      </c>
      <c r="F72" s="26">
        <f t="shared" si="47"/>
        <v>6</v>
      </c>
      <c r="G72" s="26">
        <f t="shared" si="24"/>
        <v>45</v>
      </c>
      <c r="H72" s="100">
        <f t="shared" si="25"/>
        <v>0</v>
      </c>
      <c r="I72" s="101">
        <f t="shared" si="26"/>
        <v>0</v>
      </c>
      <c r="J72" s="101">
        <f t="shared" si="27"/>
        <v>0</v>
      </c>
      <c r="K72" s="101">
        <f t="shared" si="28"/>
        <v>0</v>
      </c>
      <c r="L72" s="102">
        <f t="shared" si="29"/>
        <v>41.666666666666664</v>
      </c>
      <c r="M72" s="103">
        <f>VLOOKUP(G72,'Q.3-Data'!$B$2:$C$118,2,0)*U72*$B$19/12</f>
        <v>130.76719489036347</v>
      </c>
      <c r="N72" s="103">
        <f t="shared" si="30"/>
        <v>641.42403672950297</v>
      </c>
      <c r="O72" s="102">
        <f t="shared" si="45"/>
        <v>563199.34900922433</v>
      </c>
      <c r="P72" s="102">
        <f t="shared" si="31"/>
        <v>1.0064340301100034</v>
      </c>
      <c r="Q72" s="102"/>
      <c r="R72" s="102">
        <f t="shared" si="46"/>
        <v>566618.20947735116</v>
      </c>
      <c r="S72" s="105">
        <f t="shared" si="32"/>
        <v>565861.32911401032</v>
      </c>
      <c r="U72" s="102">
        <f t="shared" si="33"/>
        <v>436800.65099077567</v>
      </c>
      <c r="W72" s="106"/>
      <c r="X72" s="107"/>
      <c r="Y72" s="107">
        <f t="shared" si="34"/>
        <v>39.031579346666682</v>
      </c>
      <c r="Z72" s="108">
        <f t="shared" si="35"/>
        <v>0</v>
      </c>
      <c r="AA72" s="107">
        <f t="shared" si="36"/>
        <v>0</v>
      </c>
      <c r="AB72" s="107">
        <f t="shared" si="37"/>
        <v>41.666666666666664</v>
      </c>
      <c r="AC72" s="107">
        <f t="shared" si="38"/>
        <v>130.76719489036347</v>
      </c>
      <c r="AD72" s="107">
        <f t="shared" si="39"/>
        <v>641.42403672950297</v>
      </c>
      <c r="AE72" s="107">
        <f t="shared" si="40"/>
        <v>83.691004729832628</v>
      </c>
      <c r="AF72" s="107">
        <f t="shared" si="41"/>
        <v>0</v>
      </c>
      <c r="AG72" s="109">
        <f t="shared" si="42"/>
        <v>0.20252989789897338</v>
      </c>
      <c r="AH72" s="110">
        <f t="shared" si="43"/>
        <v>691.33784410793282</v>
      </c>
    </row>
    <row r="73" spans="5:34" x14ac:dyDescent="0.2">
      <c r="E73" s="99">
        <f t="shared" si="44"/>
        <v>62</v>
      </c>
      <c r="F73" s="26">
        <f t="shared" si="47"/>
        <v>6</v>
      </c>
      <c r="G73" s="26">
        <f t="shared" si="24"/>
        <v>45</v>
      </c>
      <c r="H73" s="100">
        <f t="shared" si="25"/>
        <v>0</v>
      </c>
      <c r="I73" s="101">
        <f t="shared" si="26"/>
        <v>0</v>
      </c>
      <c r="J73" s="101">
        <f t="shared" si="27"/>
        <v>0</v>
      </c>
      <c r="K73" s="101">
        <f t="shared" si="28"/>
        <v>0</v>
      </c>
      <c r="L73" s="102">
        <f t="shared" si="29"/>
        <v>41.666666666666664</v>
      </c>
      <c r="M73" s="103">
        <f>VLOOKUP(G73,'Q.3-Data'!$B$2:$C$118,2,0)*U73*$B$19/12</f>
        <v>129.97026459649314</v>
      </c>
      <c r="N73" s="103">
        <f t="shared" si="30"/>
        <v>644.45791543983728</v>
      </c>
      <c r="O73" s="102">
        <f t="shared" si="45"/>
        <v>565861.32911401032</v>
      </c>
      <c r="P73" s="102">
        <f t="shared" si="31"/>
        <v>1.0064340301100034</v>
      </c>
      <c r="Q73" s="102"/>
      <c r="R73" s="102">
        <f t="shared" si="46"/>
        <v>569298.26327044913</v>
      </c>
      <c r="S73" s="105">
        <f t="shared" si="32"/>
        <v>568537.80293023016</v>
      </c>
      <c r="U73" s="102">
        <f t="shared" si="33"/>
        <v>434138.67088598968</v>
      </c>
      <c r="W73" s="106"/>
      <c r="X73" s="107"/>
      <c r="Y73" s="107">
        <f t="shared" si="34"/>
        <v>39.031579346666682</v>
      </c>
      <c r="Z73" s="108">
        <f t="shared" si="35"/>
        <v>0</v>
      </c>
      <c r="AA73" s="107">
        <f t="shared" si="36"/>
        <v>0</v>
      </c>
      <c r="AB73" s="107">
        <f t="shared" si="37"/>
        <v>41.666666666666664</v>
      </c>
      <c r="AC73" s="107">
        <f t="shared" si="38"/>
        <v>129.97026459649314</v>
      </c>
      <c r="AD73" s="107">
        <f t="shared" si="39"/>
        <v>644.45791543983728</v>
      </c>
      <c r="AE73" s="107">
        <f t="shared" si="40"/>
        <v>83.180969341755613</v>
      </c>
      <c r="AF73" s="107">
        <f t="shared" si="41"/>
        <v>0</v>
      </c>
      <c r="AG73" s="109">
        <f t="shared" si="42"/>
        <v>0.20136105253987333</v>
      </c>
      <c r="AH73" s="110">
        <f t="shared" si="43"/>
        <v>694.08365906711458</v>
      </c>
    </row>
    <row r="74" spans="5:34" x14ac:dyDescent="0.2">
      <c r="E74" s="99">
        <f t="shared" si="44"/>
        <v>63</v>
      </c>
      <c r="F74" s="26">
        <f t="shared" si="47"/>
        <v>6</v>
      </c>
      <c r="G74" s="26">
        <f t="shared" si="24"/>
        <v>45</v>
      </c>
      <c r="H74" s="100">
        <f t="shared" si="25"/>
        <v>0</v>
      </c>
      <c r="I74" s="101">
        <f t="shared" si="26"/>
        <v>0</v>
      </c>
      <c r="J74" s="101">
        <f t="shared" si="27"/>
        <v>0</v>
      </c>
      <c r="K74" s="101">
        <f t="shared" si="28"/>
        <v>0</v>
      </c>
      <c r="L74" s="102">
        <f t="shared" si="29"/>
        <v>41.666666666666664</v>
      </c>
      <c r="M74" s="103">
        <f>VLOOKUP(G74,'Q.3-Data'!$B$2:$C$118,2,0)*U74*$B$19/12</f>
        <v>129.16899524776235</v>
      </c>
      <c r="N74" s="103">
        <f t="shared" si="30"/>
        <v>647.50831274190477</v>
      </c>
      <c r="O74" s="102">
        <f t="shared" si="45"/>
        <v>568537.80293023016</v>
      </c>
      <c r="P74" s="102">
        <f t="shared" si="31"/>
        <v>1.0064340301100034</v>
      </c>
      <c r="Q74" s="102"/>
      <c r="R74" s="102">
        <f t="shared" si="46"/>
        <v>571992.90918098413</v>
      </c>
      <c r="S74" s="105">
        <f t="shared" si="32"/>
        <v>571228.84937194863</v>
      </c>
      <c r="U74" s="102">
        <f t="shared" si="33"/>
        <v>431462.19706976984</v>
      </c>
      <c r="W74" s="106"/>
      <c r="X74" s="107"/>
      <c r="Y74" s="107">
        <f t="shared" si="34"/>
        <v>39.031579346666682</v>
      </c>
      <c r="Z74" s="108">
        <f t="shared" si="35"/>
        <v>0</v>
      </c>
      <c r="AA74" s="107">
        <f t="shared" si="36"/>
        <v>0</v>
      </c>
      <c r="AB74" s="107">
        <f t="shared" si="37"/>
        <v>41.666666666666664</v>
      </c>
      <c r="AC74" s="107">
        <f t="shared" si="38"/>
        <v>129.16899524776235</v>
      </c>
      <c r="AD74" s="107">
        <f t="shared" si="39"/>
        <v>647.50831274190477</v>
      </c>
      <c r="AE74" s="107">
        <f t="shared" si="40"/>
        <v>82.66815695856792</v>
      </c>
      <c r="AF74" s="107">
        <f t="shared" si="41"/>
        <v>0</v>
      </c>
      <c r="AG74" s="109">
        <f t="shared" si="42"/>
        <v>0.20018584315599514</v>
      </c>
      <c r="AH74" s="110">
        <f t="shared" si="43"/>
        <v>696.84442419425511</v>
      </c>
    </row>
    <row r="75" spans="5:34" x14ac:dyDescent="0.2">
      <c r="E75" s="99">
        <f t="shared" si="44"/>
        <v>64</v>
      </c>
      <c r="F75" s="26">
        <f t="shared" si="47"/>
        <v>6</v>
      </c>
      <c r="G75" s="26">
        <f t="shared" si="24"/>
        <v>45</v>
      </c>
      <c r="H75" s="100">
        <f t="shared" si="25"/>
        <v>0</v>
      </c>
      <c r="I75" s="101">
        <f t="shared" si="26"/>
        <v>0</v>
      </c>
      <c r="J75" s="101">
        <f t="shared" si="27"/>
        <v>0</v>
      </c>
      <c r="K75" s="101">
        <f t="shared" si="28"/>
        <v>0</v>
      </c>
      <c r="L75" s="102">
        <f t="shared" si="29"/>
        <v>41.666666666666664</v>
      </c>
      <c r="M75" s="103">
        <f>VLOOKUP(G75,'Q.3-Data'!$B$2:$C$118,2,0)*U75*$B$19/12</f>
        <v>128.36336321927286</v>
      </c>
      <c r="N75" s="103">
        <f t="shared" si="30"/>
        <v>650.57531857465756</v>
      </c>
      <c r="O75" s="102">
        <f t="shared" si="45"/>
        <v>571228.84937194863</v>
      </c>
      <c r="P75" s="102">
        <f t="shared" si="31"/>
        <v>1.0064340301100034</v>
      </c>
      <c r="Q75" s="102"/>
      <c r="R75" s="102">
        <f t="shared" si="46"/>
        <v>574702.22665881331</v>
      </c>
      <c r="S75" s="105">
        <f t="shared" si="32"/>
        <v>573934.54778289516</v>
      </c>
      <c r="U75" s="102">
        <f t="shared" si="33"/>
        <v>428771.15062805137</v>
      </c>
      <c r="W75" s="106"/>
      <c r="X75" s="107"/>
      <c r="Y75" s="107">
        <f t="shared" si="34"/>
        <v>39.031579346666682</v>
      </c>
      <c r="Z75" s="108">
        <f t="shared" si="35"/>
        <v>0</v>
      </c>
      <c r="AA75" s="107">
        <f t="shared" si="36"/>
        <v>0</v>
      </c>
      <c r="AB75" s="107">
        <f t="shared" si="37"/>
        <v>41.666666666666664</v>
      </c>
      <c r="AC75" s="107">
        <f t="shared" si="38"/>
        <v>128.36336321927286</v>
      </c>
      <c r="AD75" s="107">
        <f t="shared" si="39"/>
        <v>650.57531857465756</v>
      </c>
      <c r="AE75" s="107">
        <f t="shared" si="40"/>
        <v>82.152552460334633</v>
      </c>
      <c r="AF75" s="107">
        <f t="shared" si="41"/>
        <v>0</v>
      </c>
      <c r="AG75" s="109">
        <f t="shared" si="42"/>
        <v>0.19900423509706555</v>
      </c>
      <c r="AH75" s="110">
        <f t="shared" si="43"/>
        <v>699.62022088869276</v>
      </c>
    </row>
    <row r="76" spans="5:34" x14ac:dyDescent="0.2">
      <c r="E76" s="99">
        <f t="shared" si="44"/>
        <v>65</v>
      </c>
      <c r="F76" s="26">
        <f t="shared" si="47"/>
        <v>6</v>
      </c>
      <c r="G76" s="26">
        <f t="shared" ref="G76:G107" si="48">+$B$5+F76-1</f>
        <v>45</v>
      </c>
      <c r="H76" s="100">
        <f t="shared" ref="H76:H107" si="49">+IF(AND(MOD(E76,12)=1,F76&lt;=$B$3),$B$2,0)</f>
        <v>0</v>
      </c>
      <c r="I76" s="101">
        <f t="shared" ref="I76:I107" si="50">H76*VLOOKUP(F76,$A$8:$C$12,2,1)</f>
        <v>0</v>
      </c>
      <c r="J76" s="101">
        <f t="shared" ref="J76:J107" si="51">+I76*$B$14</f>
        <v>0</v>
      </c>
      <c r="K76" s="101">
        <f t="shared" ref="K76:K107" si="52">+H76-I76-J76</f>
        <v>0</v>
      </c>
      <c r="L76" s="102">
        <f t="shared" ref="L76:L107" si="53">+MIN($B$2*$B$15,$B$16)/12</f>
        <v>41.666666666666664</v>
      </c>
      <c r="M76" s="103">
        <f>VLOOKUP(G76,'Q.3-Data'!$B$2:$C$118,2,0)*U76*$B$19/12</f>
        <v>127.55334475749576</v>
      </c>
      <c r="N76" s="103">
        <f t="shared" ref="N76:N107" si="54">+R76*(1-(1-$B$20)^(0.0833333333333333))</f>
        <v>653.6590233667398</v>
      </c>
      <c r="O76" s="102">
        <f t="shared" si="45"/>
        <v>573934.54778289516</v>
      </c>
      <c r="P76" s="102">
        <f t="shared" ref="P76:P107" si="55">(1+$B$17)^(1/12)</f>
        <v>1.0064340301100034</v>
      </c>
      <c r="Q76" s="102"/>
      <c r="R76" s="102">
        <f t="shared" si="46"/>
        <v>577426.29558637552</v>
      </c>
      <c r="S76" s="105">
        <f t="shared" ref="S76:S107" si="56">+R76-(N76*(1+$B$14))</f>
        <v>576654.9779388028</v>
      </c>
      <c r="U76" s="102">
        <f t="shared" ref="U76:U107" si="57">+MAX($B$2*10-O76,0)</f>
        <v>426065.45221710484</v>
      </c>
      <c r="W76" s="106"/>
      <c r="X76" s="107"/>
      <c r="Y76" s="107">
        <f t="shared" ref="Y76:Y107" si="58">+$B$25*(1+$B$26)^(F76-1)/12</f>
        <v>39.031579346666682</v>
      </c>
      <c r="Z76" s="108">
        <f t="shared" ref="Z76:Z107" si="59">H76*VLOOKUP(F76,$A$8:$C$12,3,1)</f>
        <v>0</v>
      </c>
      <c r="AA76" s="107">
        <f t="shared" ref="AA76:AA107" si="60">+I76</f>
        <v>0</v>
      </c>
      <c r="AB76" s="107">
        <f t="shared" ref="AB76:AB107" si="61">+L76</f>
        <v>41.666666666666664</v>
      </c>
      <c r="AC76" s="107">
        <f t="shared" ref="AC76:AC107" si="62">+M76</f>
        <v>127.55334475749576</v>
      </c>
      <c r="AD76" s="107">
        <f t="shared" ref="AD76:AD107" si="63">+N76</f>
        <v>653.6590233667398</v>
      </c>
      <c r="AE76" s="107">
        <f t="shared" ref="AE76:AE107" si="64">+M76/$B$19*$B$27</f>
        <v>81.634140644797299</v>
      </c>
      <c r="AF76" s="107">
        <f t="shared" ref="AF76:AF107" si="65">+Q76</f>
        <v>0</v>
      </c>
      <c r="AG76" s="109">
        <f t="shared" ref="AG76:AG107" si="66">(SUM(AA76:AC76)-SUM(W76:Z76,AE76))*$C$18</f>
        <v>0.19781619352415022</v>
      </c>
      <c r="AH76" s="110">
        <f t="shared" ref="AH76:AH107" si="67">+SUM(AA76:AD76,AG76)-SUM(W76:Z76,AE76:AF76)</f>
        <v>702.4111309929624</v>
      </c>
    </row>
    <row r="77" spans="5:34" x14ac:dyDescent="0.2">
      <c r="E77" s="99">
        <f t="shared" ref="E77:E108" si="68">+E76+1</f>
        <v>66</v>
      </c>
      <c r="F77" s="26">
        <f t="shared" si="47"/>
        <v>6</v>
      </c>
      <c r="G77" s="26">
        <f t="shared" si="48"/>
        <v>45</v>
      </c>
      <c r="H77" s="100">
        <f t="shared" si="49"/>
        <v>0</v>
      </c>
      <c r="I77" s="101">
        <f t="shared" si="50"/>
        <v>0</v>
      </c>
      <c r="J77" s="101">
        <f t="shared" si="51"/>
        <v>0</v>
      </c>
      <c r="K77" s="101">
        <f t="shared" si="52"/>
        <v>0</v>
      </c>
      <c r="L77" s="102">
        <f t="shared" si="53"/>
        <v>41.666666666666664</v>
      </c>
      <c r="M77" s="103">
        <f>VLOOKUP(G77,'Q.3-Data'!$B$2:$C$118,2,0)*U77*$B$19/12</f>
        <v>126.7389159795709</v>
      </c>
      <c r="N77" s="103">
        <f t="shared" si="54"/>
        <v>656.75951803915336</v>
      </c>
      <c r="O77" s="102">
        <f t="shared" ref="O77:O108" si="69">+S76+K77</f>
        <v>576654.9779388028</v>
      </c>
      <c r="P77" s="102">
        <f t="shared" si="55"/>
        <v>1.0064340301100034</v>
      </c>
      <c r="Q77" s="102"/>
      <c r="R77" s="102">
        <f t="shared" ref="R77:R108" si="70">((O77)-(L77+M77)*(1+$B$14))*P77+Q77</f>
        <v>580165.19628104637</v>
      </c>
      <c r="S77" s="105">
        <f t="shared" si="56"/>
        <v>579390.22004976019</v>
      </c>
      <c r="U77" s="102">
        <f t="shared" si="57"/>
        <v>423345.0220611972</v>
      </c>
      <c r="W77" s="106"/>
      <c r="X77" s="107"/>
      <c r="Y77" s="107">
        <f t="shared" si="58"/>
        <v>39.031579346666682</v>
      </c>
      <c r="Z77" s="108">
        <f t="shared" si="59"/>
        <v>0</v>
      </c>
      <c r="AA77" s="107">
        <f t="shared" si="60"/>
        <v>0</v>
      </c>
      <c r="AB77" s="107">
        <f t="shared" si="61"/>
        <v>41.666666666666664</v>
      </c>
      <c r="AC77" s="107">
        <f t="shared" si="62"/>
        <v>126.7389159795709</v>
      </c>
      <c r="AD77" s="107">
        <f t="shared" si="63"/>
        <v>656.75951803915336</v>
      </c>
      <c r="AE77" s="107">
        <f t="shared" si="64"/>
        <v>81.112906226925389</v>
      </c>
      <c r="AF77" s="107">
        <f t="shared" si="65"/>
        <v>0</v>
      </c>
      <c r="AG77" s="109">
        <f t="shared" si="66"/>
        <v>0.19662168340862696</v>
      </c>
      <c r="AH77" s="110">
        <f t="shared" si="67"/>
        <v>705.21723679520744</v>
      </c>
    </row>
    <row r="78" spans="5:34" x14ac:dyDescent="0.2">
      <c r="E78" s="99">
        <f t="shared" si="68"/>
        <v>67</v>
      </c>
      <c r="F78" s="26">
        <f t="shared" ref="F78:F109" si="71">IF(MOD(E78,12)=1,F77+1,F77)</f>
        <v>6</v>
      </c>
      <c r="G78" s="26">
        <f t="shared" si="48"/>
        <v>45</v>
      </c>
      <c r="H78" s="100">
        <f t="shared" si="49"/>
        <v>0</v>
      </c>
      <c r="I78" s="101">
        <f t="shared" si="50"/>
        <v>0</v>
      </c>
      <c r="J78" s="101">
        <f t="shared" si="51"/>
        <v>0</v>
      </c>
      <c r="K78" s="101">
        <f t="shared" si="52"/>
        <v>0</v>
      </c>
      <c r="L78" s="102">
        <f t="shared" si="53"/>
        <v>41.666666666666664</v>
      </c>
      <c r="M78" s="103">
        <f>VLOOKUP(G78,'Q.3-Data'!$B$2:$C$118,2,0)*U78*$B$19/12</f>
        <v>125.92005287260304</v>
      </c>
      <c r="N78" s="103">
        <f t="shared" si="54"/>
        <v>659.87689400793806</v>
      </c>
      <c r="O78" s="102">
        <f t="shared" si="69"/>
        <v>579390.22004976019</v>
      </c>
      <c r="P78" s="102">
        <f t="shared" si="55"/>
        <v>1.0064340301100034</v>
      </c>
      <c r="Q78" s="102"/>
      <c r="R78" s="102">
        <f t="shared" si="70"/>
        <v>582919.00949750596</v>
      </c>
      <c r="S78" s="105">
        <f t="shared" si="56"/>
        <v>582140.35476257664</v>
      </c>
      <c r="U78" s="102">
        <f t="shared" si="57"/>
        <v>420609.77995023981</v>
      </c>
      <c r="W78" s="106"/>
      <c r="X78" s="107"/>
      <c r="Y78" s="107">
        <f t="shared" si="58"/>
        <v>39.031579346666682</v>
      </c>
      <c r="Z78" s="108">
        <f t="shared" si="59"/>
        <v>0</v>
      </c>
      <c r="AA78" s="107">
        <f t="shared" si="60"/>
        <v>0</v>
      </c>
      <c r="AB78" s="107">
        <f t="shared" si="61"/>
        <v>41.666666666666664</v>
      </c>
      <c r="AC78" s="107">
        <f t="shared" si="62"/>
        <v>125.92005287260304</v>
      </c>
      <c r="AD78" s="107">
        <f t="shared" si="63"/>
        <v>659.87689400793806</v>
      </c>
      <c r="AE78" s="107">
        <f t="shared" si="64"/>
        <v>80.588833838465945</v>
      </c>
      <c r="AF78" s="107">
        <f t="shared" si="65"/>
        <v>0</v>
      </c>
      <c r="AG78" s="109">
        <f t="shared" si="66"/>
        <v>0.19542066953115295</v>
      </c>
      <c r="AH78" s="110">
        <f t="shared" si="67"/>
        <v>708.03862103160623</v>
      </c>
    </row>
    <row r="79" spans="5:34" x14ac:dyDescent="0.2">
      <c r="E79" s="99">
        <f t="shared" si="68"/>
        <v>68</v>
      </c>
      <c r="F79" s="26">
        <f t="shared" si="71"/>
        <v>6</v>
      </c>
      <c r="G79" s="26">
        <f t="shared" si="48"/>
        <v>45</v>
      </c>
      <c r="H79" s="100">
        <f t="shared" si="49"/>
        <v>0</v>
      </c>
      <c r="I79" s="101">
        <f t="shared" si="50"/>
        <v>0</v>
      </c>
      <c r="J79" s="101">
        <f t="shared" si="51"/>
        <v>0</v>
      </c>
      <c r="K79" s="101">
        <f t="shared" si="52"/>
        <v>0</v>
      </c>
      <c r="L79" s="102">
        <f t="shared" si="53"/>
        <v>41.666666666666664</v>
      </c>
      <c r="M79" s="103">
        <f>VLOOKUP(G79,'Q.3-Data'!$B$2:$C$118,2,0)*U79*$B$19/12</f>
        <v>125.09673129295361</v>
      </c>
      <c r="N79" s="103">
        <f t="shared" si="54"/>
        <v>663.01124318686868</v>
      </c>
      <c r="O79" s="102">
        <f t="shared" si="69"/>
        <v>582140.35476257664</v>
      </c>
      <c r="P79" s="102">
        <f t="shared" si="55"/>
        <v>1.0064340301100034</v>
      </c>
      <c r="Q79" s="102"/>
      <c r="R79" s="102">
        <f t="shared" si="70"/>
        <v>585687.81643012085</v>
      </c>
      <c r="S79" s="105">
        <f t="shared" si="56"/>
        <v>584905.46316316037</v>
      </c>
      <c r="U79" s="102">
        <f t="shared" si="57"/>
        <v>417859.64523742336</v>
      </c>
      <c r="W79" s="106"/>
      <c r="X79" s="107"/>
      <c r="Y79" s="107">
        <f t="shared" si="58"/>
        <v>39.031579346666682</v>
      </c>
      <c r="Z79" s="108">
        <f t="shared" si="59"/>
        <v>0</v>
      </c>
      <c r="AA79" s="107">
        <f t="shared" si="60"/>
        <v>0</v>
      </c>
      <c r="AB79" s="107">
        <f t="shared" si="61"/>
        <v>41.666666666666664</v>
      </c>
      <c r="AC79" s="107">
        <f t="shared" si="62"/>
        <v>125.09673129295361</v>
      </c>
      <c r="AD79" s="107">
        <f t="shared" si="63"/>
        <v>663.01124318686868</v>
      </c>
      <c r="AE79" s="107">
        <f t="shared" si="64"/>
        <v>80.061908027490318</v>
      </c>
      <c r="AF79" s="107">
        <f t="shared" si="65"/>
        <v>0</v>
      </c>
      <c r="AG79" s="109">
        <f t="shared" si="66"/>
        <v>0.19421311648062631</v>
      </c>
      <c r="AH79" s="110">
        <f t="shared" si="67"/>
        <v>710.87536688881266</v>
      </c>
    </row>
    <row r="80" spans="5:34" x14ac:dyDescent="0.2">
      <c r="E80" s="99">
        <f t="shared" si="68"/>
        <v>69</v>
      </c>
      <c r="F80" s="26">
        <f t="shared" si="71"/>
        <v>6</v>
      </c>
      <c r="G80" s="26">
        <f t="shared" si="48"/>
        <v>45</v>
      </c>
      <c r="H80" s="100">
        <f t="shared" si="49"/>
        <v>0</v>
      </c>
      <c r="I80" s="101">
        <f t="shared" si="50"/>
        <v>0</v>
      </c>
      <c r="J80" s="101">
        <f t="shared" si="51"/>
        <v>0</v>
      </c>
      <c r="K80" s="101">
        <f t="shared" si="52"/>
        <v>0</v>
      </c>
      <c r="L80" s="102">
        <f t="shared" si="53"/>
        <v>41.666666666666664</v>
      </c>
      <c r="M80" s="103">
        <f>VLOOKUP(G80,'Q.3-Data'!$B$2:$C$118,2,0)*U80*$B$19/12</f>
        <v>124.26892696552886</v>
      </c>
      <c r="N80" s="103">
        <f t="shared" si="54"/>
        <v>666.16265799016298</v>
      </c>
      <c r="O80" s="102">
        <f t="shared" si="69"/>
        <v>584905.46316316037</v>
      </c>
      <c r="P80" s="102">
        <f t="shared" si="55"/>
        <v>1.0064340301100034</v>
      </c>
      <c r="Q80" s="102"/>
      <c r="R80" s="102">
        <f t="shared" si="70"/>
        <v>588471.69871533685</v>
      </c>
      <c r="S80" s="105">
        <f t="shared" si="56"/>
        <v>587685.62677890842</v>
      </c>
      <c r="U80" s="102">
        <f t="shared" si="57"/>
        <v>415094.53683683963</v>
      </c>
      <c r="W80" s="106"/>
      <c r="X80" s="107"/>
      <c r="Y80" s="107">
        <f t="shared" si="58"/>
        <v>39.031579346666682</v>
      </c>
      <c r="Z80" s="108">
        <f t="shared" si="59"/>
        <v>0</v>
      </c>
      <c r="AA80" s="107">
        <f t="shared" si="60"/>
        <v>0</v>
      </c>
      <c r="AB80" s="107">
        <f t="shared" si="61"/>
        <v>41.666666666666664</v>
      </c>
      <c r="AC80" s="107">
        <f t="shared" si="62"/>
        <v>124.26892696552886</v>
      </c>
      <c r="AD80" s="107">
        <f t="shared" si="63"/>
        <v>666.16265799016298</v>
      </c>
      <c r="AE80" s="107">
        <f t="shared" si="64"/>
        <v>79.532113257938477</v>
      </c>
      <c r="AF80" s="107">
        <f t="shared" si="65"/>
        <v>0</v>
      </c>
      <c r="AG80" s="109">
        <f t="shared" si="66"/>
        <v>0.19299898865314175</v>
      </c>
      <c r="AH80" s="110">
        <f t="shared" si="67"/>
        <v>713.72755800640641</v>
      </c>
    </row>
    <row r="81" spans="5:34" x14ac:dyDescent="0.2">
      <c r="E81" s="99">
        <f t="shared" si="68"/>
        <v>70</v>
      </c>
      <c r="F81" s="26">
        <f t="shared" si="71"/>
        <v>6</v>
      </c>
      <c r="G81" s="26">
        <f t="shared" si="48"/>
        <v>45</v>
      </c>
      <c r="H81" s="100">
        <f t="shared" si="49"/>
        <v>0</v>
      </c>
      <c r="I81" s="101">
        <f t="shared" si="50"/>
        <v>0</v>
      </c>
      <c r="J81" s="101">
        <f t="shared" si="51"/>
        <v>0</v>
      </c>
      <c r="K81" s="101">
        <f t="shared" si="52"/>
        <v>0</v>
      </c>
      <c r="L81" s="102">
        <f t="shared" si="53"/>
        <v>41.666666666666664</v>
      </c>
      <c r="M81" s="103">
        <f>VLOOKUP(G81,'Q.3-Data'!$B$2:$C$118,2,0)*U81*$B$19/12</f>
        <v>123.43661548306427</v>
      </c>
      <c r="N81" s="103">
        <f t="shared" si="54"/>
        <v>669.33123133520769</v>
      </c>
      <c r="O81" s="102">
        <f t="shared" si="69"/>
        <v>587685.62677890842</v>
      </c>
      <c r="P81" s="102">
        <f t="shared" si="55"/>
        <v>1.0064340301100034</v>
      </c>
      <c r="Q81" s="102"/>
      <c r="R81" s="102">
        <f t="shared" si="70"/>
        <v>591270.7384340869</v>
      </c>
      <c r="S81" s="105">
        <f t="shared" si="56"/>
        <v>590480.92758111132</v>
      </c>
      <c r="U81" s="102">
        <f t="shared" si="57"/>
        <v>412314.37322109158</v>
      </c>
      <c r="W81" s="106"/>
      <c r="X81" s="107"/>
      <c r="Y81" s="107">
        <f t="shared" si="58"/>
        <v>39.031579346666682</v>
      </c>
      <c r="Z81" s="108">
        <f t="shared" si="59"/>
        <v>0</v>
      </c>
      <c r="AA81" s="107">
        <f t="shared" si="60"/>
        <v>0</v>
      </c>
      <c r="AB81" s="107">
        <f t="shared" si="61"/>
        <v>41.666666666666664</v>
      </c>
      <c r="AC81" s="107">
        <f t="shared" si="62"/>
        <v>123.43661548306427</v>
      </c>
      <c r="AD81" s="107">
        <f t="shared" si="63"/>
        <v>669.33123133520769</v>
      </c>
      <c r="AE81" s="107">
        <f t="shared" si="64"/>
        <v>78.999433909161141</v>
      </c>
      <c r="AF81" s="107">
        <f t="shared" si="65"/>
        <v>0</v>
      </c>
      <c r="AG81" s="109">
        <f t="shared" si="66"/>
        <v>0.19177825025094131</v>
      </c>
      <c r="AH81" s="110">
        <f t="shared" si="67"/>
        <v>716.59527847936181</v>
      </c>
    </row>
    <row r="82" spans="5:34" x14ac:dyDescent="0.2">
      <c r="E82" s="99">
        <f t="shared" si="68"/>
        <v>71</v>
      </c>
      <c r="F82" s="26">
        <f t="shared" si="71"/>
        <v>6</v>
      </c>
      <c r="G82" s="26">
        <f t="shared" si="48"/>
        <v>45</v>
      </c>
      <c r="H82" s="100">
        <f t="shared" si="49"/>
        <v>0</v>
      </c>
      <c r="I82" s="101">
        <f t="shared" si="50"/>
        <v>0</v>
      </c>
      <c r="J82" s="101">
        <f t="shared" si="51"/>
        <v>0</v>
      </c>
      <c r="K82" s="101">
        <f t="shared" si="52"/>
        <v>0</v>
      </c>
      <c r="L82" s="102">
        <f t="shared" si="53"/>
        <v>41.666666666666664</v>
      </c>
      <c r="M82" s="103">
        <f>VLOOKUP(G82,'Q.3-Data'!$B$2:$C$118,2,0)*U82*$B$19/12</f>
        <v>122.59977230540478</v>
      </c>
      <c r="N82" s="103">
        <f t="shared" si="54"/>
        <v>672.51705664529788</v>
      </c>
      <c r="O82" s="102">
        <f t="shared" si="69"/>
        <v>590480.92758111132</v>
      </c>
      <c r="P82" s="102">
        <f t="shared" si="55"/>
        <v>1.0064340301100034</v>
      </c>
      <c r="Q82" s="102"/>
      <c r="R82" s="102">
        <f t="shared" si="70"/>
        <v>594085.01811421092</v>
      </c>
      <c r="S82" s="105">
        <f t="shared" si="56"/>
        <v>593291.44798736949</v>
      </c>
      <c r="U82" s="102">
        <f t="shared" si="57"/>
        <v>409519.07241888868</v>
      </c>
      <c r="W82" s="106"/>
      <c r="X82" s="107"/>
      <c r="Y82" s="107">
        <f t="shared" si="58"/>
        <v>39.031579346666682</v>
      </c>
      <c r="Z82" s="108">
        <f t="shared" si="59"/>
        <v>0</v>
      </c>
      <c r="AA82" s="107">
        <f t="shared" si="60"/>
        <v>0</v>
      </c>
      <c r="AB82" s="107">
        <f t="shared" si="61"/>
        <v>41.666666666666664</v>
      </c>
      <c r="AC82" s="107">
        <f t="shared" si="62"/>
        <v>122.59977230540478</v>
      </c>
      <c r="AD82" s="107">
        <f t="shared" si="63"/>
        <v>672.51705664529788</v>
      </c>
      <c r="AE82" s="107">
        <f t="shared" si="64"/>
        <v>78.46385427545907</v>
      </c>
      <c r="AF82" s="107">
        <f t="shared" si="65"/>
        <v>0</v>
      </c>
      <c r="AG82" s="109">
        <f t="shared" si="66"/>
        <v>0.1905508652813582</v>
      </c>
      <c r="AH82" s="110">
        <f t="shared" si="67"/>
        <v>719.47861286052489</v>
      </c>
    </row>
    <row r="83" spans="5:34" x14ac:dyDescent="0.2">
      <c r="E83" s="99">
        <f t="shared" si="68"/>
        <v>72</v>
      </c>
      <c r="F83" s="26">
        <f t="shared" si="71"/>
        <v>6</v>
      </c>
      <c r="G83" s="26">
        <f t="shared" si="48"/>
        <v>45</v>
      </c>
      <c r="H83" s="100">
        <f t="shared" si="49"/>
        <v>0</v>
      </c>
      <c r="I83" s="101">
        <f t="shared" si="50"/>
        <v>0</v>
      </c>
      <c r="J83" s="101">
        <f t="shared" si="51"/>
        <v>0</v>
      </c>
      <c r="K83" s="101">
        <f t="shared" si="52"/>
        <v>0</v>
      </c>
      <c r="L83" s="102">
        <f t="shared" si="53"/>
        <v>41.666666666666664</v>
      </c>
      <c r="M83" s="103">
        <f>VLOOKUP(G83,'Q.3-Data'!$B$2:$C$118,2,0)*U83*$B$19/12</f>
        <v>121.75837275878126</v>
      </c>
      <c r="N83" s="103">
        <f t="shared" si="54"/>
        <v>675.72022785239164</v>
      </c>
      <c r="O83" s="102">
        <f t="shared" si="69"/>
        <v>593291.44798736949</v>
      </c>
      <c r="P83" s="102">
        <f t="shared" si="55"/>
        <v>1.0064340301100034</v>
      </c>
      <c r="Q83" s="102"/>
      <c r="R83" s="102">
        <f t="shared" si="70"/>
        <v>596914.62073288905</v>
      </c>
      <c r="S83" s="105">
        <f t="shared" si="56"/>
        <v>596117.27086402324</v>
      </c>
      <c r="U83" s="102">
        <f t="shared" si="57"/>
        <v>406708.55201263051</v>
      </c>
      <c r="W83" s="106"/>
      <c r="X83" s="107"/>
      <c r="Y83" s="107">
        <f t="shared" si="58"/>
        <v>39.031579346666682</v>
      </c>
      <c r="Z83" s="108">
        <f t="shared" si="59"/>
        <v>0</v>
      </c>
      <c r="AA83" s="107">
        <f t="shared" si="60"/>
        <v>0</v>
      </c>
      <c r="AB83" s="107">
        <f t="shared" si="61"/>
        <v>41.666666666666664</v>
      </c>
      <c r="AC83" s="107">
        <f t="shared" si="62"/>
        <v>121.75837275878126</v>
      </c>
      <c r="AD83" s="107">
        <f t="shared" si="63"/>
        <v>675.72022785239164</v>
      </c>
      <c r="AE83" s="107">
        <f t="shared" si="64"/>
        <v>77.925358565620016</v>
      </c>
      <c r="AF83" s="107">
        <f t="shared" si="65"/>
        <v>0</v>
      </c>
      <c r="AG83" s="109">
        <f t="shared" si="66"/>
        <v>0.1893167975557562</v>
      </c>
      <c r="AH83" s="110">
        <f t="shared" si="67"/>
        <v>722.37764616310869</v>
      </c>
    </row>
    <row r="84" spans="5:34" x14ac:dyDescent="0.2">
      <c r="E84" s="99">
        <f t="shared" si="68"/>
        <v>73</v>
      </c>
      <c r="F84" s="26">
        <f t="shared" si="71"/>
        <v>7</v>
      </c>
      <c r="G84" s="26">
        <f t="shared" si="48"/>
        <v>46</v>
      </c>
      <c r="H84" s="100">
        <f t="shared" si="49"/>
        <v>0</v>
      </c>
      <c r="I84" s="101">
        <f t="shared" si="50"/>
        <v>0</v>
      </c>
      <c r="J84" s="101">
        <f t="shared" si="51"/>
        <v>0</v>
      </c>
      <c r="K84" s="101">
        <f t="shared" si="52"/>
        <v>0</v>
      </c>
      <c r="L84" s="102">
        <f t="shared" si="53"/>
        <v>41.666666666666664</v>
      </c>
      <c r="M84" s="103">
        <f>VLOOKUP(G84,'Q.3-Data'!$B$2:$C$118,2,0)*U84*$B$19/12</f>
        <v>134.50136302580395</v>
      </c>
      <c r="N84" s="103">
        <f t="shared" si="54"/>
        <v>678.92257065987553</v>
      </c>
      <c r="O84" s="102">
        <f t="shared" si="69"/>
        <v>596117.27086402324</v>
      </c>
      <c r="P84" s="102">
        <f t="shared" si="55"/>
        <v>1.0064340301100034</v>
      </c>
      <c r="Q84" s="102"/>
      <c r="R84" s="102">
        <f t="shared" si="70"/>
        <v>599743.49156373751</v>
      </c>
      <c r="S84" s="105">
        <f t="shared" si="56"/>
        <v>598942.36293035885</v>
      </c>
      <c r="U84" s="102">
        <f t="shared" si="57"/>
        <v>403882.72913597676</v>
      </c>
      <c r="W84" s="106"/>
      <c r="X84" s="107"/>
      <c r="Y84" s="107">
        <f t="shared" si="58"/>
        <v>41.373474107466684</v>
      </c>
      <c r="Z84" s="108">
        <f t="shared" si="59"/>
        <v>0</v>
      </c>
      <c r="AA84" s="107">
        <f t="shared" si="60"/>
        <v>0</v>
      </c>
      <c r="AB84" s="107">
        <f t="shared" si="61"/>
        <v>41.666666666666664</v>
      </c>
      <c r="AC84" s="107">
        <f t="shared" si="62"/>
        <v>134.50136302580395</v>
      </c>
      <c r="AD84" s="107">
        <f t="shared" si="63"/>
        <v>678.92257065987553</v>
      </c>
      <c r="AE84" s="107">
        <f t="shared" si="64"/>
        <v>86.080872336514531</v>
      </c>
      <c r="AF84" s="107">
        <f t="shared" si="65"/>
        <v>0</v>
      </c>
      <c r="AG84" s="109">
        <f t="shared" si="66"/>
        <v>0.19846557551178301</v>
      </c>
      <c r="AH84" s="110">
        <f t="shared" si="67"/>
        <v>727.83471948387682</v>
      </c>
    </row>
    <row r="85" spans="5:34" x14ac:dyDescent="0.2">
      <c r="E85" s="99">
        <f t="shared" si="68"/>
        <v>74</v>
      </c>
      <c r="F85" s="26">
        <f t="shared" si="71"/>
        <v>7</v>
      </c>
      <c r="G85" s="26">
        <f t="shared" si="48"/>
        <v>46</v>
      </c>
      <c r="H85" s="100">
        <f t="shared" si="49"/>
        <v>0</v>
      </c>
      <c r="I85" s="101">
        <f t="shared" si="50"/>
        <v>0</v>
      </c>
      <c r="J85" s="101">
        <f t="shared" si="51"/>
        <v>0</v>
      </c>
      <c r="K85" s="101">
        <f t="shared" si="52"/>
        <v>0</v>
      </c>
      <c r="L85" s="102">
        <f t="shared" si="53"/>
        <v>41.666666666666664</v>
      </c>
      <c r="M85" s="103">
        <f>VLOOKUP(G85,'Q.3-Data'!$B$2:$C$118,2,0)*U85*$B$19/12</f>
        <v>133.56054851162943</v>
      </c>
      <c r="N85" s="103">
        <f t="shared" si="54"/>
        <v>682.14247708413438</v>
      </c>
      <c r="O85" s="102">
        <f t="shared" si="69"/>
        <v>598942.36293035885</v>
      </c>
      <c r="P85" s="102">
        <f t="shared" si="55"/>
        <v>1.0064340301100034</v>
      </c>
      <c r="Q85" s="102"/>
      <c r="R85" s="102">
        <f t="shared" si="70"/>
        <v>602587.87766142841</v>
      </c>
      <c r="S85" s="105">
        <f t="shared" si="56"/>
        <v>601782.94953846908</v>
      </c>
      <c r="U85" s="102">
        <f t="shared" si="57"/>
        <v>401057.63706964115</v>
      </c>
      <c r="W85" s="106"/>
      <c r="X85" s="107"/>
      <c r="Y85" s="107">
        <f t="shared" si="58"/>
        <v>41.373474107466684</v>
      </c>
      <c r="Z85" s="108">
        <f t="shared" si="59"/>
        <v>0</v>
      </c>
      <c r="AA85" s="107">
        <f t="shared" si="60"/>
        <v>0</v>
      </c>
      <c r="AB85" s="107">
        <f t="shared" si="61"/>
        <v>41.666666666666664</v>
      </c>
      <c r="AC85" s="107">
        <f t="shared" si="62"/>
        <v>133.56054851162943</v>
      </c>
      <c r="AD85" s="107">
        <f t="shared" si="63"/>
        <v>682.14247708413438</v>
      </c>
      <c r="AE85" s="107">
        <f t="shared" si="64"/>
        <v>85.478751047442842</v>
      </c>
      <c r="AF85" s="107">
        <f t="shared" si="65"/>
        <v>0</v>
      </c>
      <c r="AG85" s="109">
        <f t="shared" si="66"/>
        <v>0.19708569738803106</v>
      </c>
      <c r="AH85" s="110">
        <f t="shared" si="67"/>
        <v>730.71455280490898</v>
      </c>
    </row>
    <row r="86" spans="5:34" x14ac:dyDescent="0.2">
      <c r="E86" s="99">
        <f t="shared" si="68"/>
        <v>75</v>
      </c>
      <c r="F86" s="26">
        <f t="shared" si="71"/>
        <v>7</v>
      </c>
      <c r="G86" s="26">
        <f t="shared" si="48"/>
        <v>46</v>
      </c>
      <c r="H86" s="100">
        <f t="shared" si="49"/>
        <v>0</v>
      </c>
      <c r="I86" s="101">
        <f t="shared" si="50"/>
        <v>0</v>
      </c>
      <c r="J86" s="101">
        <f t="shared" si="51"/>
        <v>0</v>
      </c>
      <c r="K86" s="101">
        <f t="shared" si="52"/>
        <v>0</v>
      </c>
      <c r="L86" s="102">
        <f t="shared" si="53"/>
        <v>41.666666666666664</v>
      </c>
      <c r="M86" s="103">
        <f>VLOOKUP(G86,'Q.3-Data'!$B$2:$C$118,2,0)*U86*$B$19/12</f>
        <v>132.61457399224108</v>
      </c>
      <c r="N86" s="103">
        <f t="shared" si="54"/>
        <v>685.38004345484057</v>
      </c>
      <c r="O86" s="102">
        <f t="shared" si="69"/>
        <v>601782.94953846908</v>
      </c>
      <c r="P86" s="102">
        <f t="shared" si="55"/>
        <v>1.0064340301100034</v>
      </c>
      <c r="Q86" s="102"/>
      <c r="R86" s="102">
        <f t="shared" si="70"/>
        <v>605447.86412122368</v>
      </c>
      <c r="S86" s="105">
        <f t="shared" si="56"/>
        <v>604639.115669947</v>
      </c>
      <c r="U86" s="102">
        <f t="shared" si="57"/>
        <v>398217.05046153092</v>
      </c>
      <c r="W86" s="106"/>
      <c r="X86" s="107"/>
      <c r="Y86" s="107">
        <f t="shared" si="58"/>
        <v>41.373474107466684</v>
      </c>
      <c r="Z86" s="108">
        <f t="shared" si="59"/>
        <v>0</v>
      </c>
      <c r="AA86" s="107">
        <f t="shared" si="60"/>
        <v>0</v>
      </c>
      <c r="AB86" s="107">
        <f t="shared" si="61"/>
        <v>41.666666666666664</v>
      </c>
      <c r="AC86" s="107">
        <f t="shared" si="62"/>
        <v>132.61457399224108</v>
      </c>
      <c r="AD86" s="107">
        <f t="shared" si="63"/>
        <v>685.38004345484057</v>
      </c>
      <c r="AE86" s="107">
        <f t="shared" si="64"/>
        <v>84.873327355034291</v>
      </c>
      <c r="AF86" s="107">
        <f t="shared" si="65"/>
        <v>0</v>
      </c>
      <c r="AG86" s="109">
        <f t="shared" si="66"/>
        <v>0.19569825116429151</v>
      </c>
      <c r="AH86" s="110">
        <f t="shared" si="67"/>
        <v>733.61018090241168</v>
      </c>
    </row>
    <row r="87" spans="5:34" x14ac:dyDescent="0.2">
      <c r="E87" s="99">
        <f t="shared" si="68"/>
        <v>76</v>
      </c>
      <c r="F87" s="26">
        <f t="shared" si="71"/>
        <v>7</v>
      </c>
      <c r="G87" s="26">
        <f t="shared" si="48"/>
        <v>46</v>
      </c>
      <c r="H87" s="100">
        <f t="shared" si="49"/>
        <v>0</v>
      </c>
      <c r="I87" s="101">
        <f t="shared" si="50"/>
        <v>0</v>
      </c>
      <c r="J87" s="101">
        <f t="shared" si="51"/>
        <v>0</v>
      </c>
      <c r="K87" s="101">
        <f t="shared" si="52"/>
        <v>0</v>
      </c>
      <c r="L87" s="102">
        <f t="shared" si="53"/>
        <v>41.666666666666664</v>
      </c>
      <c r="M87" s="103">
        <f>VLOOKUP(G87,'Q.3-Data'!$B$2:$C$118,2,0)*U87*$B$19/12</f>
        <v>131.66341116699786</v>
      </c>
      <c r="N87" s="103">
        <f t="shared" si="54"/>
        <v>688.63536662999809</v>
      </c>
      <c r="O87" s="102">
        <f t="shared" si="69"/>
        <v>604639.115669947</v>
      </c>
      <c r="P87" s="102">
        <f t="shared" si="55"/>
        <v>1.0064340301100034</v>
      </c>
      <c r="Q87" s="102"/>
      <c r="R87" s="102">
        <f t="shared" si="70"/>
        <v>608323.53650510067</v>
      </c>
      <c r="S87" s="105">
        <f t="shared" si="56"/>
        <v>607510.94677247724</v>
      </c>
      <c r="U87" s="102">
        <f t="shared" si="57"/>
        <v>395360.884330053</v>
      </c>
      <c r="W87" s="106"/>
      <c r="X87" s="107"/>
      <c r="Y87" s="107">
        <f t="shared" si="58"/>
        <v>41.373474107466684</v>
      </c>
      <c r="Z87" s="108">
        <f t="shared" si="59"/>
        <v>0</v>
      </c>
      <c r="AA87" s="107">
        <f t="shared" si="60"/>
        <v>0</v>
      </c>
      <c r="AB87" s="107">
        <f t="shared" si="61"/>
        <v>41.666666666666664</v>
      </c>
      <c r="AC87" s="107">
        <f t="shared" si="62"/>
        <v>131.66341116699786</v>
      </c>
      <c r="AD87" s="107">
        <f t="shared" si="63"/>
        <v>688.63536662999809</v>
      </c>
      <c r="AE87" s="107">
        <f t="shared" si="64"/>
        <v>84.264583146878635</v>
      </c>
      <c r="AF87" s="107">
        <f t="shared" si="65"/>
        <v>0</v>
      </c>
      <c r="AG87" s="109">
        <f t="shared" si="66"/>
        <v>0.19430319533245111</v>
      </c>
      <c r="AH87" s="110">
        <f t="shared" si="67"/>
        <v>736.52169040464969</v>
      </c>
    </row>
    <row r="88" spans="5:34" x14ac:dyDescent="0.2">
      <c r="E88" s="99">
        <f t="shared" si="68"/>
        <v>77</v>
      </c>
      <c r="F88" s="26">
        <f t="shared" si="71"/>
        <v>7</v>
      </c>
      <c r="G88" s="26">
        <f t="shared" si="48"/>
        <v>46</v>
      </c>
      <c r="H88" s="100">
        <f t="shared" si="49"/>
        <v>0</v>
      </c>
      <c r="I88" s="101">
        <f t="shared" si="50"/>
        <v>0</v>
      </c>
      <c r="J88" s="101">
        <f t="shared" si="51"/>
        <v>0</v>
      </c>
      <c r="K88" s="101">
        <f t="shared" si="52"/>
        <v>0</v>
      </c>
      <c r="L88" s="102">
        <f t="shared" si="53"/>
        <v>41.666666666666664</v>
      </c>
      <c r="M88" s="103">
        <f>VLOOKUP(G88,'Q.3-Data'!$B$2:$C$118,2,0)*U88*$B$19/12</f>
        <v>130.70703158004065</v>
      </c>
      <c r="N88" s="103">
        <f t="shared" si="54"/>
        <v>691.9085439988396</v>
      </c>
      <c r="O88" s="102">
        <f t="shared" si="69"/>
        <v>607510.94677247724</v>
      </c>
      <c r="P88" s="102">
        <f t="shared" si="55"/>
        <v>1.0064340301100034</v>
      </c>
      <c r="Q88" s="102"/>
      <c r="R88" s="102">
        <f t="shared" si="70"/>
        <v>611214.9808443106</v>
      </c>
      <c r="S88" s="105">
        <f t="shared" si="56"/>
        <v>610398.528762392</v>
      </c>
      <c r="U88" s="102">
        <f t="shared" si="57"/>
        <v>392489.05322752276</v>
      </c>
      <c r="W88" s="106"/>
      <c r="X88" s="107"/>
      <c r="Y88" s="107">
        <f t="shared" si="58"/>
        <v>41.373474107466684</v>
      </c>
      <c r="Z88" s="108">
        <f t="shared" si="59"/>
        <v>0</v>
      </c>
      <c r="AA88" s="107">
        <f t="shared" si="60"/>
        <v>0</v>
      </c>
      <c r="AB88" s="107">
        <f t="shared" si="61"/>
        <v>41.666666666666664</v>
      </c>
      <c r="AC88" s="107">
        <f t="shared" si="62"/>
        <v>130.70703158004065</v>
      </c>
      <c r="AD88" s="107">
        <f t="shared" si="63"/>
        <v>691.9085439988396</v>
      </c>
      <c r="AE88" s="107">
        <f t="shared" si="64"/>
        <v>83.652500211226027</v>
      </c>
      <c r="AF88" s="107">
        <f t="shared" si="65"/>
        <v>0</v>
      </c>
      <c r="AG88" s="109">
        <f t="shared" si="66"/>
        <v>0.19290048815674055</v>
      </c>
      <c r="AH88" s="110">
        <f t="shared" si="67"/>
        <v>739.44916841501094</v>
      </c>
    </row>
    <row r="89" spans="5:34" x14ac:dyDescent="0.2">
      <c r="E89" s="99">
        <f t="shared" si="68"/>
        <v>78</v>
      </c>
      <c r="F89" s="26">
        <f t="shared" si="71"/>
        <v>7</v>
      </c>
      <c r="G89" s="26">
        <f t="shared" si="48"/>
        <v>46</v>
      </c>
      <c r="H89" s="100">
        <f t="shared" si="49"/>
        <v>0</v>
      </c>
      <c r="I89" s="101">
        <f t="shared" si="50"/>
        <v>0</v>
      </c>
      <c r="J89" s="101">
        <f t="shared" si="51"/>
        <v>0</v>
      </c>
      <c r="K89" s="101">
        <f t="shared" si="52"/>
        <v>0</v>
      </c>
      <c r="L89" s="102">
        <f t="shared" si="53"/>
        <v>41.666666666666664</v>
      </c>
      <c r="M89" s="103">
        <f>VLOOKUP(G89,'Q.3-Data'!$B$2:$C$118,2,0)*U89*$B$19/12</f>
        <v>129.74540661944093</v>
      </c>
      <c r="N89" s="103">
        <f t="shared" si="54"/>
        <v>695.19967348473995</v>
      </c>
      <c r="O89" s="102">
        <f t="shared" si="69"/>
        <v>610398.528762392</v>
      </c>
      <c r="P89" s="102">
        <f t="shared" si="55"/>
        <v>1.0064340301100034</v>
      </c>
      <c r="Q89" s="102"/>
      <c r="R89" s="102">
        <f t="shared" si="70"/>
        <v>614122.28364195337</v>
      </c>
      <c r="S89" s="105">
        <f t="shared" si="56"/>
        <v>613301.94802724139</v>
      </c>
      <c r="U89" s="102">
        <f t="shared" si="57"/>
        <v>389601.471237608</v>
      </c>
      <c r="W89" s="106"/>
      <c r="X89" s="107"/>
      <c r="Y89" s="107">
        <f t="shared" si="58"/>
        <v>41.373474107466684</v>
      </c>
      <c r="Z89" s="108">
        <f t="shared" si="59"/>
        <v>0</v>
      </c>
      <c r="AA89" s="107">
        <f t="shared" si="60"/>
        <v>0</v>
      </c>
      <c r="AB89" s="107">
        <f t="shared" si="61"/>
        <v>41.666666666666664</v>
      </c>
      <c r="AC89" s="107">
        <f t="shared" si="62"/>
        <v>129.74540661944093</v>
      </c>
      <c r="AD89" s="107">
        <f t="shared" si="63"/>
        <v>695.19967348473995</v>
      </c>
      <c r="AE89" s="107">
        <f t="shared" si="64"/>
        <v>83.037060236442201</v>
      </c>
      <c r="AF89" s="107">
        <f t="shared" si="65"/>
        <v>0</v>
      </c>
      <c r="AG89" s="109">
        <f t="shared" si="66"/>
        <v>0.19149008767248596</v>
      </c>
      <c r="AH89" s="110">
        <f t="shared" si="67"/>
        <v>742.39270251461107</v>
      </c>
    </row>
    <row r="90" spans="5:34" x14ac:dyDescent="0.2">
      <c r="E90" s="99">
        <f t="shared" si="68"/>
        <v>79</v>
      </c>
      <c r="F90" s="26">
        <f t="shared" si="71"/>
        <v>7</v>
      </c>
      <c r="G90" s="26">
        <f t="shared" si="48"/>
        <v>46</v>
      </c>
      <c r="H90" s="100">
        <f t="shared" si="49"/>
        <v>0</v>
      </c>
      <c r="I90" s="101">
        <f t="shared" si="50"/>
        <v>0</v>
      </c>
      <c r="J90" s="101">
        <f t="shared" si="51"/>
        <v>0</v>
      </c>
      <c r="K90" s="101">
        <f t="shared" si="52"/>
        <v>0</v>
      </c>
      <c r="L90" s="102">
        <f t="shared" si="53"/>
        <v>41.666666666666664</v>
      </c>
      <c r="M90" s="103">
        <f>VLOOKUP(G90,'Q.3-Data'!$B$2:$C$118,2,0)*U90*$B$19/12</f>
        <v>128.77850751634472</v>
      </c>
      <c r="N90" s="103">
        <f t="shared" si="54"/>
        <v>698.50885354814613</v>
      </c>
      <c r="O90" s="102">
        <f t="shared" si="69"/>
        <v>613301.94802724139</v>
      </c>
      <c r="P90" s="102">
        <f t="shared" si="55"/>
        <v>1.0064340301100034</v>
      </c>
      <c r="Q90" s="102"/>
      <c r="R90" s="102">
        <f t="shared" si="70"/>
        <v>617045.53187556472</v>
      </c>
      <c r="S90" s="105">
        <f t="shared" si="56"/>
        <v>616221.29142837785</v>
      </c>
      <c r="U90" s="102">
        <f t="shared" si="57"/>
        <v>386698.05197275861</v>
      </c>
      <c r="W90" s="106"/>
      <c r="X90" s="107"/>
      <c r="Y90" s="107">
        <f t="shared" si="58"/>
        <v>41.373474107466684</v>
      </c>
      <c r="Z90" s="108">
        <f t="shared" si="59"/>
        <v>0</v>
      </c>
      <c r="AA90" s="107">
        <f t="shared" si="60"/>
        <v>0</v>
      </c>
      <c r="AB90" s="107">
        <f t="shared" si="61"/>
        <v>41.666666666666664</v>
      </c>
      <c r="AC90" s="107">
        <f t="shared" si="62"/>
        <v>128.77850751634472</v>
      </c>
      <c r="AD90" s="107">
        <f t="shared" si="63"/>
        <v>698.50885354814613</v>
      </c>
      <c r="AE90" s="107">
        <f t="shared" si="64"/>
        <v>82.418244810460635</v>
      </c>
      <c r="AF90" s="107">
        <f t="shared" si="65"/>
        <v>0</v>
      </c>
      <c r="AG90" s="109">
        <f t="shared" si="66"/>
        <v>0.19007195168485347</v>
      </c>
      <c r="AH90" s="110">
        <f t="shared" si="67"/>
        <v>745.3523807649151</v>
      </c>
    </row>
    <row r="91" spans="5:34" x14ac:dyDescent="0.2">
      <c r="E91" s="99">
        <f t="shared" si="68"/>
        <v>80</v>
      </c>
      <c r="F91" s="26">
        <f t="shared" si="71"/>
        <v>7</v>
      </c>
      <c r="G91" s="26">
        <f t="shared" si="48"/>
        <v>46</v>
      </c>
      <c r="H91" s="100">
        <f t="shared" si="49"/>
        <v>0</v>
      </c>
      <c r="I91" s="101">
        <f t="shared" si="50"/>
        <v>0</v>
      </c>
      <c r="J91" s="101">
        <f t="shared" si="51"/>
        <v>0</v>
      </c>
      <c r="K91" s="101">
        <f t="shared" si="52"/>
        <v>0</v>
      </c>
      <c r="L91" s="102">
        <f t="shared" si="53"/>
        <v>41.666666666666664</v>
      </c>
      <c r="M91" s="103">
        <f>VLOOKUP(G91,'Q.3-Data'!$B$2:$C$118,2,0)*U91*$B$19/12</f>
        <v>127.80630534411209</v>
      </c>
      <c r="N91" s="103">
        <f t="shared" si="54"/>
        <v>701.83618318952279</v>
      </c>
      <c r="O91" s="102">
        <f t="shared" si="69"/>
        <v>616221.29142837785</v>
      </c>
      <c r="P91" s="102">
        <f t="shared" si="55"/>
        <v>1.0064340301100034</v>
      </c>
      <c r="Q91" s="102"/>
      <c r="R91" s="102">
        <f t="shared" si="70"/>
        <v>619984.81299971882</v>
      </c>
      <c r="S91" s="105">
        <f t="shared" si="56"/>
        <v>619156.64630355523</v>
      </c>
      <c r="U91" s="102">
        <f t="shared" si="57"/>
        <v>383778.70857162215</v>
      </c>
      <c r="W91" s="106"/>
      <c r="X91" s="107"/>
      <c r="Y91" s="107">
        <f t="shared" si="58"/>
        <v>41.373474107466684</v>
      </c>
      <c r="Z91" s="108">
        <f t="shared" si="59"/>
        <v>0</v>
      </c>
      <c r="AA91" s="107">
        <f t="shared" si="60"/>
        <v>0</v>
      </c>
      <c r="AB91" s="107">
        <f t="shared" si="61"/>
        <v>41.666666666666664</v>
      </c>
      <c r="AC91" s="107">
        <f t="shared" si="62"/>
        <v>127.80630534411209</v>
      </c>
      <c r="AD91" s="107">
        <f t="shared" si="63"/>
        <v>701.83618318952279</v>
      </c>
      <c r="AE91" s="107">
        <f t="shared" si="64"/>
        <v>81.796035420231746</v>
      </c>
      <c r="AF91" s="107">
        <f t="shared" si="65"/>
        <v>0</v>
      </c>
      <c r="AG91" s="109">
        <f t="shared" si="66"/>
        <v>0.18864603776758679</v>
      </c>
      <c r="AH91" s="110">
        <f t="shared" si="67"/>
        <v>748.32829171037076</v>
      </c>
    </row>
    <row r="92" spans="5:34" x14ac:dyDescent="0.2">
      <c r="E92" s="99">
        <f t="shared" si="68"/>
        <v>81</v>
      </c>
      <c r="F92" s="26">
        <f t="shared" si="71"/>
        <v>7</v>
      </c>
      <c r="G92" s="26">
        <f t="shared" si="48"/>
        <v>46</v>
      </c>
      <c r="H92" s="100">
        <f t="shared" si="49"/>
        <v>0</v>
      </c>
      <c r="I92" s="101">
        <f t="shared" si="50"/>
        <v>0</v>
      </c>
      <c r="J92" s="101">
        <f t="shared" si="51"/>
        <v>0</v>
      </c>
      <c r="K92" s="101">
        <f t="shared" si="52"/>
        <v>0</v>
      </c>
      <c r="L92" s="102">
        <f t="shared" si="53"/>
        <v>41.666666666666664</v>
      </c>
      <c r="M92" s="103">
        <f>VLOOKUP(G92,'Q.3-Data'!$B$2:$C$118,2,0)*U92*$B$19/12</f>
        <v>126.82877101745146</v>
      </c>
      <c r="N92" s="103">
        <f t="shared" si="54"/>
        <v>705.18176195231433</v>
      </c>
      <c r="O92" s="102">
        <f t="shared" si="69"/>
        <v>619156.64630355523</v>
      </c>
      <c r="P92" s="102">
        <f t="shared" si="55"/>
        <v>1.0064340301100034</v>
      </c>
      <c r="Q92" s="102"/>
      <c r="R92" s="102">
        <f t="shared" si="70"/>
        <v>622940.21494864486</v>
      </c>
      <c r="S92" s="105">
        <f t="shared" si="56"/>
        <v>622108.10046954115</v>
      </c>
      <c r="U92" s="102">
        <f t="shared" si="57"/>
        <v>380843.35369644477</v>
      </c>
      <c r="W92" s="106"/>
      <c r="X92" s="107"/>
      <c r="Y92" s="107">
        <f t="shared" si="58"/>
        <v>41.373474107466684</v>
      </c>
      <c r="Z92" s="108">
        <f t="shared" si="59"/>
        <v>0</v>
      </c>
      <c r="AA92" s="107">
        <f t="shared" si="60"/>
        <v>0</v>
      </c>
      <c r="AB92" s="107">
        <f t="shared" si="61"/>
        <v>41.666666666666664</v>
      </c>
      <c r="AC92" s="107">
        <f t="shared" si="62"/>
        <v>126.82877101745146</v>
      </c>
      <c r="AD92" s="107">
        <f t="shared" si="63"/>
        <v>705.18176195231433</v>
      </c>
      <c r="AE92" s="107">
        <f t="shared" si="64"/>
        <v>81.17041345116894</v>
      </c>
      <c r="AF92" s="107">
        <f t="shared" si="65"/>
        <v>0</v>
      </c>
      <c r="AG92" s="109">
        <f t="shared" si="66"/>
        <v>0.18721230326173774</v>
      </c>
      <c r="AH92" s="110">
        <f t="shared" si="67"/>
        <v>751.32052438105848</v>
      </c>
    </row>
    <row r="93" spans="5:34" x14ac:dyDescent="0.2">
      <c r="E93" s="99">
        <f t="shared" si="68"/>
        <v>82</v>
      </c>
      <c r="F93" s="26">
        <f t="shared" si="71"/>
        <v>7</v>
      </c>
      <c r="G93" s="26">
        <f t="shared" si="48"/>
        <v>46</v>
      </c>
      <c r="H93" s="100">
        <f t="shared" si="49"/>
        <v>0</v>
      </c>
      <c r="I93" s="101">
        <f t="shared" si="50"/>
        <v>0</v>
      </c>
      <c r="J93" s="101">
        <f t="shared" si="51"/>
        <v>0</v>
      </c>
      <c r="K93" s="101">
        <f t="shared" si="52"/>
        <v>0</v>
      </c>
      <c r="L93" s="102">
        <f t="shared" si="53"/>
        <v>41.666666666666664</v>
      </c>
      <c r="M93" s="103">
        <f>VLOOKUP(G93,'Q.3-Data'!$B$2:$C$118,2,0)*U93*$B$19/12</f>
        <v>125.84587529154969</v>
      </c>
      <c r="N93" s="103">
        <f t="shared" si="54"/>
        <v>708.54568992592181</v>
      </c>
      <c r="O93" s="102">
        <f t="shared" si="69"/>
        <v>622108.10046954115</v>
      </c>
      <c r="P93" s="102">
        <f t="shared" si="55"/>
        <v>1.0064340301100034</v>
      </c>
      <c r="Q93" s="102"/>
      <c r="R93" s="102">
        <f t="shared" si="70"/>
        <v>625911.8261388567</v>
      </c>
      <c r="S93" s="105">
        <f t="shared" si="56"/>
        <v>625075.74222474417</v>
      </c>
      <c r="U93" s="102">
        <f t="shared" si="57"/>
        <v>377891.89953045885</v>
      </c>
      <c r="W93" s="106"/>
      <c r="X93" s="107"/>
      <c r="Y93" s="107">
        <f t="shared" si="58"/>
        <v>41.373474107466684</v>
      </c>
      <c r="Z93" s="108">
        <f t="shared" si="59"/>
        <v>0</v>
      </c>
      <c r="AA93" s="107">
        <f t="shared" si="60"/>
        <v>0</v>
      </c>
      <c r="AB93" s="107">
        <f t="shared" si="61"/>
        <v>41.666666666666664</v>
      </c>
      <c r="AC93" s="107">
        <f t="shared" si="62"/>
        <v>125.84587529154969</v>
      </c>
      <c r="AD93" s="107">
        <f t="shared" si="63"/>
        <v>708.54568992592181</v>
      </c>
      <c r="AE93" s="107">
        <f t="shared" si="64"/>
        <v>80.541360186591817</v>
      </c>
      <c r="AF93" s="107">
        <f t="shared" si="65"/>
        <v>0</v>
      </c>
      <c r="AG93" s="109">
        <f t="shared" si="66"/>
        <v>0.18577070527439038</v>
      </c>
      <c r="AH93" s="110">
        <f t="shared" si="67"/>
        <v>754.32916829535407</v>
      </c>
    </row>
    <row r="94" spans="5:34" x14ac:dyDescent="0.2">
      <c r="E94" s="99">
        <f t="shared" si="68"/>
        <v>83</v>
      </c>
      <c r="F94" s="26">
        <f t="shared" si="71"/>
        <v>7</v>
      </c>
      <c r="G94" s="26">
        <f t="shared" si="48"/>
        <v>46</v>
      </c>
      <c r="H94" s="100">
        <f t="shared" si="49"/>
        <v>0</v>
      </c>
      <c r="I94" s="101">
        <f t="shared" si="50"/>
        <v>0</v>
      </c>
      <c r="J94" s="101">
        <f t="shared" si="51"/>
        <v>0</v>
      </c>
      <c r="K94" s="101">
        <f t="shared" si="52"/>
        <v>0</v>
      </c>
      <c r="L94" s="102">
        <f t="shared" si="53"/>
        <v>41.666666666666664</v>
      </c>
      <c r="M94" s="103">
        <f>VLOOKUP(G94,'Q.3-Data'!$B$2:$C$118,2,0)*U94*$B$19/12</f>
        <v>124.85758876119718</v>
      </c>
      <c r="N94" s="103">
        <f t="shared" si="54"/>
        <v>711.92806774869894</v>
      </c>
      <c r="O94" s="102">
        <f t="shared" si="69"/>
        <v>625075.74222474417</v>
      </c>
      <c r="P94" s="102">
        <f t="shared" si="55"/>
        <v>1.0064340301100034</v>
      </c>
      <c r="Q94" s="102"/>
      <c r="R94" s="102">
        <f t="shared" si="70"/>
        <v>628899.73547179939</v>
      </c>
      <c r="S94" s="105">
        <f t="shared" si="56"/>
        <v>628059.66035185591</v>
      </c>
      <c r="U94" s="102">
        <f t="shared" si="57"/>
        <v>374924.25777525583</v>
      </c>
      <c r="W94" s="106"/>
      <c r="X94" s="107"/>
      <c r="Y94" s="107">
        <f t="shared" si="58"/>
        <v>41.373474107466684</v>
      </c>
      <c r="Z94" s="108">
        <f t="shared" si="59"/>
        <v>0</v>
      </c>
      <c r="AA94" s="107">
        <f t="shared" si="60"/>
        <v>0</v>
      </c>
      <c r="AB94" s="107">
        <f t="shared" si="61"/>
        <v>41.666666666666664</v>
      </c>
      <c r="AC94" s="107">
        <f t="shared" si="62"/>
        <v>124.85758876119718</v>
      </c>
      <c r="AD94" s="107">
        <f t="shared" si="63"/>
        <v>711.92806774869894</v>
      </c>
      <c r="AE94" s="107">
        <f t="shared" si="64"/>
        <v>79.908856807166202</v>
      </c>
      <c r="AF94" s="107">
        <f t="shared" si="65"/>
        <v>0</v>
      </c>
      <c r="AG94" s="109">
        <f t="shared" si="66"/>
        <v>0.18432120067737764</v>
      </c>
      <c r="AH94" s="110">
        <f t="shared" si="67"/>
        <v>757.35431346260725</v>
      </c>
    </row>
    <row r="95" spans="5:34" x14ac:dyDescent="0.2">
      <c r="E95" s="99">
        <f t="shared" si="68"/>
        <v>84</v>
      </c>
      <c r="F95" s="26">
        <f t="shared" si="71"/>
        <v>7</v>
      </c>
      <c r="G95" s="26">
        <f t="shared" si="48"/>
        <v>46</v>
      </c>
      <c r="H95" s="100">
        <f t="shared" si="49"/>
        <v>0</v>
      </c>
      <c r="I95" s="101">
        <f t="shared" si="50"/>
        <v>0</v>
      </c>
      <c r="J95" s="101">
        <f t="shared" si="51"/>
        <v>0</v>
      </c>
      <c r="K95" s="101">
        <f t="shared" si="52"/>
        <v>0</v>
      </c>
      <c r="L95" s="102">
        <f t="shared" si="53"/>
        <v>41.666666666666664</v>
      </c>
      <c r="M95" s="103">
        <f>VLOOKUP(G95,'Q.3-Data'!$B$2:$C$118,2,0)*U95*$B$19/12</f>
        <v>123.86388185990798</v>
      </c>
      <c r="N95" s="103">
        <f t="shared" si="54"/>
        <v>715.32899661096121</v>
      </c>
      <c r="O95" s="102">
        <f t="shared" si="69"/>
        <v>628059.66035185591</v>
      </c>
      <c r="P95" s="102">
        <f t="shared" si="55"/>
        <v>1.0064340301100034</v>
      </c>
      <c r="Q95" s="102"/>
      <c r="R95" s="102">
        <f t="shared" si="70"/>
        <v>631904.03233650757</v>
      </c>
      <c r="S95" s="105">
        <f t="shared" si="56"/>
        <v>631059.94412050664</v>
      </c>
      <c r="U95" s="102">
        <f t="shared" si="57"/>
        <v>371940.33964814409</v>
      </c>
      <c r="W95" s="106"/>
      <c r="X95" s="107"/>
      <c r="Y95" s="107">
        <f t="shared" si="58"/>
        <v>41.373474107466684</v>
      </c>
      <c r="Z95" s="108">
        <f t="shared" si="59"/>
        <v>0</v>
      </c>
      <c r="AA95" s="107">
        <f t="shared" si="60"/>
        <v>0</v>
      </c>
      <c r="AB95" s="107">
        <f t="shared" si="61"/>
        <v>41.666666666666664</v>
      </c>
      <c r="AC95" s="107">
        <f t="shared" si="62"/>
        <v>123.86388185990798</v>
      </c>
      <c r="AD95" s="107">
        <f t="shared" si="63"/>
        <v>715.32899661096121</v>
      </c>
      <c r="AE95" s="107">
        <f t="shared" si="64"/>
        <v>79.272884390341119</v>
      </c>
      <c r="AF95" s="107">
        <f t="shared" si="65"/>
        <v>0</v>
      </c>
      <c r="AG95" s="109">
        <f t="shared" si="66"/>
        <v>0.18286374610599132</v>
      </c>
      <c r="AH95" s="110">
        <f t="shared" si="67"/>
        <v>760.39605038583409</v>
      </c>
    </row>
    <row r="96" spans="5:34" x14ac:dyDescent="0.2">
      <c r="E96" s="99">
        <f t="shared" si="68"/>
        <v>85</v>
      </c>
      <c r="F96" s="26">
        <f t="shared" si="71"/>
        <v>8</v>
      </c>
      <c r="G96" s="26">
        <f t="shared" si="48"/>
        <v>47</v>
      </c>
      <c r="H96" s="100">
        <f t="shared" si="49"/>
        <v>0</v>
      </c>
      <c r="I96" s="101">
        <f t="shared" si="50"/>
        <v>0</v>
      </c>
      <c r="J96" s="101">
        <f t="shared" si="51"/>
        <v>0</v>
      </c>
      <c r="K96" s="101">
        <f t="shared" si="52"/>
        <v>0</v>
      </c>
      <c r="L96" s="102">
        <f t="shared" si="53"/>
        <v>41.666666666666664</v>
      </c>
      <c r="M96" s="103">
        <f>VLOOKUP(G96,'Q.3-Data'!$B$2:$C$118,2,0)*U96*$B$19/12</f>
        <v>137.08428951272424</v>
      </c>
      <c r="N96" s="103">
        <f t="shared" si="54"/>
        <v>718.72946176054052</v>
      </c>
      <c r="O96" s="102">
        <f t="shared" si="69"/>
        <v>631059.94412050664</v>
      </c>
      <c r="P96" s="102">
        <f t="shared" si="55"/>
        <v>1.0064340301100034</v>
      </c>
      <c r="Q96" s="102"/>
      <c r="R96" s="102">
        <f t="shared" si="70"/>
        <v>634907.91956884298</v>
      </c>
      <c r="S96" s="105">
        <f t="shared" si="56"/>
        <v>634059.81880396558</v>
      </c>
      <c r="U96" s="102">
        <f t="shared" si="57"/>
        <v>368940.05587949336</v>
      </c>
      <c r="W96" s="106"/>
      <c r="X96" s="107"/>
      <c r="Y96" s="107">
        <f t="shared" si="58"/>
        <v>43.855882553914689</v>
      </c>
      <c r="Z96" s="108">
        <f t="shared" si="59"/>
        <v>0</v>
      </c>
      <c r="AA96" s="107">
        <f t="shared" si="60"/>
        <v>0</v>
      </c>
      <c r="AB96" s="107">
        <f t="shared" si="61"/>
        <v>41.666666666666664</v>
      </c>
      <c r="AC96" s="107">
        <f t="shared" si="62"/>
        <v>137.08428951272424</v>
      </c>
      <c r="AD96" s="107">
        <f t="shared" si="63"/>
        <v>718.72946176054052</v>
      </c>
      <c r="AE96" s="107">
        <f t="shared" si="64"/>
        <v>87.733945288143516</v>
      </c>
      <c r="AF96" s="107">
        <f t="shared" si="65"/>
        <v>0</v>
      </c>
      <c r="AG96" s="109">
        <f t="shared" si="66"/>
        <v>0.19214027462281941</v>
      </c>
      <c r="AH96" s="110">
        <f t="shared" si="67"/>
        <v>766.08273037249603</v>
      </c>
    </row>
    <row r="97" spans="5:34" x14ac:dyDescent="0.2">
      <c r="E97" s="99">
        <f t="shared" si="68"/>
        <v>86</v>
      </c>
      <c r="F97" s="26">
        <f t="shared" si="71"/>
        <v>8</v>
      </c>
      <c r="G97" s="26">
        <f t="shared" si="48"/>
        <v>47</v>
      </c>
      <c r="H97" s="100">
        <f t="shared" si="49"/>
        <v>0</v>
      </c>
      <c r="I97" s="101">
        <f t="shared" si="50"/>
        <v>0</v>
      </c>
      <c r="J97" s="101">
        <f t="shared" si="51"/>
        <v>0</v>
      </c>
      <c r="K97" s="101">
        <f t="shared" si="52"/>
        <v>0</v>
      </c>
      <c r="L97" s="102">
        <f t="shared" si="53"/>
        <v>41.666666666666664</v>
      </c>
      <c r="M97" s="103">
        <f>VLOOKUP(G97,'Q.3-Data'!$B$2:$C$118,2,0)*U97*$B$19/12</f>
        <v>135.96964857565152</v>
      </c>
      <c r="N97" s="103">
        <f t="shared" si="54"/>
        <v>722.148732589063</v>
      </c>
      <c r="O97" s="102">
        <f t="shared" si="69"/>
        <v>634059.81880396558</v>
      </c>
      <c r="P97" s="102">
        <f t="shared" si="55"/>
        <v>1.0064340301100034</v>
      </c>
      <c r="Q97" s="102"/>
      <c r="R97" s="102">
        <f t="shared" si="70"/>
        <v>637928.41927517462</v>
      </c>
      <c r="S97" s="105">
        <f t="shared" si="56"/>
        <v>637076.28377071954</v>
      </c>
      <c r="U97" s="102">
        <f t="shared" si="57"/>
        <v>365940.18119603442</v>
      </c>
      <c r="W97" s="106"/>
      <c r="X97" s="107"/>
      <c r="Y97" s="107">
        <f t="shared" si="58"/>
        <v>43.855882553914689</v>
      </c>
      <c r="Z97" s="108">
        <f t="shared" si="59"/>
        <v>0</v>
      </c>
      <c r="AA97" s="107">
        <f t="shared" si="60"/>
        <v>0</v>
      </c>
      <c r="AB97" s="107">
        <f t="shared" si="61"/>
        <v>41.666666666666664</v>
      </c>
      <c r="AC97" s="107">
        <f t="shared" si="62"/>
        <v>135.96964857565152</v>
      </c>
      <c r="AD97" s="107">
        <f t="shared" si="63"/>
        <v>722.148732589063</v>
      </c>
      <c r="AE97" s="107">
        <f t="shared" si="64"/>
        <v>87.020575088416976</v>
      </c>
      <c r="AF97" s="107">
        <f t="shared" si="65"/>
        <v>0</v>
      </c>
      <c r="AG97" s="109">
        <f t="shared" si="66"/>
        <v>0.19050544796811522</v>
      </c>
      <c r="AH97" s="110">
        <f t="shared" si="67"/>
        <v>769.09909563701763</v>
      </c>
    </row>
    <row r="98" spans="5:34" x14ac:dyDescent="0.2">
      <c r="E98" s="99">
        <f t="shared" si="68"/>
        <v>87</v>
      </c>
      <c r="F98" s="26">
        <f t="shared" si="71"/>
        <v>8</v>
      </c>
      <c r="G98" s="26">
        <f t="shared" si="48"/>
        <v>47</v>
      </c>
      <c r="H98" s="100">
        <f t="shared" si="49"/>
        <v>0</v>
      </c>
      <c r="I98" s="101">
        <f t="shared" si="50"/>
        <v>0</v>
      </c>
      <c r="J98" s="101">
        <f t="shared" si="51"/>
        <v>0</v>
      </c>
      <c r="K98" s="101">
        <f t="shared" si="52"/>
        <v>0</v>
      </c>
      <c r="L98" s="102">
        <f t="shared" si="53"/>
        <v>41.666666666666664</v>
      </c>
      <c r="M98" s="103">
        <f>VLOOKUP(G98,'Q.3-Data'!$B$2:$C$118,2,0)*U98*$B$19/12</f>
        <v>134.84884331144201</v>
      </c>
      <c r="N98" s="103">
        <f t="shared" si="54"/>
        <v>725.58691309805317</v>
      </c>
      <c r="O98" s="102">
        <f t="shared" si="69"/>
        <v>637076.28377071954</v>
      </c>
      <c r="P98" s="102">
        <f t="shared" si="55"/>
        <v>1.0064340301100034</v>
      </c>
      <c r="Q98" s="102"/>
      <c r="R98" s="102">
        <f t="shared" si="70"/>
        <v>640965.62332789006</v>
      </c>
      <c r="S98" s="105">
        <f t="shared" si="56"/>
        <v>640109.43077043432</v>
      </c>
      <c r="U98" s="102">
        <f t="shared" si="57"/>
        <v>362923.71622928046</v>
      </c>
      <c r="W98" s="106"/>
      <c r="X98" s="107"/>
      <c r="Y98" s="107">
        <f t="shared" si="58"/>
        <v>43.855882553914689</v>
      </c>
      <c r="Z98" s="108">
        <f t="shared" si="59"/>
        <v>0</v>
      </c>
      <c r="AA98" s="107">
        <f t="shared" si="60"/>
        <v>0</v>
      </c>
      <c r="AB98" s="107">
        <f t="shared" si="61"/>
        <v>41.666666666666664</v>
      </c>
      <c r="AC98" s="107">
        <f t="shared" si="62"/>
        <v>134.84884331144201</v>
      </c>
      <c r="AD98" s="107">
        <f t="shared" si="63"/>
        <v>725.58691309805317</v>
      </c>
      <c r="AE98" s="107">
        <f t="shared" si="64"/>
        <v>86.303259719322895</v>
      </c>
      <c r="AF98" s="107">
        <f t="shared" si="65"/>
        <v>0</v>
      </c>
      <c r="AG98" s="109">
        <f t="shared" si="66"/>
        <v>0.18886158018996368</v>
      </c>
      <c r="AH98" s="110">
        <f t="shared" si="67"/>
        <v>772.13214238311411</v>
      </c>
    </row>
    <row r="99" spans="5:34" x14ac:dyDescent="0.2">
      <c r="E99" s="99">
        <f t="shared" si="68"/>
        <v>88</v>
      </c>
      <c r="F99" s="26">
        <f t="shared" si="71"/>
        <v>8</v>
      </c>
      <c r="G99" s="26">
        <f t="shared" si="48"/>
        <v>47</v>
      </c>
      <c r="H99" s="100">
        <f t="shared" si="49"/>
        <v>0</v>
      </c>
      <c r="I99" s="101">
        <f t="shared" si="50"/>
        <v>0</v>
      </c>
      <c r="J99" s="101">
        <f t="shared" si="51"/>
        <v>0</v>
      </c>
      <c r="K99" s="101">
        <f t="shared" si="52"/>
        <v>0</v>
      </c>
      <c r="L99" s="102">
        <f t="shared" si="53"/>
        <v>41.666666666666664</v>
      </c>
      <c r="M99" s="103">
        <f>VLOOKUP(G99,'Q.3-Data'!$B$2:$C$118,2,0)*U99*$B$19/12</f>
        <v>133.72183962936049</v>
      </c>
      <c r="N99" s="103">
        <f t="shared" si="54"/>
        <v>729.04410786419817</v>
      </c>
      <c r="O99" s="102">
        <f t="shared" si="69"/>
        <v>640109.43077043432</v>
      </c>
      <c r="P99" s="102">
        <f t="shared" si="55"/>
        <v>1.0064340301100034</v>
      </c>
      <c r="Q99" s="102"/>
      <c r="R99" s="102">
        <f t="shared" si="70"/>
        <v>644019.62410746119</v>
      </c>
      <c r="S99" s="105">
        <f t="shared" si="56"/>
        <v>643159.35206018144</v>
      </c>
      <c r="U99" s="102">
        <f t="shared" si="57"/>
        <v>359890.56922956568</v>
      </c>
      <c r="W99" s="106"/>
      <c r="X99" s="107"/>
      <c r="Y99" s="107">
        <f t="shared" si="58"/>
        <v>43.855882553914689</v>
      </c>
      <c r="Z99" s="108">
        <f t="shared" si="59"/>
        <v>0</v>
      </c>
      <c r="AA99" s="107">
        <f t="shared" si="60"/>
        <v>0</v>
      </c>
      <c r="AB99" s="107">
        <f t="shared" si="61"/>
        <v>41.666666666666664</v>
      </c>
      <c r="AC99" s="107">
        <f t="shared" si="62"/>
        <v>133.72183962936049</v>
      </c>
      <c r="AD99" s="107">
        <f t="shared" si="63"/>
        <v>729.04410786419817</v>
      </c>
      <c r="AE99" s="107">
        <f t="shared" si="64"/>
        <v>85.581977362790724</v>
      </c>
      <c r="AF99" s="107">
        <f t="shared" si="65"/>
        <v>0</v>
      </c>
      <c r="AG99" s="109">
        <f t="shared" si="66"/>
        <v>0.1872086212880098</v>
      </c>
      <c r="AH99" s="110">
        <f t="shared" si="67"/>
        <v>775.18196286480793</v>
      </c>
    </row>
    <row r="100" spans="5:34" x14ac:dyDescent="0.2">
      <c r="E100" s="99">
        <f t="shared" si="68"/>
        <v>89</v>
      </c>
      <c r="F100" s="26">
        <f t="shared" si="71"/>
        <v>8</v>
      </c>
      <c r="G100" s="26">
        <f t="shared" si="48"/>
        <v>47</v>
      </c>
      <c r="H100" s="100">
        <f t="shared" si="49"/>
        <v>0</v>
      </c>
      <c r="I100" s="101">
        <f t="shared" si="50"/>
        <v>0</v>
      </c>
      <c r="J100" s="101">
        <f t="shared" si="51"/>
        <v>0</v>
      </c>
      <c r="K100" s="101">
        <f t="shared" si="52"/>
        <v>0</v>
      </c>
      <c r="L100" s="102">
        <f t="shared" si="53"/>
        <v>41.666666666666664</v>
      </c>
      <c r="M100" s="103">
        <f>VLOOKUP(G100,'Q.3-Data'!$B$2:$C$118,2,0)*U100*$B$19/12</f>
        <v>132.58860325013882</v>
      </c>
      <c r="N100" s="103">
        <f t="shared" si="54"/>
        <v>732.52042204252825</v>
      </c>
      <c r="O100" s="102">
        <f t="shared" si="69"/>
        <v>643159.35206018144</v>
      </c>
      <c r="P100" s="102">
        <f t="shared" si="55"/>
        <v>1.0064340301100034</v>
      </c>
      <c r="Q100" s="102"/>
      <c r="R100" s="102">
        <f t="shared" si="70"/>
        <v>647090.51450525399</v>
      </c>
      <c r="S100" s="105">
        <f t="shared" si="56"/>
        <v>646226.14040724386</v>
      </c>
      <c r="U100" s="102">
        <f t="shared" si="57"/>
        <v>356840.64793981856</v>
      </c>
      <c r="W100" s="106"/>
      <c r="X100" s="107"/>
      <c r="Y100" s="107">
        <f t="shared" si="58"/>
        <v>43.855882553914689</v>
      </c>
      <c r="Z100" s="108">
        <f t="shared" si="59"/>
        <v>0</v>
      </c>
      <c r="AA100" s="107">
        <f t="shared" si="60"/>
        <v>0</v>
      </c>
      <c r="AB100" s="107">
        <f t="shared" si="61"/>
        <v>41.666666666666664</v>
      </c>
      <c r="AC100" s="107">
        <f t="shared" si="62"/>
        <v>132.58860325013882</v>
      </c>
      <c r="AD100" s="107">
        <f t="shared" si="63"/>
        <v>732.52042204252825</v>
      </c>
      <c r="AE100" s="107">
        <f t="shared" si="64"/>
        <v>84.856706080088841</v>
      </c>
      <c r="AF100" s="107">
        <f t="shared" si="65"/>
        <v>0</v>
      </c>
      <c r="AG100" s="109">
        <f t="shared" si="66"/>
        <v>0.18554652098538008</v>
      </c>
      <c r="AH100" s="110">
        <f t="shared" si="67"/>
        <v>778.24864984631552</v>
      </c>
    </row>
    <row r="101" spans="5:34" x14ac:dyDescent="0.2">
      <c r="E101" s="99">
        <f t="shared" si="68"/>
        <v>90</v>
      </c>
      <c r="F101" s="26">
        <f t="shared" si="71"/>
        <v>8</v>
      </c>
      <c r="G101" s="26">
        <f t="shared" si="48"/>
        <v>47</v>
      </c>
      <c r="H101" s="100">
        <f t="shared" si="49"/>
        <v>0</v>
      </c>
      <c r="I101" s="101">
        <f t="shared" si="50"/>
        <v>0</v>
      </c>
      <c r="J101" s="101">
        <f t="shared" si="51"/>
        <v>0</v>
      </c>
      <c r="K101" s="101">
        <f t="shared" si="52"/>
        <v>0</v>
      </c>
      <c r="L101" s="102">
        <f t="shared" si="53"/>
        <v>41.666666666666664</v>
      </c>
      <c r="M101" s="103">
        <f>VLOOKUP(G101,'Q.3-Data'!$B$2:$C$118,2,0)*U101*$B$19/12</f>
        <v>131.44909970493345</v>
      </c>
      <c r="N101" s="103">
        <f t="shared" si="54"/>
        <v>736.01596136961518</v>
      </c>
      <c r="O101" s="102">
        <f t="shared" si="69"/>
        <v>646226.14040724386</v>
      </c>
      <c r="P101" s="102">
        <f t="shared" si="55"/>
        <v>1.0064340301100034</v>
      </c>
      <c r="Q101" s="102"/>
      <c r="R101" s="102">
        <f t="shared" si="70"/>
        <v>650178.38792635384</v>
      </c>
      <c r="S101" s="105">
        <f t="shared" si="56"/>
        <v>649309.88909193769</v>
      </c>
      <c r="U101" s="102">
        <f t="shared" si="57"/>
        <v>353773.85959275614</v>
      </c>
      <c r="W101" s="106"/>
      <c r="X101" s="107"/>
      <c r="Y101" s="107">
        <f t="shared" si="58"/>
        <v>43.855882553914689</v>
      </c>
      <c r="Z101" s="108">
        <f t="shared" si="59"/>
        <v>0</v>
      </c>
      <c r="AA101" s="107">
        <f t="shared" si="60"/>
        <v>0</v>
      </c>
      <c r="AB101" s="107">
        <f t="shared" si="61"/>
        <v>41.666666666666664</v>
      </c>
      <c r="AC101" s="107">
        <f t="shared" si="62"/>
        <v>131.44909970493345</v>
      </c>
      <c r="AD101" s="107">
        <f t="shared" si="63"/>
        <v>736.01596136961518</v>
      </c>
      <c r="AE101" s="107">
        <f t="shared" si="64"/>
        <v>84.127423811157414</v>
      </c>
      <c r="AF101" s="107">
        <f t="shared" si="65"/>
        <v>0</v>
      </c>
      <c r="AG101" s="109">
        <f t="shared" si="66"/>
        <v>0.18387522872715381</v>
      </c>
      <c r="AH101" s="110">
        <f t="shared" si="67"/>
        <v>781.33229660487041</v>
      </c>
    </row>
    <row r="102" spans="5:34" x14ac:dyDescent="0.2">
      <c r="E102" s="99">
        <f t="shared" si="68"/>
        <v>91</v>
      </c>
      <c r="F102" s="26">
        <f t="shared" si="71"/>
        <v>8</v>
      </c>
      <c r="G102" s="26">
        <f t="shared" si="48"/>
        <v>47</v>
      </c>
      <c r="H102" s="100">
        <f t="shared" si="49"/>
        <v>0</v>
      </c>
      <c r="I102" s="101">
        <f t="shared" si="50"/>
        <v>0</v>
      </c>
      <c r="J102" s="101">
        <f t="shared" si="51"/>
        <v>0</v>
      </c>
      <c r="K102" s="101">
        <f t="shared" si="52"/>
        <v>0</v>
      </c>
      <c r="L102" s="102">
        <f t="shared" si="53"/>
        <v>41.666666666666664</v>
      </c>
      <c r="M102" s="103">
        <f>VLOOKUP(G102,'Q.3-Data'!$B$2:$C$118,2,0)*U102*$B$19/12</f>
        <v>130.3032943342769</v>
      </c>
      <c r="N102" s="103">
        <f t="shared" si="54"/>
        <v>739.53083216678806</v>
      </c>
      <c r="O102" s="102">
        <f t="shared" si="69"/>
        <v>649309.88909193769</v>
      </c>
      <c r="P102" s="102">
        <f t="shared" si="55"/>
        <v>1.0064340301100034</v>
      </c>
      <c r="Q102" s="102"/>
      <c r="R102" s="102">
        <f t="shared" si="70"/>
        <v>653283.33829240664</v>
      </c>
      <c r="S102" s="105">
        <f t="shared" si="56"/>
        <v>652410.69191044988</v>
      </c>
      <c r="U102" s="102">
        <f t="shared" si="57"/>
        <v>350690.11090806231</v>
      </c>
      <c r="W102" s="106"/>
      <c r="X102" s="107"/>
      <c r="Y102" s="107">
        <f t="shared" si="58"/>
        <v>43.855882553914689</v>
      </c>
      <c r="Z102" s="108">
        <f t="shared" si="59"/>
        <v>0</v>
      </c>
      <c r="AA102" s="107">
        <f t="shared" si="60"/>
        <v>0</v>
      </c>
      <c r="AB102" s="107">
        <f t="shared" si="61"/>
        <v>41.666666666666664</v>
      </c>
      <c r="AC102" s="107">
        <f t="shared" si="62"/>
        <v>130.3032943342769</v>
      </c>
      <c r="AD102" s="107">
        <f t="shared" si="63"/>
        <v>739.53083216678806</v>
      </c>
      <c r="AE102" s="107">
        <f t="shared" si="64"/>
        <v>83.394108373937229</v>
      </c>
      <c r="AF102" s="107">
        <f t="shared" si="65"/>
        <v>0</v>
      </c>
      <c r="AG102" s="109">
        <f t="shared" si="66"/>
        <v>0.18219469367882526</v>
      </c>
      <c r="AH102" s="110">
        <f t="shared" si="67"/>
        <v>784.43299693355857</v>
      </c>
    </row>
    <row r="103" spans="5:34" x14ac:dyDescent="0.2">
      <c r="E103" s="99">
        <f t="shared" si="68"/>
        <v>92</v>
      </c>
      <c r="F103" s="26">
        <f t="shared" si="71"/>
        <v>8</v>
      </c>
      <c r="G103" s="26">
        <f t="shared" si="48"/>
        <v>47</v>
      </c>
      <c r="H103" s="100">
        <f t="shared" si="49"/>
        <v>0</v>
      </c>
      <c r="I103" s="101">
        <f t="shared" si="50"/>
        <v>0</v>
      </c>
      <c r="J103" s="101">
        <f t="shared" si="51"/>
        <v>0</v>
      </c>
      <c r="K103" s="101">
        <f t="shared" si="52"/>
        <v>0</v>
      </c>
      <c r="L103" s="102">
        <f t="shared" si="53"/>
        <v>41.666666666666664</v>
      </c>
      <c r="M103" s="103">
        <f>VLOOKUP(G103,'Q.3-Data'!$B$2:$C$118,2,0)*U103*$B$19/12</f>
        <v>129.15115228702345</v>
      </c>
      <c r="N103" s="103">
        <f t="shared" si="54"/>
        <v>743.06514134336805</v>
      </c>
      <c r="O103" s="102">
        <f t="shared" si="69"/>
        <v>652410.69191044988</v>
      </c>
      <c r="P103" s="102">
        <f t="shared" si="55"/>
        <v>1.0064340301100034</v>
      </c>
      <c r="Q103" s="102"/>
      <c r="R103" s="102">
        <f t="shared" si="70"/>
        <v>656405.46004447574</v>
      </c>
      <c r="S103" s="105">
        <f t="shared" si="56"/>
        <v>655528.64317769057</v>
      </c>
      <c r="U103" s="102">
        <f t="shared" si="57"/>
        <v>347589.30808955012</v>
      </c>
      <c r="W103" s="106"/>
      <c r="X103" s="107"/>
      <c r="Y103" s="107">
        <f t="shared" si="58"/>
        <v>43.855882553914689</v>
      </c>
      <c r="Z103" s="108">
        <f t="shared" si="59"/>
        <v>0</v>
      </c>
      <c r="AA103" s="107">
        <f t="shared" si="60"/>
        <v>0</v>
      </c>
      <c r="AB103" s="107">
        <f t="shared" si="61"/>
        <v>41.666666666666664</v>
      </c>
      <c r="AC103" s="107">
        <f t="shared" si="62"/>
        <v>129.15115228702345</v>
      </c>
      <c r="AD103" s="107">
        <f t="shared" si="63"/>
        <v>743.06514134336805</v>
      </c>
      <c r="AE103" s="107">
        <f t="shared" si="64"/>
        <v>82.656737463695009</v>
      </c>
      <c r="AF103" s="107">
        <f t="shared" si="65"/>
        <v>0</v>
      </c>
      <c r="AG103" s="109">
        <f t="shared" si="66"/>
        <v>0.18050486472475694</v>
      </c>
      <c r="AH103" s="110">
        <f t="shared" si="67"/>
        <v>787.55084514417319</v>
      </c>
    </row>
    <row r="104" spans="5:34" x14ac:dyDescent="0.2">
      <c r="E104" s="99">
        <f t="shared" si="68"/>
        <v>93</v>
      </c>
      <c r="F104" s="26">
        <f t="shared" si="71"/>
        <v>8</v>
      </c>
      <c r="G104" s="26">
        <f t="shared" si="48"/>
        <v>47</v>
      </c>
      <c r="H104" s="100">
        <f t="shared" si="49"/>
        <v>0</v>
      </c>
      <c r="I104" s="101">
        <f t="shared" si="50"/>
        <v>0</v>
      </c>
      <c r="J104" s="101">
        <f t="shared" si="51"/>
        <v>0</v>
      </c>
      <c r="K104" s="101">
        <f t="shared" si="52"/>
        <v>0</v>
      </c>
      <c r="L104" s="102">
        <f t="shared" si="53"/>
        <v>41.666666666666664</v>
      </c>
      <c r="M104" s="103">
        <f>VLOOKUP(G104,'Q.3-Data'!$B$2:$C$118,2,0)*U104*$B$19/12</f>
        <v>127.99263851928934</v>
      </c>
      <c r="N104" s="103">
        <f t="shared" si="54"/>
        <v>746.61899639991952</v>
      </c>
      <c r="O104" s="102">
        <f t="shared" si="69"/>
        <v>655528.64317769057</v>
      </c>
      <c r="P104" s="102">
        <f t="shared" si="55"/>
        <v>1.0064340301100034</v>
      </c>
      <c r="Q104" s="102"/>
      <c r="R104" s="102">
        <f t="shared" si="70"/>
        <v>659544.84814591415</v>
      </c>
      <c r="S104" s="105">
        <f t="shared" si="56"/>
        <v>658663.83773016219</v>
      </c>
      <c r="U104" s="102">
        <f t="shared" si="57"/>
        <v>344471.35682230943</v>
      </c>
      <c r="W104" s="106"/>
      <c r="X104" s="107"/>
      <c r="Y104" s="107">
        <f t="shared" si="58"/>
        <v>43.855882553914689</v>
      </c>
      <c r="Z104" s="108">
        <f t="shared" si="59"/>
        <v>0</v>
      </c>
      <c r="AA104" s="107">
        <f t="shared" si="60"/>
        <v>0</v>
      </c>
      <c r="AB104" s="107">
        <f t="shared" si="61"/>
        <v>41.666666666666664</v>
      </c>
      <c r="AC104" s="107">
        <f t="shared" si="62"/>
        <v>127.99263851928934</v>
      </c>
      <c r="AD104" s="107">
        <f t="shared" si="63"/>
        <v>746.61899639991952</v>
      </c>
      <c r="AE104" s="107">
        <f t="shared" si="64"/>
        <v>81.915288652345183</v>
      </c>
      <c r="AF104" s="107">
        <f t="shared" si="65"/>
        <v>0</v>
      </c>
      <c r="AG104" s="109">
        <f t="shared" si="66"/>
        <v>0.17880569046662548</v>
      </c>
      <c r="AH104" s="110">
        <f t="shared" si="67"/>
        <v>790.68593607008233</v>
      </c>
    </row>
    <row r="105" spans="5:34" x14ac:dyDescent="0.2">
      <c r="E105" s="99">
        <f t="shared" si="68"/>
        <v>94</v>
      </c>
      <c r="F105" s="26">
        <f t="shared" si="71"/>
        <v>8</v>
      </c>
      <c r="G105" s="26">
        <f t="shared" si="48"/>
        <v>47</v>
      </c>
      <c r="H105" s="100">
        <f t="shared" si="49"/>
        <v>0</v>
      </c>
      <c r="I105" s="101">
        <f t="shared" si="50"/>
        <v>0</v>
      </c>
      <c r="J105" s="101">
        <f t="shared" si="51"/>
        <v>0</v>
      </c>
      <c r="K105" s="101">
        <f t="shared" si="52"/>
        <v>0</v>
      </c>
      <c r="L105" s="102">
        <f t="shared" si="53"/>
        <v>41.666666666666664</v>
      </c>
      <c r="M105" s="103">
        <f>VLOOKUP(G105,'Q.3-Data'!$B$2:$C$118,2,0)*U105*$B$19/12</f>
        <v>126.82771779338661</v>
      </c>
      <c r="N105" s="103">
        <f t="shared" si="54"/>
        <v>750.19250543151941</v>
      </c>
      <c r="O105" s="102">
        <f t="shared" si="69"/>
        <v>658663.83773016219</v>
      </c>
      <c r="P105" s="102">
        <f t="shared" si="55"/>
        <v>1.0064340301100034</v>
      </c>
      <c r="Q105" s="102"/>
      <c r="R105" s="102">
        <f t="shared" si="70"/>
        <v>662701.59808525292</v>
      </c>
      <c r="S105" s="105">
        <f t="shared" si="56"/>
        <v>661816.37092884374</v>
      </c>
      <c r="U105" s="102">
        <f t="shared" si="57"/>
        <v>341336.16226983781</v>
      </c>
      <c r="W105" s="106"/>
      <c r="X105" s="107"/>
      <c r="Y105" s="107">
        <f t="shared" si="58"/>
        <v>43.855882553914689</v>
      </c>
      <c r="Z105" s="108">
        <f t="shared" si="59"/>
        <v>0</v>
      </c>
      <c r="AA105" s="107">
        <f t="shared" si="60"/>
        <v>0</v>
      </c>
      <c r="AB105" s="107">
        <f t="shared" si="61"/>
        <v>41.666666666666664</v>
      </c>
      <c r="AC105" s="107">
        <f t="shared" si="62"/>
        <v>126.82771779338661</v>
      </c>
      <c r="AD105" s="107">
        <f t="shared" si="63"/>
        <v>750.19250543151941</v>
      </c>
      <c r="AE105" s="107">
        <f t="shared" si="64"/>
        <v>81.169739387767436</v>
      </c>
      <c r="AF105" s="107">
        <f t="shared" si="65"/>
        <v>0</v>
      </c>
      <c r="AG105" s="109">
        <f t="shared" si="66"/>
        <v>0.17709711922185806</v>
      </c>
      <c r="AH105" s="110">
        <f t="shared" si="67"/>
        <v>793.83836506911257</v>
      </c>
    </row>
    <row r="106" spans="5:34" x14ac:dyDescent="0.2">
      <c r="E106" s="99">
        <f t="shared" si="68"/>
        <v>95</v>
      </c>
      <c r="F106" s="26">
        <f t="shared" si="71"/>
        <v>8</v>
      </c>
      <c r="G106" s="26">
        <f t="shared" si="48"/>
        <v>47</v>
      </c>
      <c r="H106" s="100">
        <f t="shared" si="49"/>
        <v>0</v>
      </c>
      <c r="I106" s="101">
        <f t="shared" si="50"/>
        <v>0</v>
      </c>
      <c r="J106" s="101">
        <f t="shared" si="51"/>
        <v>0</v>
      </c>
      <c r="K106" s="101">
        <f t="shared" si="52"/>
        <v>0</v>
      </c>
      <c r="L106" s="102">
        <f t="shared" si="53"/>
        <v>41.666666666666664</v>
      </c>
      <c r="M106" s="103">
        <f>VLOOKUP(G106,'Q.3-Data'!$B$2:$C$118,2,0)*U106*$B$19/12</f>
        <v>125.6563546767515</v>
      </c>
      <c r="N106" s="103">
        <f t="shared" si="54"/>
        <v>753.7857771310463</v>
      </c>
      <c r="O106" s="102">
        <f t="shared" si="69"/>
        <v>661816.37092884374</v>
      </c>
      <c r="P106" s="102">
        <f t="shared" si="55"/>
        <v>1.0064340301100034</v>
      </c>
      <c r="Q106" s="102"/>
      <c r="R106" s="102">
        <f t="shared" si="70"/>
        <v>665875.80587910616</v>
      </c>
      <c r="S106" s="105">
        <f t="shared" si="56"/>
        <v>664986.33866209153</v>
      </c>
      <c r="U106" s="102">
        <f t="shared" si="57"/>
        <v>338183.62907115626</v>
      </c>
      <c r="W106" s="106"/>
      <c r="X106" s="107"/>
      <c r="Y106" s="107">
        <f t="shared" si="58"/>
        <v>43.855882553914689</v>
      </c>
      <c r="Z106" s="108">
        <f t="shared" si="59"/>
        <v>0</v>
      </c>
      <c r="AA106" s="107">
        <f t="shared" si="60"/>
        <v>0</v>
      </c>
      <c r="AB106" s="107">
        <f t="shared" si="61"/>
        <v>41.666666666666664</v>
      </c>
      <c r="AC106" s="107">
        <f t="shared" si="62"/>
        <v>125.6563546767515</v>
      </c>
      <c r="AD106" s="107">
        <f t="shared" si="63"/>
        <v>753.7857771310463</v>
      </c>
      <c r="AE106" s="107">
        <f t="shared" si="64"/>
        <v>80.420066993120969</v>
      </c>
      <c r="AF106" s="107">
        <f t="shared" si="65"/>
        <v>0</v>
      </c>
      <c r="AG106" s="109">
        <f t="shared" si="66"/>
        <v>0.17537909902206025</v>
      </c>
      <c r="AH106" s="110">
        <f t="shared" si="67"/>
        <v>797.00822802645087</v>
      </c>
    </row>
    <row r="107" spans="5:34" x14ac:dyDescent="0.2">
      <c r="E107" s="99">
        <f t="shared" si="68"/>
        <v>96</v>
      </c>
      <c r="F107" s="26">
        <f t="shared" si="71"/>
        <v>8</v>
      </c>
      <c r="G107" s="26">
        <f t="shared" si="48"/>
        <v>47</v>
      </c>
      <c r="H107" s="100">
        <f t="shared" si="49"/>
        <v>0</v>
      </c>
      <c r="I107" s="101">
        <f t="shared" si="50"/>
        <v>0</v>
      </c>
      <c r="J107" s="101">
        <f t="shared" si="51"/>
        <v>0</v>
      </c>
      <c r="K107" s="101">
        <f t="shared" si="52"/>
        <v>0</v>
      </c>
      <c r="L107" s="102">
        <f t="shared" si="53"/>
        <v>41.666666666666664</v>
      </c>
      <c r="M107" s="103">
        <f>VLOOKUP(G107,'Q.3-Data'!$B$2:$C$118,2,0)*U107*$B$19/12</f>
        <v>124.47851354086662</v>
      </c>
      <c r="N107" s="103">
        <f t="shared" si="54"/>
        <v>757.39892079248557</v>
      </c>
      <c r="O107" s="102">
        <f t="shared" si="69"/>
        <v>664986.33866209153</v>
      </c>
      <c r="P107" s="102">
        <f t="shared" si="55"/>
        <v>1.0064340301100034</v>
      </c>
      <c r="Q107" s="102"/>
      <c r="R107" s="102">
        <f t="shared" si="70"/>
        <v>669067.56807509088</v>
      </c>
      <c r="S107" s="105">
        <f t="shared" si="56"/>
        <v>668173.8373485558</v>
      </c>
      <c r="U107" s="102">
        <f t="shared" si="57"/>
        <v>335013.66133790847</v>
      </c>
      <c r="W107" s="106"/>
      <c r="X107" s="107"/>
      <c r="Y107" s="107">
        <f t="shared" si="58"/>
        <v>43.855882553914689</v>
      </c>
      <c r="Z107" s="108">
        <f t="shared" si="59"/>
        <v>0</v>
      </c>
      <c r="AA107" s="107">
        <f t="shared" si="60"/>
        <v>0</v>
      </c>
      <c r="AB107" s="107">
        <f t="shared" si="61"/>
        <v>41.666666666666664</v>
      </c>
      <c r="AC107" s="107">
        <f t="shared" si="62"/>
        <v>124.47851354086662</v>
      </c>
      <c r="AD107" s="107">
        <f t="shared" si="63"/>
        <v>757.39892079248557</v>
      </c>
      <c r="AE107" s="107">
        <f t="shared" si="64"/>
        <v>79.666248666154644</v>
      </c>
      <c r="AF107" s="107">
        <f t="shared" si="65"/>
        <v>0</v>
      </c>
      <c r="AG107" s="109">
        <f t="shared" si="66"/>
        <v>0.17365157761143579</v>
      </c>
      <c r="AH107" s="110">
        <f t="shared" si="67"/>
        <v>800.19562135756087</v>
      </c>
    </row>
    <row r="108" spans="5:34" x14ac:dyDescent="0.2">
      <c r="E108" s="99">
        <f t="shared" si="68"/>
        <v>97</v>
      </c>
      <c r="F108" s="26">
        <f t="shared" si="71"/>
        <v>9</v>
      </c>
      <c r="G108" s="26">
        <f t="shared" ref="G108:G131" si="72">+$B$5+F108-1</f>
        <v>48</v>
      </c>
      <c r="H108" s="100">
        <f t="shared" ref="H108:H131" si="73">+IF(AND(MOD(E108,12)=1,F108&lt;=$B$3),$B$2,0)</f>
        <v>0</v>
      </c>
      <c r="I108" s="101">
        <f t="shared" ref="I108:I131" si="74">H108*VLOOKUP(F108,$A$8:$C$12,2,1)</f>
        <v>0</v>
      </c>
      <c r="J108" s="101">
        <f t="shared" ref="J108:J131" si="75">+I108*$B$14</f>
        <v>0</v>
      </c>
      <c r="K108" s="101">
        <f t="shared" ref="K108:K131" si="76">+H108-I108-J108</f>
        <v>0</v>
      </c>
      <c r="L108" s="102">
        <f t="shared" ref="L108:L131" si="77">+MIN($B$2*$B$15,$B$16)/12</f>
        <v>41.666666666666664</v>
      </c>
      <c r="M108" s="103">
        <f>VLOOKUP(G108,'Q.3-Data'!$B$2:$C$118,2,0)*U108*$B$19/12</f>
        <v>137.67329227507315</v>
      </c>
      <c r="N108" s="103">
        <f t="shared" ref="N108:N131" si="78">+R108*(1-(1-$B$20)^(0.0833333333333333))</f>
        <v>761.01271529533449</v>
      </c>
      <c r="O108" s="102">
        <f t="shared" si="69"/>
        <v>668173.8373485558</v>
      </c>
      <c r="P108" s="102">
        <f t="shared" ref="P108:P131" si="79">(1+$B$17)^(1/12)</f>
        <v>1.0064340301100034</v>
      </c>
      <c r="Q108" s="102"/>
      <c r="R108" s="102">
        <f t="shared" si="70"/>
        <v>672259.90520836064</v>
      </c>
      <c r="S108" s="105">
        <f t="shared" ref="S108:S131" si="80">+R108-(N108*(1+$B$14))</f>
        <v>671361.91020431218</v>
      </c>
      <c r="U108" s="102">
        <f t="shared" ref="U108:U131" si="81">+MAX($B$2*10-O108,0)</f>
        <v>331826.1626514442</v>
      </c>
      <c r="W108" s="106"/>
      <c r="X108" s="107"/>
      <c r="Y108" s="107">
        <f t="shared" ref="Y108:Y131" si="82">+$B$25*(1+$B$26)^(F108-1)/12</f>
        <v>46.487235507149563</v>
      </c>
      <c r="Z108" s="108">
        <f t="shared" ref="Z108:Z131" si="83">H108*VLOOKUP(F108,$A$8:$C$12,3,1)</f>
        <v>0</v>
      </c>
      <c r="AA108" s="107">
        <f t="shared" ref="AA108:AA131" si="84">+I108</f>
        <v>0</v>
      </c>
      <c r="AB108" s="107">
        <f t="shared" ref="AB108:AB131" si="85">+L108</f>
        <v>41.666666666666664</v>
      </c>
      <c r="AC108" s="107">
        <f t="shared" ref="AC108:AC131" si="86">+M108</f>
        <v>137.67329227507315</v>
      </c>
      <c r="AD108" s="107">
        <f t="shared" ref="AD108:AD131" si="87">+N108</f>
        <v>761.01271529533449</v>
      </c>
      <c r="AE108" s="107">
        <f t="shared" ref="AE108:AE131" si="88">+M108/$B$19*$B$27</f>
        <v>88.110907056046813</v>
      </c>
      <c r="AF108" s="107">
        <f t="shared" ref="AF108:AF131" si="89">+Q108</f>
        <v>0</v>
      </c>
      <c r="AG108" s="109">
        <f t="shared" ref="AG108:AG131" si="90">(SUM(AA108:AC108)-SUM(W108:Z108,AE108))*$C$18</f>
        <v>0.18228369823145124</v>
      </c>
      <c r="AH108" s="110">
        <f t="shared" ref="AH108:AH131" si="91">+SUM(AA108:AD108,AG108)-SUM(W108:Z108,AE108:AF108)</f>
        <v>805.93681537210944</v>
      </c>
    </row>
    <row r="109" spans="5:34" x14ac:dyDescent="0.2">
      <c r="E109" s="99">
        <f t="shared" ref="E109:E131" si="92">+E108+1</f>
        <v>98</v>
      </c>
      <c r="F109" s="26">
        <f t="shared" si="71"/>
        <v>9</v>
      </c>
      <c r="G109" s="26">
        <f t="shared" si="72"/>
        <v>48</v>
      </c>
      <c r="H109" s="100">
        <f t="shared" si="73"/>
        <v>0</v>
      </c>
      <c r="I109" s="101">
        <f t="shared" si="74"/>
        <v>0</v>
      </c>
      <c r="J109" s="101">
        <f t="shared" si="75"/>
        <v>0</v>
      </c>
      <c r="K109" s="101">
        <f t="shared" si="76"/>
        <v>0</v>
      </c>
      <c r="L109" s="102">
        <f t="shared" si="77"/>
        <v>41.666666666666664</v>
      </c>
      <c r="M109" s="103">
        <f>VLOOKUP(G109,'Q.3-Data'!$B$2:$C$118,2,0)*U109*$B$19/12</f>
        <v>136.35057413085673</v>
      </c>
      <c r="N109" s="103">
        <f t="shared" si="78"/>
        <v>764.64668098372897</v>
      </c>
      <c r="O109" s="102">
        <f t="shared" ref="O109:O131" si="93">+S108+K109</f>
        <v>671361.91020431218</v>
      </c>
      <c r="P109" s="102">
        <f t="shared" si="79"/>
        <v>1.0064340301100034</v>
      </c>
      <c r="Q109" s="102"/>
      <c r="R109" s="102">
        <f t="shared" ref="R109:R131" si="94">((O109)-(L109+M109)*(1+$B$14))*P109+Q109</f>
        <v>675470.06107055594</v>
      </c>
      <c r="S109" s="105">
        <f t="shared" si="80"/>
        <v>674567.77798699518</v>
      </c>
      <c r="U109" s="102">
        <f t="shared" si="81"/>
        <v>328638.08979568782</v>
      </c>
      <c r="W109" s="106"/>
      <c r="X109" s="107"/>
      <c r="Y109" s="107">
        <f t="shared" si="82"/>
        <v>46.487235507149563</v>
      </c>
      <c r="Z109" s="108">
        <f t="shared" si="83"/>
        <v>0</v>
      </c>
      <c r="AA109" s="107">
        <f t="shared" si="84"/>
        <v>0</v>
      </c>
      <c r="AB109" s="107">
        <f t="shared" si="85"/>
        <v>41.666666666666664</v>
      </c>
      <c r="AC109" s="107">
        <f t="shared" si="86"/>
        <v>136.35057413085673</v>
      </c>
      <c r="AD109" s="107">
        <f t="shared" si="87"/>
        <v>764.64668098372897</v>
      </c>
      <c r="AE109" s="107">
        <f t="shared" si="88"/>
        <v>87.264367443748313</v>
      </c>
      <c r="AF109" s="107">
        <f t="shared" si="89"/>
        <v>0</v>
      </c>
      <c r="AG109" s="109">
        <f t="shared" si="90"/>
        <v>0.18034368794930167</v>
      </c>
      <c r="AH109" s="110">
        <f t="shared" si="91"/>
        <v>809.09266251830377</v>
      </c>
    </row>
    <row r="110" spans="5:34" x14ac:dyDescent="0.2">
      <c r="E110" s="99">
        <f t="shared" si="92"/>
        <v>99</v>
      </c>
      <c r="F110" s="26">
        <f t="shared" ref="F110:F131" si="95">IF(MOD(E110,12)=1,F109+1,F109)</f>
        <v>9</v>
      </c>
      <c r="G110" s="26">
        <f t="shared" si="72"/>
        <v>48</v>
      </c>
      <c r="H110" s="100">
        <f t="shared" si="73"/>
        <v>0</v>
      </c>
      <c r="I110" s="101">
        <f t="shared" si="74"/>
        <v>0</v>
      </c>
      <c r="J110" s="101">
        <f t="shared" si="75"/>
        <v>0</v>
      </c>
      <c r="K110" s="101">
        <f t="shared" si="76"/>
        <v>0</v>
      </c>
      <c r="L110" s="102">
        <f t="shared" si="77"/>
        <v>41.666666666666664</v>
      </c>
      <c r="M110" s="103">
        <f>VLOOKUP(G110,'Q.3-Data'!$B$2:$C$118,2,0)*U110*$B$19/12</f>
        <v>135.02047294560398</v>
      </c>
      <c r="N110" s="103">
        <f t="shared" si="78"/>
        <v>768.30093044755915</v>
      </c>
      <c r="O110" s="102">
        <f t="shared" si="93"/>
        <v>674567.77798699518</v>
      </c>
      <c r="P110" s="102">
        <f t="shared" si="79"/>
        <v>1.0064340301100034</v>
      </c>
      <c r="Q110" s="102"/>
      <c r="R110" s="102">
        <f t="shared" si="94"/>
        <v>678698.13512081513</v>
      </c>
      <c r="S110" s="105">
        <f t="shared" si="80"/>
        <v>677791.54002288706</v>
      </c>
      <c r="U110" s="102">
        <f t="shared" si="81"/>
        <v>325432.22201300482</v>
      </c>
      <c r="W110" s="106"/>
      <c r="X110" s="107"/>
      <c r="Y110" s="107">
        <f t="shared" si="82"/>
        <v>46.487235507149563</v>
      </c>
      <c r="Z110" s="108">
        <f t="shared" si="83"/>
        <v>0</v>
      </c>
      <c r="AA110" s="107">
        <f t="shared" si="84"/>
        <v>0</v>
      </c>
      <c r="AB110" s="107">
        <f t="shared" si="85"/>
        <v>41.666666666666664</v>
      </c>
      <c r="AC110" s="107">
        <f t="shared" si="86"/>
        <v>135.02047294560398</v>
      </c>
      <c r="AD110" s="107">
        <f t="shared" si="87"/>
        <v>768.30093044755915</v>
      </c>
      <c r="AE110" s="107">
        <f t="shared" si="88"/>
        <v>86.413102685186558</v>
      </c>
      <c r="AF110" s="107">
        <f t="shared" si="89"/>
        <v>0</v>
      </c>
      <c r="AG110" s="109">
        <f t="shared" si="90"/>
        <v>0.17839284907484279</v>
      </c>
      <c r="AH110" s="110">
        <f t="shared" si="91"/>
        <v>812.26612471656858</v>
      </c>
    </row>
    <row r="111" spans="5:34" x14ac:dyDescent="0.2">
      <c r="E111" s="99">
        <f t="shared" si="92"/>
        <v>100</v>
      </c>
      <c r="F111" s="26">
        <f t="shared" si="95"/>
        <v>9</v>
      </c>
      <c r="G111" s="26">
        <f t="shared" si="72"/>
        <v>48</v>
      </c>
      <c r="H111" s="100">
        <f t="shared" si="73"/>
        <v>0</v>
      </c>
      <c r="I111" s="101">
        <f t="shared" si="74"/>
        <v>0</v>
      </c>
      <c r="J111" s="101">
        <f t="shared" si="75"/>
        <v>0</v>
      </c>
      <c r="K111" s="101">
        <f t="shared" si="76"/>
        <v>0</v>
      </c>
      <c r="L111" s="102">
        <f t="shared" si="77"/>
        <v>41.666666666666664</v>
      </c>
      <c r="M111" s="103">
        <f>VLOOKUP(G111,'Q.3-Data'!$B$2:$C$118,2,0)*U111*$B$19/12</f>
        <v>133.68294750925426</v>
      </c>
      <c r="N111" s="103">
        <f t="shared" si="78"/>
        <v>771.97557690516021</v>
      </c>
      <c r="O111" s="102">
        <f t="shared" si="93"/>
        <v>677791.54002288706</v>
      </c>
      <c r="P111" s="102">
        <f t="shared" si="79"/>
        <v>1.0064340301100034</v>
      </c>
      <c r="Q111" s="102"/>
      <c r="R111" s="102">
        <f t="shared" si="94"/>
        <v>681944.22737342946</v>
      </c>
      <c r="S111" s="105">
        <f t="shared" si="80"/>
        <v>681033.29619268142</v>
      </c>
      <c r="U111" s="102">
        <f t="shared" si="81"/>
        <v>322208.45997711294</v>
      </c>
      <c r="W111" s="106"/>
      <c r="X111" s="107"/>
      <c r="Y111" s="107">
        <f t="shared" si="82"/>
        <v>46.487235507149563</v>
      </c>
      <c r="Z111" s="108">
        <f t="shared" si="83"/>
        <v>0</v>
      </c>
      <c r="AA111" s="107">
        <f t="shared" si="84"/>
        <v>0</v>
      </c>
      <c r="AB111" s="107">
        <f t="shared" si="85"/>
        <v>41.666666666666664</v>
      </c>
      <c r="AC111" s="107">
        <f t="shared" si="86"/>
        <v>133.68294750925426</v>
      </c>
      <c r="AD111" s="107">
        <f t="shared" si="87"/>
        <v>771.97557690516021</v>
      </c>
      <c r="AE111" s="107">
        <f t="shared" si="88"/>
        <v>85.557086405922732</v>
      </c>
      <c r="AF111" s="107">
        <f t="shared" si="89"/>
        <v>0</v>
      </c>
      <c r="AG111" s="109">
        <f t="shared" si="90"/>
        <v>0.17643112116591467</v>
      </c>
      <c r="AH111" s="110">
        <f t="shared" si="91"/>
        <v>815.45730028917478</v>
      </c>
    </row>
    <row r="112" spans="5:34" x14ac:dyDescent="0.2">
      <c r="E112" s="99">
        <f t="shared" si="92"/>
        <v>101</v>
      </c>
      <c r="F112" s="26">
        <f t="shared" si="95"/>
        <v>9</v>
      </c>
      <c r="G112" s="26">
        <f t="shared" si="72"/>
        <v>48</v>
      </c>
      <c r="H112" s="100">
        <f t="shared" si="73"/>
        <v>0</v>
      </c>
      <c r="I112" s="101">
        <f t="shared" si="74"/>
        <v>0</v>
      </c>
      <c r="J112" s="101">
        <f t="shared" si="75"/>
        <v>0</v>
      </c>
      <c r="K112" s="101">
        <f t="shared" si="76"/>
        <v>0</v>
      </c>
      <c r="L112" s="102">
        <f t="shared" si="77"/>
        <v>41.666666666666664</v>
      </c>
      <c r="M112" s="103">
        <f>VLOOKUP(G112,'Q.3-Data'!$B$2:$C$118,2,0)*U112*$B$19/12</f>
        <v>132.33795638172396</v>
      </c>
      <c r="N112" s="103">
        <f t="shared" si="78"/>
        <v>775.67073420682061</v>
      </c>
      <c r="O112" s="102">
        <f t="shared" si="93"/>
        <v>681033.29619268142</v>
      </c>
      <c r="P112" s="102">
        <f t="shared" si="79"/>
        <v>1.0064340301100034</v>
      </c>
      <c r="Q112" s="102"/>
      <c r="R112" s="102">
        <f t="shared" si="94"/>
        <v>685208.43840094178</v>
      </c>
      <c r="S112" s="105">
        <f t="shared" si="80"/>
        <v>684293.14693457773</v>
      </c>
      <c r="U112" s="102">
        <f t="shared" si="81"/>
        <v>318966.70380731858</v>
      </c>
      <c r="W112" s="106"/>
      <c r="X112" s="107"/>
      <c r="Y112" s="107">
        <f t="shared" si="82"/>
        <v>46.487235507149563</v>
      </c>
      <c r="Z112" s="108">
        <f t="shared" si="83"/>
        <v>0</v>
      </c>
      <c r="AA112" s="107">
        <f t="shared" si="84"/>
        <v>0</v>
      </c>
      <c r="AB112" s="107">
        <f t="shared" si="85"/>
        <v>41.666666666666664</v>
      </c>
      <c r="AC112" s="107">
        <f t="shared" si="86"/>
        <v>132.33795638172396</v>
      </c>
      <c r="AD112" s="107">
        <f t="shared" si="87"/>
        <v>775.67073420682061</v>
      </c>
      <c r="AE112" s="107">
        <f t="shared" si="88"/>
        <v>84.696292084303337</v>
      </c>
      <c r="AF112" s="107">
        <f t="shared" si="89"/>
        <v>0</v>
      </c>
      <c r="AG112" s="109">
        <f t="shared" si="90"/>
        <v>0.17445844344298639</v>
      </c>
      <c r="AH112" s="110">
        <f t="shared" si="91"/>
        <v>818.66628810720135</v>
      </c>
    </row>
    <row r="113" spans="5:34" x14ac:dyDescent="0.2">
      <c r="E113" s="99">
        <f t="shared" si="92"/>
        <v>102</v>
      </c>
      <c r="F113" s="26">
        <f t="shared" si="95"/>
        <v>9</v>
      </c>
      <c r="G113" s="26">
        <f t="shared" si="72"/>
        <v>48</v>
      </c>
      <c r="H113" s="100">
        <f t="shared" si="73"/>
        <v>0</v>
      </c>
      <c r="I113" s="101">
        <f t="shared" si="74"/>
        <v>0</v>
      </c>
      <c r="J113" s="101">
        <f t="shared" si="75"/>
        <v>0</v>
      </c>
      <c r="K113" s="101">
        <f t="shared" si="76"/>
        <v>0</v>
      </c>
      <c r="L113" s="102">
        <f t="shared" si="77"/>
        <v>41.666666666666664</v>
      </c>
      <c r="M113" s="103">
        <f>VLOOKUP(G113,'Q.3-Data'!$B$2:$C$118,2,0)*U113*$B$19/12</f>
        <v>130.98545789162262</v>
      </c>
      <c r="N113" s="103">
        <f t="shared" si="78"/>
        <v>779.38651683830869</v>
      </c>
      <c r="O113" s="102">
        <f t="shared" si="93"/>
        <v>684293.14693457773</v>
      </c>
      <c r="P113" s="102">
        <f t="shared" si="79"/>
        <v>1.0064340301100034</v>
      </c>
      <c r="Q113" s="102"/>
      <c r="R113" s="102">
        <f t="shared" si="94"/>
        <v>688490.86933726282</v>
      </c>
      <c r="S113" s="105">
        <f t="shared" si="80"/>
        <v>687571.19324739359</v>
      </c>
      <c r="U113" s="102">
        <f t="shared" si="81"/>
        <v>315706.85306542227</v>
      </c>
      <c r="W113" s="106"/>
      <c r="X113" s="107"/>
      <c r="Y113" s="107">
        <f t="shared" si="82"/>
        <v>46.487235507149563</v>
      </c>
      <c r="Z113" s="108">
        <f t="shared" si="83"/>
        <v>0</v>
      </c>
      <c r="AA113" s="107">
        <f t="shared" si="84"/>
        <v>0</v>
      </c>
      <c r="AB113" s="107">
        <f t="shared" si="85"/>
        <v>41.666666666666664</v>
      </c>
      <c r="AC113" s="107">
        <f t="shared" si="86"/>
        <v>130.98545789162262</v>
      </c>
      <c r="AD113" s="107">
        <f t="shared" si="87"/>
        <v>779.38651683830869</v>
      </c>
      <c r="AE113" s="107">
        <f t="shared" si="88"/>
        <v>83.830693050638487</v>
      </c>
      <c r="AF113" s="107">
        <f t="shared" si="89"/>
        <v>0</v>
      </c>
      <c r="AG113" s="109">
        <f t="shared" si="90"/>
        <v>0.17247475478727309</v>
      </c>
      <c r="AH113" s="110">
        <f t="shared" si="91"/>
        <v>821.89318759359719</v>
      </c>
    </row>
    <row r="114" spans="5:34" x14ac:dyDescent="0.2">
      <c r="E114" s="99">
        <f t="shared" si="92"/>
        <v>103</v>
      </c>
      <c r="F114" s="26">
        <f t="shared" si="95"/>
        <v>9</v>
      </c>
      <c r="G114" s="26">
        <f t="shared" si="72"/>
        <v>48</v>
      </c>
      <c r="H114" s="100">
        <f t="shared" si="73"/>
        <v>0</v>
      </c>
      <c r="I114" s="101">
        <f t="shared" si="74"/>
        <v>0</v>
      </c>
      <c r="J114" s="101">
        <f t="shared" si="75"/>
        <v>0</v>
      </c>
      <c r="K114" s="101">
        <f t="shared" si="76"/>
        <v>0</v>
      </c>
      <c r="L114" s="102">
        <f t="shared" si="77"/>
        <v>41.666666666666664</v>
      </c>
      <c r="M114" s="103">
        <f>VLOOKUP(G114,'Q.3-Data'!$B$2:$C$118,2,0)*U114*$B$19/12</f>
        <v>129.62541013496161</v>
      </c>
      <c r="N114" s="103">
        <f t="shared" si="78"/>
        <v>783.12303992442048</v>
      </c>
      <c r="O114" s="102">
        <f t="shared" si="93"/>
        <v>687571.19324739359</v>
      </c>
      <c r="P114" s="102">
        <f t="shared" si="79"/>
        <v>1.0064340301100034</v>
      </c>
      <c r="Q114" s="102"/>
      <c r="R114" s="102">
        <f t="shared" si="94"/>
        <v>691791.62188080419</v>
      </c>
      <c r="S114" s="105">
        <f t="shared" si="80"/>
        <v>690867.53669369337</v>
      </c>
      <c r="U114" s="102">
        <f t="shared" si="81"/>
        <v>312428.80675260641</v>
      </c>
      <c r="W114" s="106"/>
      <c r="X114" s="107"/>
      <c r="Y114" s="107">
        <f t="shared" si="82"/>
        <v>46.487235507149563</v>
      </c>
      <c r="Z114" s="108">
        <f t="shared" si="83"/>
        <v>0</v>
      </c>
      <c r="AA114" s="107">
        <f t="shared" si="84"/>
        <v>0</v>
      </c>
      <c r="AB114" s="107">
        <f t="shared" si="85"/>
        <v>41.666666666666664</v>
      </c>
      <c r="AC114" s="107">
        <f t="shared" si="86"/>
        <v>129.62541013496161</v>
      </c>
      <c r="AD114" s="107">
        <f t="shared" si="87"/>
        <v>783.12303992442048</v>
      </c>
      <c r="AE114" s="107">
        <f t="shared" si="88"/>
        <v>82.960262486375427</v>
      </c>
      <c r="AF114" s="107">
        <f t="shared" si="89"/>
        <v>0</v>
      </c>
      <c r="AG114" s="109">
        <f t="shared" si="90"/>
        <v>0.17047999373884143</v>
      </c>
      <c r="AH114" s="110">
        <f t="shared" si="91"/>
        <v>825.13809872626257</v>
      </c>
    </row>
    <row r="115" spans="5:34" x14ac:dyDescent="0.2">
      <c r="E115" s="99">
        <f t="shared" si="92"/>
        <v>104</v>
      </c>
      <c r="F115" s="26">
        <f t="shared" si="95"/>
        <v>9</v>
      </c>
      <c r="G115" s="26">
        <f t="shared" si="72"/>
        <v>48</v>
      </c>
      <c r="H115" s="100">
        <f t="shared" si="73"/>
        <v>0</v>
      </c>
      <c r="I115" s="101">
        <f t="shared" si="74"/>
        <v>0</v>
      </c>
      <c r="J115" s="101">
        <f t="shared" si="75"/>
        <v>0</v>
      </c>
      <c r="K115" s="101">
        <f t="shared" si="76"/>
        <v>0</v>
      </c>
      <c r="L115" s="102">
        <f t="shared" si="77"/>
        <v>41.666666666666664</v>
      </c>
      <c r="M115" s="103">
        <f>VLOOKUP(G115,'Q.3-Data'!$B$2:$C$118,2,0)*U115*$B$19/12</f>
        <v>128.2577709738562</v>
      </c>
      <c r="N115" s="103">
        <f t="shared" si="78"/>
        <v>786.88041923254661</v>
      </c>
      <c r="O115" s="102">
        <f t="shared" si="93"/>
        <v>690867.53669369337</v>
      </c>
      <c r="P115" s="102">
        <f t="shared" si="79"/>
        <v>1.0064340301100034</v>
      </c>
      <c r="Q115" s="102"/>
      <c r="R115" s="102">
        <f t="shared" si="94"/>
        <v>695110.79829762981</v>
      </c>
      <c r="S115" s="105">
        <f t="shared" si="80"/>
        <v>694182.27940293541</v>
      </c>
      <c r="U115" s="102">
        <f t="shared" si="81"/>
        <v>309132.46330630663</v>
      </c>
      <c r="W115" s="106"/>
      <c r="X115" s="107"/>
      <c r="Y115" s="107">
        <f t="shared" si="82"/>
        <v>46.487235507149563</v>
      </c>
      <c r="Z115" s="108">
        <f t="shared" si="83"/>
        <v>0</v>
      </c>
      <c r="AA115" s="107">
        <f t="shared" si="84"/>
        <v>0</v>
      </c>
      <c r="AB115" s="107">
        <f t="shared" si="85"/>
        <v>41.666666666666664</v>
      </c>
      <c r="AC115" s="107">
        <f t="shared" si="86"/>
        <v>128.2577709738562</v>
      </c>
      <c r="AD115" s="107">
        <f t="shared" si="87"/>
        <v>786.88041923254661</v>
      </c>
      <c r="AE115" s="107">
        <f t="shared" si="88"/>
        <v>82.084973423267968</v>
      </c>
      <c r="AF115" s="107">
        <f t="shared" si="89"/>
        <v>0</v>
      </c>
      <c r="AG115" s="109">
        <f t="shared" si="90"/>
        <v>0.16847409849470638</v>
      </c>
      <c r="AH115" s="110">
        <f t="shared" si="91"/>
        <v>828.40112204114655</v>
      </c>
    </row>
    <row r="116" spans="5:34" x14ac:dyDescent="0.2">
      <c r="E116" s="99">
        <f t="shared" si="92"/>
        <v>105</v>
      </c>
      <c r="F116" s="26">
        <f t="shared" si="95"/>
        <v>9</v>
      </c>
      <c r="G116" s="26">
        <f t="shared" si="72"/>
        <v>48</v>
      </c>
      <c r="H116" s="100">
        <f t="shared" si="73"/>
        <v>0</v>
      </c>
      <c r="I116" s="101">
        <f t="shared" si="74"/>
        <v>0</v>
      </c>
      <c r="J116" s="101">
        <f t="shared" si="75"/>
        <v>0</v>
      </c>
      <c r="K116" s="101">
        <f t="shared" si="76"/>
        <v>0</v>
      </c>
      <c r="L116" s="102">
        <f t="shared" si="77"/>
        <v>41.666666666666664</v>
      </c>
      <c r="M116" s="103">
        <f>VLOOKUP(G116,'Q.3-Data'!$B$2:$C$118,2,0)*U116*$B$19/12</f>
        <v>126.88249803521963</v>
      </c>
      <c r="N116" s="103">
        <f t="shared" si="78"/>
        <v>790.65877117625814</v>
      </c>
      <c r="O116" s="102">
        <f t="shared" si="93"/>
        <v>694182.27940293541</v>
      </c>
      <c r="P116" s="102">
        <f t="shared" si="79"/>
        <v>1.0064340301100034</v>
      </c>
      <c r="Q116" s="102"/>
      <c r="R116" s="102">
        <f t="shared" si="94"/>
        <v>698448.50142462365</v>
      </c>
      <c r="S116" s="105">
        <f t="shared" si="80"/>
        <v>697515.5240746357</v>
      </c>
      <c r="U116" s="102">
        <f t="shared" si="81"/>
        <v>305817.72059706459</v>
      </c>
      <c r="W116" s="106"/>
      <c r="X116" s="107"/>
      <c r="Y116" s="107">
        <f t="shared" si="82"/>
        <v>46.487235507149563</v>
      </c>
      <c r="Z116" s="108">
        <f t="shared" si="83"/>
        <v>0</v>
      </c>
      <c r="AA116" s="107">
        <f t="shared" si="84"/>
        <v>0</v>
      </c>
      <c r="AB116" s="107">
        <f t="shared" si="85"/>
        <v>41.666666666666664</v>
      </c>
      <c r="AC116" s="107">
        <f t="shared" si="86"/>
        <v>126.88249803521963</v>
      </c>
      <c r="AD116" s="107">
        <f t="shared" si="87"/>
        <v>790.65877117625814</v>
      </c>
      <c r="AE116" s="107">
        <f t="shared" si="88"/>
        <v>81.204798742540561</v>
      </c>
      <c r="AF116" s="107">
        <f t="shared" si="89"/>
        <v>0</v>
      </c>
      <c r="AG116" s="109">
        <f t="shared" si="90"/>
        <v>0.16645700690691584</v>
      </c>
      <c r="AH116" s="110">
        <f t="shared" si="91"/>
        <v>831.68235863536131</v>
      </c>
    </row>
    <row r="117" spans="5:34" x14ac:dyDescent="0.2">
      <c r="E117" s="99">
        <f t="shared" si="92"/>
        <v>106</v>
      </c>
      <c r="F117" s="26">
        <f t="shared" si="95"/>
        <v>9</v>
      </c>
      <c r="G117" s="26">
        <f t="shared" si="72"/>
        <v>48</v>
      </c>
      <c r="H117" s="100">
        <f t="shared" si="73"/>
        <v>0</v>
      </c>
      <c r="I117" s="101">
        <f t="shared" si="74"/>
        <v>0</v>
      </c>
      <c r="J117" s="101">
        <f t="shared" si="75"/>
        <v>0</v>
      </c>
      <c r="K117" s="101">
        <f t="shared" si="76"/>
        <v>0</v>
      </c>
      <c r="L117" s="102">
        <f t="shared" si="77"/>
        <v>41.666666666666664</v>
      </c>
      <c r="M117" s="103">
        <f>VLOOKUP(G117,'Q.3-Data'!$B$2:$C$118,2,0)*U117*$B$19/12</f>
        <v>125.49954870945065</v>
      </c>
      <c r="N117" s="103">
        <f t="shared" si="78"/>
        <v>794.45821281891426</v>
      </c>
      <c r="O117" s="102">
        <f t="shared" si="93"/>
        <v>697515.5240746357</v>
      </c>
      <c r="P117" s="102">
        <f t="shared" si="79"/>
        <v>1.0064340301100034</v>
      </c>
      <c r="Q117" s="102"/>
      <c r="R117" s="102">
        <f t="shared" si="94"/>
        <v>701804.83467267652</v>
      </c>
      <c r="S117" s="105">
        <f t="shared" si="80"/>
        <v>700867.37398155022</v>
      </c>
      <c r="U117" s="102">
        <f t="shared" si="81"/>
        <v>302484.4759253643</v>
      </c>
      <c r="W117" s="106"/>
      <c r="X117" s="107"/>
      <c r="Y117" s="107">
        <f t="shared" si="82"/>
        <v>46.487235507149563</v>
      </c>
      <c r="Z117" s="108">
        <f t="shared" si="83"/>
        <v>0</v>
      </c>
      <c r="AA117" s="107">
        <f t="shared" si="84"/>
        <v>0</v>
      </c>
      <c r="AB117" s="107">
        <f t="shared" si="85"/>
        <v>41.666666666666664</v>
      </c>
      <c r="AC117" s="107">
        <f t="shared" si="86"/>
        <v>125.49954870945065</v>
      </c>
      <c r="AD117" s="107">
        <f t="shared" si="87"/>
        <v>794.45821281891426</v>
      </c>
      <c r="AE117" s="107">
        <f t="shared" si="88"/>
        <v>80.319711174048422</v>
      </c>
      <c r="AF117" s="107">
        <f t="shared" si="89"/>
        <v>0</v>
      </c>
      <c r="AG117" s="109">
        <f t="shared" si="90"/>
        <v>0.16442865648062532</v>
      </c>
      <c r="AH117" s="110">
        <f t="shared" si="91"/>
        <v>834.98191017031422</v>
      </c>
    </row>
    <row r="118" spans="5:34" x14ac:dyDescent="0.2">
      <c r="E118" s="99">
        <f t="shared" si="92"/>
        <v>107</v>
      </c>
      <c r="F118" s="26">
        <f t="shared" si="95"/>
        <v>9</v>
      </c>
      <c r="G118" s="26">
        <f t="shared" si="72"/>
        <v>48</v>
      </c>
      <c r="H118" s="100">
        <f t="shared" si="73"/>
        <v>0</v>
      </c>
      <c r="I118" s="101">
        <f t="shared" si="74"/>
        <v>0</v>
      </c>
      <c r="J118" s="101">
        <f t="shared" si="75"/>
        <v>0</v>
      </c>
      <c r="K118" s="101">
        <f t="shared" si="76"/>
        <v>0</v>
      </c>
      <c r="L118" s="102">
        <f t="shared" si="77"/>
        <v>41.666666666666664</v>
      </c>
      <c r="M118" s="103">
        <f>VLOOKUP(G118,'Q.3-Data'!$B$2:$C$118,2,0)*U118*$B$19/12</f>
        <v>124.10888014911308</v>
      </c>
      <c r="N118" s="103">
        <f t="shared" si="78"/>
        <v>798.2788618772887</v>
      </c>
      <c r="O118" s="102">
        <f t="shared" si="93"/>
        <v>700867.37398155022</v>
      </c>
      <c r="P118" s="102">
        <f t="shared" si="79"/>
        <v>1.0064340301100034</v>
      </c>
      <c r="Q118" s="102"/>
      <c r="R118" s="102">
        <f t="shared" si="94"/>
        <v>705179.9020298894</v>
      </c>
      <c r="S118" s="105">
        <f t="shared" si="80"/>
        <v>704237.93297287426</v>
      </c>
      <c r="U118" s="102">
        <f t="shared" si="81"/>
        <v>299132.62601844978</v>
      </c>
      <c r="W118" s="106"/>
      <c r="X118" s="107"/>
      <c r="Y118" s="107">
        <f t="shared" si="82"/>
        <v>46.487235507149563</v>
      </c>
      <c r="Z118" s="108">
        <f t="shared" si="83"/>
        <v>0</v>
      </c>
      <c r="AA118" s="107">
        <f t="shared" si="84"/>
        <v>0</v>
      </c>
      <c r="AB118" s="107">
        <f t="shared" si="85"/>
        <v>41.666666666666664</v>
      </c>
      <c r="AC118" s="107">
        <f t="shared" si="86"/>
        <v>124.10888014911308</v>
      </c>
      <c r="AD118" s="107">
        <f t="shared" si="87"/>
        <v>798.2788618772887</v>
      </c>
      <c r="AE118" s="107">
        <f t="shared" si="88"/>
        <v>79.429683295432369</v>
      </c>
      <c r="AF118" s="107">
        <f t="shared" si="89"/>
        <v>0</v>
      </c>
      <c r="AG118" s="109">
        <f t="shared" si="90"/>
        <v>0.16238898437216168</v>
      </c>
      <c r="AH118" s="110">
        <f t="shared" si="91"/>
        <v>838.29987887485868</v>
      </c>
    </row>
    <row r="119" spans="5:34" x14ac:dyDescent="0.2">
      <c r="E119" s="99">
        <f t="shared" si="92"/>
        <v>108</v>
      </c>
      <c r="F119" s="26">
        <f t="shared" si="95"/>
        <v>9</v>
      </c>
      <c r="G119" s="26">
        <f t="shared" si="72"/>
        <v>48</v>
      </c>
      <c r="H119" s="100">
        <f t="shared" si="73"/>
        <v>0</v>
      </c>
      <c r="I119" s="101">
        <f t="shared" si="74"/>
        <v>0</v>
      </c>
      <c r="J119" s="101">
        <f t="shared" si="75"/>
        <v>0</v>
      </c>
      <c r="K119" s="101">
        <f t="shared" si="76"/>
        <v>0</v>
      </c>
      <c r="L119" s="102">
        <f t="shared" si="77"/>
        <v>41.666666666666664</v>
      </c>
      <c r="M119" s="103">
        <f>VLOOKUP(G119,'Q.3-Data'!$B$2:$C$118,2,0)*U119*$B$19/12</f>
        <v>122.71044926760852</v>
      </c>
      <c r="N119" s="103">
        <f t="shared" si="78"/>
        <v>802.12083672521783</v>
      </c>
      <c r="O119" s="102">
        <f t="shared" si="93"/>
        <v>704237.93297287426</v>
      </c>
      <c r="P119" s="102">
        <f t="shared" si="79"/>
        <v>1.0064340301100034</v>
      </c>
      <c r="Q119" s="102"/>
      <c r="R119" s="102">
        <f t="shared" si="94"/>
        <v>708573.80806479626</v>
      </c>
      <c r="S119" s="105">
        <f t="shared" si="80"/>
        <v>707627.3054774605</v>
      </c>
      <c r="U119" s="102">
        <f t="shared" si="81"/>
        <v>295762.06702712574</v>
      </c>
      <c r="W119" s="106"/>
      <c r="X119" s="107"/>
      <c r="Y119" s="107">
        <f t="shared" si="82"/>
        <v>46.487235507149563</v>
      </c>
      <c r="Z119" s="108">
        <f t="shared" si="83"/>
        <v>0</v>
      </c>
      <c r="AA119" s="107">
        <f t="shared" si="84"/>
        <v>0</v>
      </c>
      <c r="AB119" s="107">
        <f t="shared" si="85"/>
        <v>41.666666666666664</v>
      </c>
      <c r="AC119" s="107">
        <f t="shared" si="86"/>
        <v>122.71044926760852</v>
      </c>
      <c r="AD119" s="107">
        <f t="shared" si="87"/>
        <v>802.12083672521783</v>
      </c>
      <c r="AE119" s="107">
        <f t="shared" si="88"/>
        <v>78.534687531269469</v>
      </c>
      <c r="AF119" s="107">
        <f t="shared" si="89"/>
        <v>0</v>
      </c>
      <c r="AG119" s="109">
        <f t="shared" si="90"/>
        <v>0.16033792738707631</v>
      </c>
      <c r="AH119" s="110">
        <f t="shared" si="91"/>
        <v>841.63636754846107</v>
      </c>
    </row>
    <row r="120" spans="5:34" x14ac:dyDescent="0.2">
      <c r="E120" s="99">
        <f t="shared" si="92"/>
        <v>109</v>
      </c>
      <c r="F120" s="26">
        <f t="shared" si="95"/>
        <v>10</v>
      </c>
      <c r="G120" s="26">
        <f t="shared" si="72"/>
        <v>49</v>
      </c>
      <c r="H120" s="100">
        <f t="shared" si="73"/>
        <v>0</v>
      </c>
      <c r="I120" s="101">
        <f t="shared" si="74"/>
        <v>0</v>
      </c>
      <c r="J120" s="101">
        <f t="shared" si="75"/>
        <v>0</v>
      </c>
      <c r="K120" s="101">
        <f t="shared" si="76"/>
        <v>0</v>
      </c>
      <c r="L120" s="102">
        <f t="shared" si="77"/>
        <v>41.666666666666664</v>
      </c>
      <c r="M120" s="103">
        <f>VLOOKUP(G120,'Q.3-Data'!$B$2:$C$118,2,0)*U120*$B$19/12</f>
        <v>135.3441931727256</v>
      </c>
      <c r="N120" s="103">
        <f t="shared" si="78"/>
        <v>805.96538132921353</v>
      </c>
      <c r="O120" s="102">
        <f t="shared" si="93"/>
        <v>707627.3054774605</v>
      </c>
      <c r="P120" s="102">
        <f t="shared" si="79"/>
        <v>1.0064340301100034</v>
      </c>
      <c r="Q120" s="102"/>
      <c r="R120" s="102">
        <f t="shared" si="94"/>
        <v>711969.98415897426</v>
      </c>
      <c r="S120" s="105">
        <f t="shared" si="80"/>
        <v>711018.94500900584</v>
      </c>
      <c r="U120" s="102">
        <f t="shared" si="81"/>
        <v>292372.6945225395</v>
      </c>
      <c r="W120" s="106"/>
      <c r="X120" s="107"/>
      <c r="Y120" s="107">
        <f t="shared" si="82"/>
        <v>49.276469637578543</v>
      </c>
      <c r="Z120" s="108">
        <f t="shared" si="83"/>
        <v>0</v>
      </c>
      <c r="AA120" s="107">
        <f t="shared" si="84"/>
        <v>0</v>
      </c>
      <c r="AB120" s="107">
        <f t="shared" si="85"/>
        <v>41.666666666666664</v>
      </c>
      <c r="AC120" s="107">
        <f t="shared" si="86"/>
        <v>135.3441931727256</v>
      </c>
      <c r="AD120" s="107">
        <f t="shared" si="87"/>
        <v>805.96538132921353</v>
      </c>
      <c r="AE120" s="107">
        <f t="shared" si="88"/>
        <v>86.620283630544392</v>
      </c>
      <c r="AF120" s="107">
        <f t="shared" si="89"/>
        <v>0</v>
      </c>
      <c r="AG120" s="109">
        <f t="shared" si="90"/>
        <v>0.16750395942546134</v>
      </c>
      <c r="AH120" s="110">
        <f t="shared" si="91"/>
        <v>847.24699185990835</v>
      </c>
    </row>
    <row r="121" spans="5:34" x14ac:dyDescent="0.2">
      <c r="E121" s="99">
        <f t="shared" si="92"/>
        <v>110</v>
      </c>
      <c r="F121" s="26">
        <f t="shared" si="95"/>
        <v>10</v>
      </c>
      <c r="G121" s="26">
        <f t="shared" si="72"/>
        <v>49</v>
      </c>
      <c r="H121" s="100">
        <f t="shared" si="73"/>
        <v>0</v>
      </c>
      <c r="I121" s="101">
        <f t="shared" si="74"/>
        <v>0</v>
      </c>
      <c r="J121" s="101">
        <f t="shared" si="75"/>
        <v>0</v>
      </c>
      <c r="K121" s="101">
        <f t="shared" si="76"/>
        <v>0</v>
      </c>
      <c r="L121" s="102">
        <f t="shared" si="77"/>
        <v>41.666666666666664</v>
      </c>
      <c r="M121" s="103">
        <f>VLOOKUP(G121,'Q.3-Data'!$B$2:$C$118,2,0)*U121*$B$19/12</f>
        <v>133.77414670624771</v>
      </c>
      <c r="N121" s="103">
        <f t="shared" si="78"/>
        <v>809.83160405928129</v>
      </c>
      <c r="O121" s="102">
        <f t="shared" si="93"/>
        <v>711018.94500900584</v>
      </c>
      <c r="P121" s="102">
        <f t="shared" si="79"/>
        <v>1.0064340301100034</v>
      </c>
      <c r="Q121" s="102"/>
      <c r="R121" s="102">
        <f t="shared" si="94"/>
        <v>715385.31017625518</v>
      </c>
      <c r="S121" s="105">
        <f t="shared" si="80"/>
        <v>714429.70888346527</v>
      </c>
      <c r="U121" s="102">
        <f t="shared" si="81"/>
        <v>288981.05499099416</v>
      </c>
      <c r="W121" s="106"/>
      <c r="X121" s="107"/>
      <c r="Y121" s="107">
        <f t="shared" si="82"/>
        <v>49.276469637578543</v>
      </c>
      <c r="Z121" s="108">
        <f t="shared" si="83"/>
        <v>0</v>
      </c>
      <c r="AA121" s="107">
        <f t="shared" si="84"/>
        <v>0</v>
      </c>
      <c r="AB121" s="107">
        <f t="shared" si="85"/>
        <v>41.666666666666664</v>
      </c>
      <c r="AC121" s="107">
        <f t="shared" si="86"/>
        <v>133.77414670624771</v>
      </c>
      <c r="AD121" s="107">
        <f t="shared" si="87"/>
        <v>809.83160405928129</v>
      </c>
      <c r="AE121" s="107">
        <f t="shared" si="88"/>
        <v>85.615453891998527</v>
      </c>
      <c r="AF121" s="107">
        <f t="shared" si="89"/>
        <v>0</v>
      </c>
      <c r="AG121" s="109">
        <f t="shared" si="90"/>
        <v>0.16520119651127763</v>
      </c>
      <c r="AH121" s="110">
        <f t="shared" si="91"/>
        <v>850.54569509912983</v>
      </c>
    </row>
    <row r="122" spans="5:34" x14ac:dyDescent="0.2">
      <c r="E122" s="99">
        <f t="shared" si="92"/>
        <v>111</v>
      </c>
      <c r="F122" s="26">
        <f t="shared" si="95"/>
        <v>10</v>
      </c>
      <c r="G122" s="26">
        <f t="shared" si="72"/>
        <v>49</v>
      </c>
      <c r="H122" s="100">
        <f t="shared" si="73"/>
        <v>0</v>
      </c>
      <c r="I122" s="101">
        <f t="shared" si="74"/>
        <v>0</v>
      </c>
      <c r="J122" s="101">
        <f t="shared" si="75"/>
        <v>0</v>
      </c>
      <c r="K122" s="101">
        <f t="shared" si="76"/>
        <v>0</v>
      </c>
      <c r="L122" s="102">
        <f t="shared" si="77"/>
        <v>41.666666666666664</v>
      </c>
      <c r="M122" s="103">
        <f>VLOOKUP(G122,'Q.3-Data'!$B$2:$C$118,2,0)*U122*$B$19/12</f>
        <v>132.19524726269586</v>
      </c>
      <c r="N122" s="103">
        <f t="shared" si="78"/>
        <v>813.71962715126381</v>
      </c>
      <c r="O122" s="102">
        <f t="shared" si="93"/>
        <v>714429.70888346527</v>
      </c>
      <c r="P122" s="102">
        <f t="shared" si="79"/>
        <v>1.0064340301100034</v>
      </c>
      <c r="Q122" s="102"/>
      <c r="R122" s="102">
        <f t="shared" si="94"/>
        <v>718819.89409677451</v>
      </c>
      <c r="S122" s="105">
        <f t="shared" si="80"/>
        <v>717859.70493673603</v>
      </c>
      <c r="U122" s="102">
        <f t="shared" si="81"/>
        <v>285570.29111653473</v>
      </c>
      <c r="W122" s="106"/>
      <c r="X122" s="107"/>
      <c r="Y122" s="107">
        <f t="shared" si="82"/>
        <v>49.276469637578543</v>
      </c>
      <c r="Z122" s="108">
        <f t="shared" si="83"/>
        <v>0</v>
      </c>
      <c r="AA122" s="107">
        <f t="shared" si="84"/>
        <v>0</v>
      </c>
      <c r="AB122" s="107">
        <f t="shared" si="85"/>
        <v>41.666666666666664</v>
      </c>
      <c r="AC122" s="107">
        <f t="shared" si="86"/>
        <v>132.19524726269586</v>
      </c>
      <c r="AD122" s="107">
        <f t="shared" si="87"/>
        <v>813.71962715126381</v>
      </c>
      <c r="AE122" s="107">
        <f t="shared" si="88"/>
        <v>84.604958248125357</v>
      </c>
      <c r="AF122" s="107">
        <f t="shared" si="89"/>
        <v>0</v>
      </c>
      <c r="AG122" s="109">
        <f t="shared" si="90"/>
        <v>0.16288544907229069</v>
      </c>
      <c r="AH122" s="110">
        <f t="shared" si="91"/>
        <v>853.86299864399462</v>
      </c>
    </row>
    <row r="123" spans="5:34" x14ac:dyDescent="0.2">
      <c r="E123" s="99">
        <f t="shared" si="92"/>
        <v>112</v>
      </c>
      <c r="F123" s="26">
        <f t="shared" si="95"/>
        <v>10</v>
      </c>
      <c r="G123" s="26">
        <f t="shared" si="72"/>
        <v>49</v>
      </c>
      <c r="H123" s="100">
        <f t="shared" si="73"/>
        <v>0</v>
      </c>
      <c r="I123" s="101">
        <f t="shared" si="74"/>
        <v>0</v>
      </c>
      <c r="J123" s="101">
        <f t="shared" si="75"/>
        <v>0</v>
      </c>
      <c r="K123" s="101">
        <f t="shared" si="76"/>
        <v>0</v>
      </c>
      <c r="L123" s="102">
        <f t="shared" si="77"/>
        <v>41.666666666666664</v>
      </c>
      <c r="M123" s="103">
        <f>VLOOKUP(G123,'Q.3-Data'!$B$2:$C$118,2,0)*U123*$B$19/12</f>
        <v>130.60744492303593</v>
      </c>
      <c r="N123" s="103">
        <f t="shared" si="78"/>
        <v>817.62957353025183</v>
      </c>
      <c r="O123" s="102">
        <f t="shared" si="93"/>
        <v>717859.70493673603</v>
      </c>
      <c r="P123" s="102">
        <f t="shared" si="79"/>
        <v>1.0064340301100034</v>
      </c>
      <c r="Q123" s="102"/>
      <c r="R123" s="102">
        <f t="shared" si="94"/>
        <v>722273.84450953233</v>
      </c>
      <c r="S123" s="105">
        <f t="shared" si="80"/>
        <v>721309.04161276668</v>
      </c>
      <c r="U123" s="102">
        <f t="shared" si="81"/>
        <v>282140.29506326397</v>
      </c>
      <c r="W123" s="106"/>
      <c r="X123" s="107"/>
      <c r="Y123" s="107">
        <f t="shared" si="82"/>
        <v>49.276469637578543</v>
      </c>
      <c r="Z123" s="108">
        <f t="shared" si="83"/>
        <v>0</v>
      </c>
      <c r="AA123" s="107">
        <f t="shared" si="84"/>
        <v>0</v>
      </c>
      <c r="AB123" s="107">
        <f t="shared" si="85"/>
        <v>41.666666666666664</v>
      </c>
      <c r="AC123" s="107">
        <f t="shared" si="86"/>
        <v>130.60744492303593</v>
      </c>
      <c r="AD123" s="107">
        <f t="shared" si="87"/>
        <v>817.62957353025183</v>
      </c>
      <c r="AE123" s="107">
        <f t="shared" si="88"/>
        <v>83.588764750742996</v>
      </c>
      <c r="AF123" s="107">
        <f t="shared" si="89"/>
        <v>0</v>
      </c>
      <c r="AG123" s="109">
        <f t="shared" si="90"/>
        <v>0.16055664389302388</v>
      </c>
      <c r="AH123" s="110">
        <f t="shared" si="91"/>
        <v>857.19900737552598</v>
      </c>
    </row>
    <row r="124" spans="5:34" x14ac:dyDescent="0.2">
      <c r="E124" s="99">
        <f t="shared" si="92"/>
        <v>113</v>
      </c>
      <c r="F124" s="26">
        <f t="shared" si="95"/>
        <v>10</v>
      </c>
      <c r="G124" s="26">
        <f t="shared" si="72"/>
        <v>49</v>
      </c>
      <c r="H124" s="100">
        <f t="shared" si="73"/>
        <v>0</v>
      </c>
      <c r="I124" s="101">
        <f t="shared" si="74"/>
        <v>0</v>
      </c>
      <c r="J124" s="101">
        <f t="shared" si="75"/>
        <v>0</v>
      </c>
      <c r="K124" s="101">
        <f t="shared" si="76"/>
        <v>0</v>
      </c>
      <c r="L124" s="102">
        <f t="shared" si="77"/>
        <v>41.666666666666664</v>
      </c>
      <c r="M124" s="103">
        <f>VLOOKUP(G124,'Q.3-Data'!$B$2:$C$118,2,0)*U124*$B$19/12</f>
        <v>129.01068948675677</v>
      </c>
      <c r="N124" s="103">
        <f t="shared" si="78"/>
        <v>821.56156681447044</v>
      </c>
      <c r="O124" s="102">
        <f t="shared" si="93"/>
        <v>721309.04161276668</v>
      </c>
      <c r="P124" s="102">
        <f t="shared" si="79"/>
        <v>1.0064340301100034</v>
      </c>
      <c r="Q124" s="102"/>
      <c r="R124" s="102">
        <f t="shared" si="94"/>
        <v>725747.27061582659</v>
      </c>
      <c r="S124" s="105">
        <f t="shared" si="80"/>
        <v>724777.82796698553</v>
      </c>
      <c r="U124" s="102">
        <f t="shared" si="81"/>
        <v>278690.95838723332</v>
      </c>
      <c r="W124" s="106"/>
      <c r="X124" s="107"/>
      <c r="Y124" s="107">
        <f t="shared" si="82"/>
        <v>49.276469637578543</v>
      </c>
      <c r="Z124" s="108">
        <f t="shared" si="83"/>
        <v>0</v>
      </c>
      <c r="AA124" s="107">
        <f t="shared" si="84"/>
        <v>0</v>
      </c>
      <c r="AB124" s="107">
        <f t="shared" si="85"/>
        <v>41.666666666666664</v>
      </c>
      <c r="AC124" s="107">
        <f t="shared" si="86"/>
        <v>129.01068948675677</v>
      </c>
      <c r="AD124" s="107">
        <f t="shared" si="87"/>
        <v>821.56156681447044</v>
      </c>
      <c r="AE124" s="107">
        <f t="shared" si="88"/>
        <v>82.566841271524339</v>
      </c>
      <c r="AF124" s="107">
        <f t="shared" si="89"/>
        <v>0</v>
      </c>
      <c r="AG124" s="109">
        <f t="shared" si="90"/>
        <v>0.15821470734516258</v>
      </c>
      <c r="AH124" s="110">
        <f t="shared" si="91"/>
        <v>860.55382676613601</v>
      </c>
    </row>
    <row r="125" spans="5:34" x14ac:dyDescent="0.2">
      <c r="E125" s="99">
        <f t="shared" si="92"/>
        <v>114</v>
      </c>
      <c r="F125" s="26">
        <f t="shared" si="95"/>
        <v>10</v>
      </c>
      <c r="G125" s="26">
        <f t="shared" si="72"/>
        <v>49</v>
      </c>
      <c r="H125" s="100">
        <f t="shared" si="73"/>
        <v>0</v>
      </c>
      <c r="I125" s="101">
        <f t="shared" si="74"/>
        <v>0</v>
      </c>
      <c r="J125" s="101">
        <f t="shared" si="75"/>
        <v>0</v>
      </c>
      <c r="K125" s="101">
        <f t="shared" si="76"/>
        <v>0</v>
      </c>
      <c r="L125" s="102">
        <f t="shared" si="77"/>
        <v>41.666666666666664</v>
      </c>
      <c r="M125" s="103">
        <f>VLOOKUP(G125,'Q.3-Data'!$B$2:$C$118,2,0)*U125*$B$19/12</f>
        <v>127.40493047028296</v>
      </c>
      <c r="N125" s="103">
        <f t="shared" si="78"/>
        <v>825.51573131918701</v>
      </c>
      <c r="O125" s="102">
        <f t="shared" si="93"/>
        <v>724777.82796698553</v>
      </c>
      <c r="P125" s="102">
        <f t="shared" si="79"/>
        <v>1.0064340301100034</v>
      </c>
      <c r="Q125" s="102"/>
      <c r="R125" s="102">
        <f t="shared" si="94"/>
        <v>729240.28223270527</v>
      </c>
      <c r="S125" s="105">
        <f t="shared" si="80"/>
        <v>728266.17366974859</v>
      </c>
      <c r="U125" s="102">
        <f t="shared" si="81"/>
        <v>275222.17203301447</v>
      </c>
      <c r="W125" s="106"/>
      <c r="X125" s="107"/>
      <c r="Y125" s="107">
        <f t="shared" si="82"/>
        <v>49.276469637578543</v>
      </c>
      <c r="Z125" s="108">
        <f t="shared" si="83"/>
        <v>0</v>
      </c>
      <c r="AA125" s="107">
        <f t="shared" si="84"/>
        <v>0</v>
      </c>
      <c r="AB125" s="107">
        <f t="shared" si="85"/>
        <v>41.666666666666664</v>
      </c>
      <c r="AC125" s="107">
        <f t="shared" si="86"/>
        <v>127.40493047028296</v>
      </c>
      <c r="AD125" s="107">
        <f t="shared" si="87"/>
        <v>825.51573131918701</v>
      </c>
      <c r="AE125" s="107">
        <f t="shared" si="88"/>
        <v>81.53915550098111</v>
      </c>
      <c r="AF125" s="107">
        <f t="shared" si="89"/>
        <v>0</v>
      </c>
      <c r="AG125" s="109">
        <f t="shared" si="90"/>
        <v>0.15585956538522605</v>
      </c>
      <c r="AH125" s="110">
        <f t="shared" si="91"/>
        <v>863.92756288296221</v>
      </c>
    </row>
    <row r="126" spans="5:34" x14ac:dyDescent="0.2">
      <c r="E126" s="99">
        <f t="shared" si="92"/>
        <v>115</v>
      </c>
      <c r="F126" s="26">
        <f t="shared" si="95"/>
        <v>10</v>
      </c>
      <c r="G126" s="26">
        <f t="shared" si="72"/>
        <v>49</v>
      </c>
      <c r="H126" s="100">
        <f t="shared" si="73"/>
        <v>0</v>
      </c>
      <c r="I126" s="101">
        <f t="shared" si="74"/>
        <v>0</v>
      </c>
      <c r="J126" s="101">
        <f t="shared" si="75"/>
        <v>0</v>
      </c>
      <c r="K126" s="101">
        <f t="shared" si="76"/>
        <v>0</v>
      </c>
      <c r="L126" s="102">
        <f t="shared" si="77"/>
        <v>41.666666666666664</v>
      </c>
      <c r="M126" s="103">
        <f>VLOOKUP(G126,'Q.3-Data'!$B$2:$C$118,2,0)*U126*$B$19/12</f>
        <v>125.79011710537888</v>
      </c>
      <c r="N126" s="103">
        <f t="shared" si="78"/>
        <v>829.49219206064208</v>
      </c>
      <c r="O126" s="102">
        <f t="shared" si="93"/>
        <v>728266.17366974859</v>
      </c>
      <c r="P126" s="102">
        <f t="shared" si="79"/>
        <v>1.0064340301100034</v>
      </c>
      <c r="Q126" s="102"/>
      <c r="R126" s="102">
        <f t="shared" si="94"/>
        <v>732752.98979643884</v>
      </c>
      <c r="S126" s="105">
        <f t="shared" si="80"/>
        <v>731774.18900980731</v>
      </c>
      <c r="U126" s="102">
        <f t="shared" si="81"/>
        <v>271733.82633025141</v>
      </c>
      <c r="W126" s="106"/>
      <c r="X126" s="107"/>
      <c r="Y126" s="107">
        <f t="shared" si="82"/>
        <v>49.276469637578543</v>
      </c>
      <c r="Z126" s="108">
        <f t="shared" si="83"/>
        <v>0</v>
      </c>
      <c r="AA126" s="107">
        <f t="shared" si="84"/>
        <v>0</v>
      </c>
      <c r="AB126" s="107">
        <f t="shared" si="85"/>
        <v>41.666666666666664</v>
      </c>
      <c r="AC126" s="107">
        <f t="shared" si="86"/>
        <v>125.79011710537888</v>
      </c>
      <c r="AD126" s="107">
        <f t="shared" si="87"/>
        <v>829.49219206064208</v>
      </c>
      <c r="AE126" s="107">
        <f t="shared" si="88"/>
        <v>80.505674947442486</v>
      </c>
      <c r="AF126" s="107">
        <f t="shared" si="89"/>
        <v>0</v>
      </c>
      <c r="AG126" s="109">
        <f t="shared" si="90"/>
        <v>0.15349114355222687</v>
      </c>
      <c r="AH126" s="110">
        <f t="shared" si="91"/>
        <v>867.32032239121884</v>
      </c>
    </row>
    <row r="127" spans="5:34" x14ac:dyDescent="0.2">
      <c r="E127" s="99">
        <f t="shared" si="92"/>
        <v>116</v>
      </c>
      <c r="F127" s="26">
        <f t="shared" si="95"/>
        <v>10</v>
      </c>
      <c r="G127" s="26">
        <f t="shared" si="72"/>
        <v>49</v>
      </c>
      <c r="H127" s="100">
        <f t="shared" si="73"/>
        <v>0</v>
      </c>
      <c r="I127" s="101">
        <f t="shared" si="74"/>
        <v>0</v>
      </c>
      <c r="J127" s="101">
        <f t="shared" si="75"/>
        <v>0</v>
      </c>
      <c r="K127" s="101">
        <f t="shared" si="76"/>
        <v>0</v>
      </c>
      <c r="L127" s="102">
        <f t="shared" si="77"/>
        <v>41.666666666666664</v>
      </c>
      <c r="M127" s="103">
        <f>VLOOKUP(G127,'Q.3-Data'!$B$2:$C$118,2,0)*U127*$B$19/12</f>
        <v>124.16619833754338</v>
      </c>
      <c r="N127" s="103">
        <f t="shared" si="78"/>
        <v>833.49107476000188</v>
      </c>
      <c r="O127" s="102">
        <f t="shared" si="93"/>
        <v>731774.18900980731</v>
      </c>
      <c r="P127" s="102">
        <f t="shared" si="79"/>
        <v>1.0064340301100034</v>
      </c>
      <c r="Q127" s="102"/>
      <c r="R127" s="102">
        <f t="shared" si="94"/>
        <v>736285.50436601171</v>
      </c>
      <c r="S127" s="105">
        <f t="shared" si="80"/>
        <v>735301.9848977949</v>
      </c>
      <c r="U127" s="102">
        <f t="shared" si="81"/>
        <v>268225.81099019269</v>
      </c>
      <c r="W127" s="106"/>
      <c r="X127" s="107"/>
      <c r="Y127" s="107">
        <f t="shared" si="82"/>
        <v>49.276469637578543</v>
      </c>
      <c r="Z127" s="108">
        <f t="shared" si="83"/>
        <v>0</v>
      </c>
      <c r="AA127" s="107">
        <f t="shared" si="84"/>
        <v>0</v>
      </c>
      <c r="AB127" s="107">
        <f t="shared" si="85"/>
        <v>41.666666666666664</v>
      </c>
      <c r="AC127" s="107">
        <f t="shared" si="86"/>
        <v>124.16619833754338</v>
      </c>
      <c r="AD127" s="107">
        <f t="shared" si="87"/>
        <v>833.49107476000188</v>
      </c>
      <c r="AE127" s="107">
        <f t="shared" si="88"/>
        <v>79.466366936027768</v>
      </c>
      <c r="AF127" s="107">
        <f t="shared" si="89"/>
        <v>0</v>
      </c>
      <c r="AG127" s="109">
        <f t="shared" si="90"/>
        <v>0.15110936696531624</v>
      </c>
      <c r="AH127" s="110">
        <f t="shared" si="91"/>
        <v>870.73221255757085</v>
      </c>
    </row>
    <row r="128" spans="5:34" x14ac:dyDescent="0.2">
      <c r="E128" s="99">
        <f t="shared" si="92"/>
        <v>117</v>
      </c>
      <c r="F128" s="26">
        <f t="shared" si="95"/>
        <v>10</v>
      </c>
      <c r="G128" s="26">
        <f t="shared" si="72"/>
        <v>49</v>
      </c>
      <c r="H128" s="100">
        <f t="shared" si="73"/>
        <v>0</v>
      </c>
      <c r="I128" s="101">
        <f t="shared" si="74"/>
        <v>0</v>
      </c>
      <c r="J128" s="101">
        <f t="shared" si="75"/>
        <v>0</v>
      </c>
      <c r="K128" s="101">
        <f t="shared" si="76"/>
        <v>0</v>
      </c>
      <c r="L128" s="102">
        <f t="shared" si="77"/>
        <v>41.666666666666664</v>
      </c>
      <c r="M128" s="103">
        <f>VLOOKUP(G128,'Q.3-Data'!$B$2:$C$118,2,0)*U128*$B$19/12</f>
        <v>122.53312282439578</v>
      </c>
      <c r="N128" s="103">
        <f t="shared" si="78"/>
        <v>837.51250584733293</v>
      </c>
      <c r="O128" s="102">
        <f t="shared" si="93"/>
        <v>735301.9848977949</v>
      </c>
      <c r="P128" s="102">
        <f t="shared" si="79"/>
        <v>1.0064340301100034</v>
      </c>
      <c r="Q128" s="102"/>
      <c r="R128" s="102">
        <f t="shared" si="94"/>
        <v>739837.93762663333</v>
      </c>
      <c r="S128" s="105">
        <f t="shared" si="80"/>
        <v>738849.67286973342</v>
      </c>
      <c r="U128" s="102">
        <f t="shared" si="81"/>
        <v>264698.0151022051</v>
      </c>
      <c r="W128" s="106"/>
      <c r="X128" s="107"/>
      <c r="Y128" s="107">
        <f t="shared" si="82"/>
        <v>49.276469637578543</v>
      </c>
      <c r="Z128" s="108">
        <f t="shared" si="83"/>
        <v>0</v>
      </c>
      <c r="AA128" s="107">
        <f t="shared" si="84"/>
        <v>0</v>
      </c>
      <c r="AB128" s="107">
        <f t="shared" si="85"/>
        <v>41.666666666666664</v>
      </c>
      <c r="AC128" s="107">
        <f t="shared" si="86"/>
        <v>122.53312282439578</v>
      </c>
      <c r="AD128" s="107">
        <f t="shared" si="87"/>
        <v>837.51250584733293</v>
      </c>
      <c r="AE128" s="107">
        <f t="shared" si="88"/>
        <v>78.421198607613292</v>
      </c>
      <c r="AF128" s="107">
        <f t="shared" si="89"/>
        <v>0</v>
      </c>
      <c r="AG128" s="109">
        <f t="shared" si="90"/>
        <v>0.14871416032141727</v>
      </c>
      <c r="AH128" s="110">
        <f t="shared" si="91"/>
        <v>874.163341253525</v>
      </c>
    </row>
    <row r="129" spans="5:34" x14ac:dyDescent="0.2">
      <c r="E129" s="99">
        <f t="shared" si="92"/>
        <v>118</v>
      </c>
      <c r="F129" s="26">
        <f t="shared" si="95"/>
        <v>10</v>
      </c>
      <c r="G129" s="26">
        <f t="shared" si="72"/>
        <v>49</v>
      </c>
      <c r="H129" s="100">
        <f t="shared" si="73"/>
        <v>0</v>
      </c>
      <c r="I129" s="101">
        <f t="shared" si="74"/>
        <v>0</v>
      </c>
      <c r="J129" s="101">
        <f t="shared" si="75"/>
        <v>0</v>
      </c>
      <c r="K129" s="101">
        <f t="shared" si="76"/>
        <v>0</v>
      </c>
      <c r="L129" s="102">
        <f t="shared" si="77"/>
        <v>41.666666666666664</v>
      </c>
      <c r="M129" s="103">
        <f>VLOOKUP(G129,'Q.3-Data'!$B$2:$C$118,2,0)*U129*$B$19/12</f>
        <v>120.89083893405257</v>
      </c>
      <c r="N129" s="103">
        <f t="shared" si="78"/>
        <v>841.55661246559941</v>
      </c>
      <c r="O129" s="102">
        <f t="shared" si="93"/>
        <v>738849.67286973342</v>
      </c>
      <c r="P129" s="102">
        <f t="shared" si="79"/>
        <v>1.0064340301100034</v>
      </c>
      <c r="Q129" s="102"/>
      <c r="R129" s="102">
        <f t="shared" si="94"/>
        <v>743410.4018932695</v>
      </c>
      <c r="S129" s="105">
        <f t="shared" si="80"/>
        <v>742417.36509056005</v>
      </c>
      <c r="U129" s="102">
        <f t="shared" si="81"/>
        <v>261150.32713026658</v>
      </c>
      <c r="W129" s="106"/>
      <c r="X129" s="107"/>
      <c r="Y129" s="107">
        <f t="shared" si="82"/>
        <v>49.276469637578543</v>
      </c>
      <c r="Z129" s="108">
        <f t="shared" si="83"/>
        <v>0</v>
      </c>
      <c r="AA129" s="107">
        <f t="shared" si="84"/>
        <v>0</v>
      </c>
      <c r="AB129" s="107">
        <f t="shared" si="85"/>
        <v>41.666666666666664</v>
      </c>
      <c r="AC129" s="107">
        <f t="shared" si="86"/>
        <v>120.89083893405257</v>
      </c>
      <c r="AD129" s="107">
        <f t="shared" si="87"/>
        <v>841.55661246559941</v>
      </c>
      <c r="AE129" s="107">
        <f t="shared" si="88"/>
        <v>77.370136917793644</v>
      </c>
      <c r="AF129" s="107">
        <f t="shared" si="89"/>
        <v>0</v>
      </c>
      <c r="AG129" s="109">
        <f t="shared" si="90"/>
        <v>0.1463054478928433</v>
      </c>
      <c r="AH129" s="110">
        <f t="shared" si="91"/>
        <v>877.61381695883927</v>
      </c>
    </row>
    <row r="130" spans="5:34" x14ac:dyDescent="0.2">
      <c r="E130" s="99">
        <f t="shared" si="92"/>
        <v>119</v>
      </c>
      <c r="F130" s="26">
        <f t="shared" si="95"/>
        <v>10</v>
      </c>
      <c r="G130" s="26">
        <f t="shared" si="72"/>
        <v>49</v>
      </c>
      <c r="H130" s="100">
        <f t="shared" si="73"/>
        <v>0</v>
      </c>
      <c r="I130" s="101">
        <f t="shared" si="74"/>
        <v>0</v>
      </c>
      <c r="J130" s="101">
        <f t="shared" si="75"/>
        <v>0</v>
      </c>
      <c r="K130" s="101">
        <f t="shared" si="76"/>
        <v>0</v>
      </c>
      <c r="L130" s="102">
        <f t="shared" si="77"/>
        <v>41.666666666666664</v>
      </c>
      <c r="M130" s="103">
        <f>VLOOKUP(G130,'Q.3-Data'!$B$2:$C$118,2,0)*U130*$B$19/12</f>
        <v>119.2392947434949</v>
      </c>
      <c r="N130" s="103">
        <f t="shared" si="78"/>
        <v>845.62352247468323</v>
      </c>
      <c r="O130" s="102">
        <f t="shared" si="93"/>
        <v>742417.36509056005</v>
      </c>
      <c r="P130" s="102">
        <f t="shared" si="79"/>
        <v>1.0064340301100034</v>
      </c>
      <c r="Q130" s="102"/>
      <c r="R130" s="102">
        <f t="shared" si="94"/>
        <v>747003.01011419343</v>
      </c>
      <c r="S130" s="105">
        <f t="shared" si="80"/>
        <v>746005.17435767327</v>
      </c>
      <c r="U130" s="102">
        <f t="shared" si="81"/>
        <v>257582.63490943995</v>
      </c>
      <c r="W130" s="106"/>
      <c r="X130" s="107"/>
      <c r="Y130" s="107">
        <f t="shared" si="82"/>
        <v>49.276469637578543</v>
      </c>
      <c r="Z130" s="108">
        <f t="shared" si="83"/>
        <v>0</v>
      </c>
      <c r="AA130" s="107">
        <f t="shared" si="84"/>
        <v>0</v>
      </c>
      <c r="AB130" s="107">
        <f t="shared" si="85"/>
        <v>41.666666666666664</v>
      </c>
      <c r="AC130" s="107">
        <f t="shared" si="86"/>
        <v>119.2392947434949</v>
      </c>
      <c r="AD130" s="107">
        <f t="shared" si="87"/>
        <v>845.62352247468323</v>
      </c>
      <c r="AE130" s="107">
        <f t="shared" si="88"/>
        <v>76.313148635836725</v>
      </c>
      <c r="AF130" s="107">
        <f t="shared" si="89"/>
        <v>0</v>
      </c>
      <c r="AG130" s="109">
        <f t="shared" si="90"/>
        <v>0.14388315352490433</v>
      </c>
      <c r="AH130" s="110">
        <f t="shared" si="91"/>
        <v>881.08374876495452</v>
      </c>
    </row>
    <row r="131" spans="5:34" x14ac:dyDescent="0.2">
      <c r="E131" s="99">
        <f t="shared" si="92"/>
        <v>120</v>
      </c>
      <c r="F131" s="26">
        <f t="shared" si="95"/>
        <v>10</v>
      </c>
      <c r="G131" s="26">
        <f t="shared" si="72"/>
        <v>49</v>
      </c>
      <c r="H131" s="100">
        <f t="shared" si="73"/>
        <v>0</v>
      </c>
      <c r="I131" s="101">
        <f t="shared" si="74"/>
        <v>0</v>
      </c>
      <c r="J131" s="101">
        <f t="shared" si="75"/>
        <v>0</v>
      </c>
      <c r="K131" s="101">
        <f t="shared" si="76"/>
        <v>0</v>
      </c>
      <c r="L131" s="102">
        <f t="shared" si="77"/>
        <v>41.666666666666664</v>
      </c>
      <c r="M131" s="103">
        <f>VLOOKUP(G131,'Q.3-Data'!$B$2:$C$118,2,0)*U131*$B$19/12</f>
        <v>117.57843803692708</v>
      </c>
      <c r="N131" s="103">
        <f t="shared" si="78"/>
        <v>853.39310742628459</v>
      </c>
      <c r="O131" s="102">
        <f t="shared" si="93"/>
        <v>746005.17435767327</v>
      </c>
      <c r="P131" s="102">
        <f t="shared" si="79"/>
        <v>1.0064340301100034</v>
      </c>
      <c r="Q131" s="102">
        <f>AVERAGE(S71:S130)*$B$21</f>
        <v>3250.5943870076694</v>
      </c>
      <c r="R131" s="102">
        <f t="shared" si="94"/>
        <v>753866.47026156401</v>
      </c>
      <c r="S131" s="105">
        <f t="shared" si="80"/>
        <v>752859.46639480104</v>
      </c>
      <c r="U131" s="102">
        <f t="shared" si="81"/>
        <v>253994.82564232673</v>
      </c>
      <c r="W131" s="106"/>
      <c r="X131" s="107"/>
      <c r="Y131" s="107">
        <f t="shared" si="82"/>
        <v>49.276469637578543</v>
      </c>
      <c r="Z131" s="108">
        <f t="shared" si="83"/>
        <v>0</v>
      </c>
      <c r="AA131" s="107">
        <f t="shared" si="84"/>
        <v>0</v>
      </c>
      <c r="AB131" s="107">
        <f t="shared" si="85"/>
        <v>41.666666666666664</v>
      </c>
      <c r="AC131" s="107">
        <f t="shared" si="86"/>
        <v>117.57843803692708</v>
      </c>
      <c r="AD131" s="107">
        <f t="shared" si="87"/>
        <v>853.39310742628459</v>
      </c>
      <c r="AE131" s="107">
        <f t="shared" si="88"/>
        <v>75.250200343633338</v>
      </c>
      <c r="AF131" s="107">
        <f t="shared" si="89"/>
        <v>3250.5943870076694</v>
      </c>
      <c r="AG131" s="109">
        <f t="shared" si="90"/>
        <v>0.14144720063349875</v>
      </c>
      <c r="AH131" s="110">
        <f t="shared" si="91"/>
        <v>-2362.3413976583697</v>
      </c>
    </row>
    <row r="132" spans="5:34" ht="13.5" thickBot="1" x14ac:dyDescent="0.25">
      <c r="E132" s="117"/>
      <c r="F132" s="118"/>
      <c r="G132" s="118"/>
      <c r="H132" s="119"/>
      <c r="I132" s="120"/>
      <c r="J132" s="120"/>
      <c r="K132" s="120"/>
      <c r="L132" s="121"/>
      <c r="M132" s="122"/>
      <c r="N132" s="122"/>
      <c r="O132" s="121"/>
      <c r="P132" s="121"/>
      <c r="Q132" s="121"/>
      <c r="R132" s="121"/>
      <c r="S132" s="123"/>
      <c r="U132" s="22"/>
      <c r="W132" s="124"/>
      <c r="X132" s="125"/>
      <c r="Y132" s="125"/>
      <c r="Z132" s="126"/>
      <c r="AA132" s="125"/>
      <c r="AB132" s="125"/>
      <c r="AC132" s="125"/>
      <c r="AD132" s="125"/>
      <c r="AE132" s="125"/>
      <c r="AF132" s="125"/>
      <c r="AG132" s="127"/>
      <c r="AH132" s="128"/>
    </row>
    <row r="133" spans="5:34" x14ac:dyDescent="0.2">
      <c r="AH133" s="111">
        <f>+SUM(AA133:AD133,AG133)-SUM(W133:Z133,AE133:AF133)</f>
        <v>0</v>
      </c>
    </row>
  </sheetData>
  <mergeCells count="5">
    <mergeCell ref="L10:N10"/>
    <mergeCell ref="W10:Z10"/>
    <mergeCell ref="AA10:AD10"/>
    <mergeCell ref="AE10:AF10"/>
    <mergeCell ref="AG10:AH10"/>
  </mergeCell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33"/>
  <sheetViews>
    <sheetView workbookViewId="0"/>
  </sheetViews>
  <sheetFormatPr defaultRowHeight="12.75" x14ac:dyDescent="0.2"/>
  <cols>
    <col min="2" max="2" width="13.28515625" style="1" bestFit="1" customWidth="1"/>
  </cols>
  <sheetData>
    <row r="7" spans="2:2" x14ac:dyDescent="0.2">
      <c r="B7" s="81"/>
    </row>
    <row r="9" spans="2:2" x14ac:dyDescent="0.2">
      <c r="B9" s="1" t="s">
        <v>147</v>
      </c>
    </row>
    <row r="10" spans="2:2" ht="13.5" thickBot="1" x14ac:dyDescent="0.25"/>
    <row r="11" spans="2:2" ht="15" x14ac:dyDescent="0.2">
      <c r="B11" s="136" t="s">
        <v>155</v>
      </c>
    </row>
    <row r="12" spans="2:2" x14ac:dyDescent="0.2">
      <c r="B12" s="137">
        <f>'Q.3 (i)'!AH12</f>
        <v>-3032.0627091333226</v>
      </c>
    </row>
    <row r="13" spans="2:2" x14ac:dyDescent="0.2">
      <c r="B13" s="137">
        <f>'Q.3 (i)'!AH13</f>
        <v>181.21854142069697</v>
      </c>
    </row>
    <row r="14" spans="2:2" x14ac:dyDescent="0.2">
      <c r="B14" s="137">
        <f>'Q.3 (i)'!AH14</f>
        <v>181.46389238112238</v>
      </c>
    </row>
    <row r="15" spans="2:2" x14ac:dyDescent="0.2">
      <c r="B15" s="137">
        <f>'Q.3 (i)'!AH15</f>
        <v>181.71054674322488</v>
      </c>
    </row>
    <row r="16" spans="2:2" x14ac:dyDescent="0.2">
      <c r="B16" s="137">
        <f>'Q.3 (i)'!AH16</f>
        <v>181.95851143119162</v>
      </c>
    </row>
    <row r="17" spans="2:2" x14ac:dyDescent="0.2">
      <c r="B17" s="137">
        <f>'Q.3 (i)'!AH17</f>
        <v>182.20779340599356</v>
      </c>
    </row>
    <row r="18" spans="2:2" x14ac:dyDescent="0.2">
      <c r="B18" s="137">
        <f>'Q.3 (i)'!AH18</f>
        <v>182.45839966558125</v>
      </c>
    </row>
    <row r="19" spans="2:2" x14ac:dyDescent="0.2">
      <c r="B19" s="137">
        <f>'Q.3 (i)'!AH19</f>
        <v>182.71033724508092</v>
      </c>
    </row>
    <row r="20" spans="2:2" x14ac:dyDescent="0.2">
      <c r="B20" s="137">
        <f>'Q.3 (i)'!AH20</f>
        <v>182.96361321699234</v>
      </c>
    </row>
    <row r="21" spans="2:2" x14ac:dyDescent="0.2">
      <c r="B21" s="137">
        <f>'Q.3 (i)'!AH21</f>
        <v>183.21823469138732</v>
      </c>
    </row>
    <row r="22" spans="2:2" x14ac:dyDescent="0.2">
      <c r="B22" s="137">
        <f>'Q.3 (i)'!AH22</f>
        <v>183.47420881610898</v>
      </c>
    </row>
    <row r="23" spans="2:2" x14ac:dyDescent="0.2">
      <c r="B23" s="137">
        <f>'Q.3 (i)'!AH23</f>
        <v>183.73154277697265</v>
      </c>
    </row>
    <row r="24" spans="2:2" x14ac:dyDescent="0.2">
      <c r="B24" s="137">
        <f>'Q.3 (i)'!AH24</f>
        <v>-713.74739881219602</v>
      </c>
    </row>
    <row r="25" spans="2:2" x14ac:dyDescent="0.2">
      <c r="B25" s="137">
        <f>'Q.3 (i)'!AH25</f>
        <v>291.11497213541782</v>
      </c>
    </row>
    <row r="26" spans="2:2" x14ac:dyDescent="0.2">
      <c r="B26" s="137">
        <f>'Q.3 (i)'!AH26</f>
        <v>291.90742197272755</v>
      </c>
    </row>
    <row r="27" spans="2:2" x14ac:dyDescent="0.2">
      <c r="B27" s="137">
        <f>'Q.3 (i)'!AH27</f>
        <v>292.70409689064616</v>
      </c>
    </row>
    <row r="28" spans="2:2" x14ac:dyDescent="0.2">
      <c r="B28" s="137">
        <f>'Q.3 (i)'!AH28</f>
        <v>293.50501941590704</v>
      </c>
    </row>
    <row r="29" spans="2:2" x14ac:dyDescent="0.2">
      <c r="B29" s="137">
        <f>'Q.3 (i)'!AH29</f>
        <v>294.31021219534853</v>
      </c>
    </row>
    <row r="30" spans="2:2" x14ac:dyDescent="0.2">
      <c r="B30" s="137">
        <f>'Q.3 (i)'!AH30</f>
        <v>295.11969799655458</v>
      </c>
    </row>
    <row r="31" spans="2:2" x14ac:dyDescent="0.2">
      <c r="B31" s="137">
        <f>'Q.3 (i)'!AH31</f>
        <v>295.93349970849806</v>
      </c>
    </row>
    <row r="32" spans="2:2" x14ac:dyDescent="0.2">
      <c r="B32" s="137">
        <f>'Q.3 (i)'!AH32</f>
        <v>296.75164034218886</v>
      </c>
    </row>
    <row r="33" spans="2:2" x14ac:dyDescent="0.2">
      <c r="B33" s="137">
        <f>'Q.3 (i)'!AH33</f>
        <v>297.5741430313235</v>
      </c>
    </row>
    <row r="34" spans="2:2" x14ac:dyDescent="0.2">
      <c r="B34" s="137">
        <f>'Q.3 (i)'!AH34</f>
        <v>298.40103103293961</v>
      </c>
    </row>
    <row r="35" spans="2:2" x14ac:dyDescent="0.2">
      <c r="B35" s="137">
        <f>'Q.3 (i)'!AH35</f>
        <v>299.23232772807421</v>
      </c>
    </row>
    <row r="36" spans="2:2" x14ac:dyDescent="0.2">
      <c r="B36" s="137">
        <f>'Q.3 (i)'!AH36</f>
        <v>405.77409404806622</v>
      </c>
    </row>
    <row r="37" spans="2:2" x14ac:dyDescent="0.2">
      <c r="B37" s="137">
        <f>'Q.3 (i)'!AH37</f>
        <v>407.13697570484118</v>
      </c>
    </row>
    <row r="38" spans="2:2" x14ac:dyDescent="0.2">
      <c r="B38" s="137">
        <f>'Q.3 (i)'!AH38</f>
        <v>408.50715427174742</v>
      </c>
    </row>
    <row r="39" spans="2:2" x14ac:dyDescent="0.2">
      <c r="B39" s="137">
        <f>'Q.3 (i)'!AH39</f>
        <v>409.88466881666534</v>
      </c>
    </row>
    <row r="40" spans="2:2" x14ac:dyDescent="0.2">
      <c r="B40" s="137">
        <f>'Q.3 (i)'!AH40</f>
        <v>411.26955861664555</v>
      </c>
    </row>
    <row r="41" spans="2:2" x14ac:dyDescent="0.2">
      <c r="B41" s="137">
        <f>'Q.3 (i)'!AH41</f>
        <v>412.66186315902974</v>
      </c>
    </row>
    <row r="42" spans="2:2" x14ac:dyDescent="0.2">
      <c r="B42" s="137">
        <f>'Q.3 (i)'!AH42</f>
        <v>414.06162214257574</v>
      </c>
    </row>
    <row r="43" spans="2:2" x14ac:dyDescent="0.2">
      <c r="B43" s="137">
        <f>'Q.3 (i)'!AH43</f>
        <v>415.46887547858989</v>
      </c>
    </row>
    <row r="44" spans="2:2" x14ac:dyDescent="0.2">
      <c r="B44" s="137">
        <f>'Q.3 (i)'!AH44</f>
        <v>416.8836632920648</v>
      </c>
    </row>
    <row r="45" spans="2:2" x14ac:dyDescent="0.2">
      <c r="B45" s="137">
        <f>'Q.3 (i)'!AH45</f>
        <v>418.30602592282355</v>
      </c>
    </row>
    <row r="46" spans="2:2" x14ac:dyDescent="0.2">
      <c r="B46" s="137">
        <f>'Q.3 (i)'!AH46</f>
        <v>419.73600392666992</v>
      </c>
    </row>
    <row r="47" spans="2:2" x14ac:dyDescent="0.2">
      <c r="B47" s="137">
        <f>'Q.3 (i)'!AH47</f>
        <v>421.17363807654465</v>
      </c>
    </row>
    <row r="48" spans="2:2" x14ac:dyDescent="0.2">
      <c r="B48" s="137">
        <f>'Q.3 (i)'!AH48</f>
        <v>1030.092991324595</v>
      </c>
    </row>
    <row r="49" spans="2:2" x14ac:dyDescent="0.2">
      <c r="B49" s="137">
        <f>'Q.3 (i)'!AH49</f>
        <v>530.02833977319028</v>
      </c>
    </row>
    <row r="50" spans="2:2" x14ac:dyDescent="0.2">
      <c r="B50" s="137">
        <f>'Q.3 (i)'!AH50</f>
        <v>532.01136163095123</v>
      </c>
    </row>
    <row r="51" spans="2:2" x14ac:dyDescent="0.2">
      <c r="B51" s="137">
        <f>'Q.3 (i)'!AH51</f>
        <v>534.00505209574692</v>
      </c>
    </row>
    <row r="52" spans="2:2" x14ac:dyDescent="0.2">
      <c r="B52" s="137">
        <f>'Q.3 (i)'!AH52</f>
        <v>536.00946856441089</v>
      </c>
    </row>
    <row r="53" spans="2:2" x14ac:dyDescent="0.2">
      <c r="B53" s="137">
        <f>'Q.3 (i)'!AH53</f>
        <v>538.02466874257061</v>
      </c>
    </row>
    <row r="54" spans="2:2" x14ac:dyDescent="0.2">
      <c r="B54" s="137">
        <f>'Q.3 (i)'!AH54</f>
        <v>540.05071064630829</v>
      </c>
    </row>
    <row r="55" spans="2:2" x14ac:dyDescent="0.2">
      <c r="B55" s="137">
        <f>'Q.3 (i)'!AH55</f>
        <v>542.08765260383086</v>
      </c>
    </row>
    <row r="56" spans="2:2" x14ac:dyDescent="0.2">
      <c r="B56" s="137">
        <f>'Q.3 (i)'!AH56</f>
        <v>544.13555325714992</v>
      </c>
    </row>
    <row r="57" spans="2:2" x14ac:dyDescent="0.2">
      <c r="B57" s="137">
        <f>'Q.3 (i)'!AH57</f>
        <v>546.19447156376941</v>
      </c>
    </row>
    <row r="58" spans="2:2" x14ac:dyDescent="0.2">
      <c r="B58" s="137">
        <f>'Q.3 (i)'!AH58</f>
        <v>548.2644667983833</v>
      </c>
    </row>
    <row r="59" spans="2:2" x14ac:dyDescent="0.2">
      <c r="B59" s="137">
        <f>'Q.3 (i)'!AH59</f>
        <v>550.34559855458167</v>
      </c>
    </row>
    <row r="60" spans="2:2" x14ac:dyDescent="0.2">
      <c r="B60" s="137">
        <f>'Q.3 (i)'!AH60</f>
        <v>1158.6608359552711</v>
      </c>
    </row>
    <row r="61" spans="2:2" x14ac:dyDescent="0.2">
      <c r="B61" s="137">
        <f>'Q.3 (i)'!AH61</f>
        <v>659.23855563977031</v>
      </c>
    </row>
    <row r="62" spans="2:2" x14ac:dyDescent="0.2">
      <c r="B62" s="137">
        <f>'Q.3 (i)'!AH62</f>
        <v>661.86748317206661</v>
      </c>
    </row>
    <row r="63" spans="2:2" x14ac:dyDescent="0.2">
      <c r="B63" s="137">
        <f>'Q.3 (i)'!AH63</f>
        <v>664.510633189891</v>
      </c>
    </row>
    <row r="64" spans="2:2" x14ac:dyDescent="0.2">
      <c r="B64" s="137">
        <f>'Q.3 (i)'!AH64</f>
        <v>667.16808263682287</v>
      </c>
    </row>
    <row r="65" spans="2:2" x14ac:dyDescent="0.2">
      <c r="B65" s="137">
        <f>'Q.3 (i)'!AH65</f>
        <v>669.83990887270591</v>
      </c>
    </row>
    <row r="66" spans="2:2" x14ac:dyDescent="0.2">
      <c r="B66" s="137">
        <f>'Q.3 (i)'!AH66</f>
        <v>672.52618967590058</v>
      </c>
    </row>
    <row r="67" spans="2:2" x14ac:dyDescent="0.2">
      <c r="B67" s="137">
        <f>'Q.3 (i)'!AH67</f>
        <v>675.22700324554739</v>
      </c>
    </row>
    <row r="68" spans="2:2" x14ac:dyDescent="0.2">
      <c r="B68" s="137">
        <f>'Q.3 (i)'!AH68</f>
        <v>677.94242820384488</v>
      </c>
    </row>
    <row r="69" spans="2:2" x14ac:dyDescent="0.2">
      <c r="B69" s="137">
        <f>'Q.3 (i)'!AH69</f>
        <v>680.67254359833623</v>
      </c>
    </row>
    <row r="70" spans="2:2" x14ac:dyDescent="0.2">
      <c r="B70" s="137">
        <f>'Q.3 (i)'!AH70</f>
        <v>683.41742890421176</v>
      </c>
    </row>
    <row r="71" spans="2:2" x14ac:dyDescent="0.2">
      <c r="B71" s="137">
        <f>'Q.3 (i)'!AH71</f>
        <v>686.17716402662222</v>
      </c>
    </row>
    <row r="72" spans="2:2" x14ac:dyDescent="0.2">
      <c r="B72" s="137">
        <f>'Q.3 (i)'!AH72</f>
        <v>691.33784410793282</v>
      </c>
    </row>
    <row r="73" spans="2:2" x14ac:dyDescent="0.2">
      <c r="B73" s="137">
        <f>'Q.3 (i)'!AH73</f>
        <v>694.08365906711458</v>
      </c>
    </row>
    <row r="74" spans="2:2" x14ac:dyDescent="0.2">
      <c r="B74" s="137">
        <f>'Q.3 (i)'!AH74</f>
        <v>696.84442419425511</v>
      </c>
    </row>
    <row r="75" spans="2:2" x14ac:dyDescent="0.2">
      <c r="B75" s="137">
        <f>'Q.3 (i)'!AH75</f>
        <v>699.62022088869276</v>
      </c>
    </row>
    <row r="76" spans="2:2" x14ac:dyDescent="0.2">
      <c r="B76" s="137">
        <f>'Q.3 (i)'!AH76</f>
        <v>702.4111309929624</v>
      </c>
    </row>
    <row r="77" spans="2:2" x14ac:dyDescent="0.2">
      <c r="B77" s="137">
        <f>'Q.3 (i)'!AH77</f>
        <v>705.21723679520744</v>
      </c>
    </row>
    <row r="78" spans="2:2" x14ac:dyDescent="0.2">
      <c r="B78" s="137">
        <f>'Q.3 (i)'!AH78</f>
        <v>708.03862103160623</v>
      </c>
    </row>
    <row r="79" spans="2:2" x14ac:dyDescent="0.2">
      <c r="B79" s="137">
        <f>'Q.3 (i)'!AH79</f>
        <v>710.87536688881266</v>
      </c>
    </row>
    <row r="80" spans="2:2" x14ac:dyDescent="0.2">
      <c r="B80" s="137">
        <f>'Q.3 (i)'!AH80</f>
        <v>713.72755800640641</v>
      </c>
    </row>
    <row r="81" spans="2:2" x14ac:dyDescent="0.2">
      <c r="B81" s="137">
        <f>'Q.3 (i)'!AH81</f>
        <v>716.59527847936181</v>
      </c>
    </row>
    <row r="82" spans="2:2" x14ac:dyDescent="0.2">
      <c r="B82" s="137">
        <f>'Q.3 (i)'!AH82</f>
        <v>719.47861286052489</v>
      </c>
    </row>
    <row r="83" spans="2:2" x14ac:dyDescent="0.2">
      <c r="B83" s="137">
        <f>'Q.3 (i)'!AH83</f>
        <v>722.37764616310869</v>
      </c>
    </row>
    <row r="84" spans="2:2" x14ac:dyDescent="0.2">
      <c r="B84" s="137">
        <f>'Q.3 (i)'!AH84</f>
        <v>727.83471948387682</v>
      </c>
    </row>
    <row r="85" spans="2:2" x14ac:dyDescent="0.2">
      <c r="B85" s="137">
        <f>'Q.3 (i)'!AH85</f>
        <v>730.71455280490898</v>
      </c>
    </row>
    <row r="86" spans="2:2" x14ac:dyDescent="0.2">
      <c r="B86" s="137">
        <f>'Q.3 (i)'!AH86</f>
        <v>733.61018090241168</v>
      </c>
    </row>
    <row r="87" spans="2:2" x14ac:dyDescent="0.2">
      <c r="B87" s="137">
        <f>'Q.3 (i)'!AH87</f>
        <v>736.52169040464969</v>
      </c>
    </row>
    <row r="88" spans="2:2" x14ac:dyDescent="0.2">
      <c r="B88" s="137">
        <f>'Q.3 (i)'!AH88</f>
        <v>739.44916841501094</v>
      </c>
    </row>
    <row r="89" spans="2:2" x14ac:dyDescent="0.2">
      <c r="B89" s="137">
        <f>'Q.3 (i)'!AH89</f>
        <v>742.39270251461107</v>
      </c>
    </row>
    <row r="90" spans="2:2" x14ac:dyDescent="0.2">
      <c r="B90" s="137">
        <f>'Q.3 (i)'!AH90</f>
        <v>745.3523807649151</v>
      </c>
    </row>
    <row r="91" spans="2:2" x14ac:dyDescent="0.2">
      <c r="B91" s="137">
        <f>'Q.3 (i)'!AH91</f>
        <v>748.32829171037076</v>
      </c>
    </row>
    <row r="92" spans="2:2" x14ac:dyDescent="0.2">
      <c r="B92" s="137">
        <f>'Q.3 (i)'!AH92</f>
        <v>751.32052438105848</v>
      </c>
    </row>
    <row r="93" spans="2:2" x14ac:dyDescent="0.2">
      <c r="B93" s="137">
        <f>'Q.3 (i)'!AH93</f>
        <v>754.32916829535407</v>
      </c>
    </row>
    <row r="94" spans="2:2" x14ac:dyDescent="0.2">
      <c r="B94" s="137">
        <f>'Q.3 (i)'!AH94</f>
        <v>757.35431346260725</v>
      </c>
    </row>
    <row r="95" spans="2:2" x14ac:dyDescent="0.2">
      <c r="B95" s="137">
        <f>'Q.3 (i)'!AH95</f>
        <v>760.39605038583409</v>
      </c>
    </row>
    <row r="96" spans="2:2" x14ac:dyDescent="0.2">
      <c r="B96" s="137">
        <f>'Q.3 (i)'!AH96</f>
        <v>766.08273037249603</v>
      </c>
    </row>
    <row r="97" spans="2:2" x14ac:dyDescent="0.2">
      <c r="B97" s="137">
        <f>'Q.3 (i)'!AH97</f>
        <v>769.09909563701763</v>
      </c>
    </row>
    <row r="98" spans="2:2" x14ac:dyDescent="0.2">
      <c r="B98" s="137">
        <f>'Q.3 (i)'!AH98</f>
        <v>772.13214238311411</v>
      </c>
    </row>
    <row r="99" spans="2:2" x14ac:dyDescent="0.2">
      <c r="B99" s="137">
        <f>'Q.3 (i)'!AH99</f>
        <v>775.18196286480793</v>
      </c>
    </row>
    <row r="100" spans="2:2" x14ac:dyDescent="0.2">
      <c r="B100" s="137">
        <f>'Q.3 (i)'!AH100</f>
        <v>778.24864984631552</v>
      </c>
    </row>
    <row r="101" spans="2:2" x14ac:dyDescent="0.2">
      <c r="B101" s="137">
        <f>'Q.3 (i)'!AH101</f>
        <v>781.33229660487041</v>
      </c>
    </row>
    <row r="102" spans="2:2" x14ac:dyDescent="0.2">
      <c r="B102" s="137">
        <f>'Q.3 (i)'!AH102</f>
        <v>784.43299693355857</v>
      </c>
    </row>
    <row r="103" spans="2:2" x14ac:dyDescent="0.2">
      <c r="B103" s="137">
        <f>'Q.3 (i)'!AH103</f>
        <v>787.55084514417319</v>
      </c>
    </row>
    <row r="104" spans="2:2" x14ac:dyDescent="0.2">
      <c r="B104" s="137">
        <f>'Q.3 (i)'!AH104</f>
        <v>790.68593607008233</v>
      </c>
    </row>
    <row r="105" spans="2:2" x14ac:dyDescent="0.2">
      <c r="B105" s="137">
        <f>'Q.3 (i)'!AH105</f>
        <v>793.83836506911257</v>
      </c>
    </row>
    <row r="106" spans="2:2" x14ac:dyDescent="0.2">
      <c r="B106" s="137">
        <f>'Q.3 (i)'!AH106</f>
        <v>797.00822802645087</v>
      </c>
    </row>
    <row r="107" spans="2:2" x14ac:dyDescent="0.2">
      <c r="B107" s="137">
        <f>'Q.3 (i)'!AH107</f>
        <v>800.19562135756087</v>
      </c>
    </row>
    <row r="108" spans="2:2" x14ac:dyDescent="0.2">
      <c r="B108" s="137">
        <f>'Q.3 (i)'!AH108</f>
        <v>805.93681537210944</v>
      </c>
    </row>
    <row r="109" spans="2:2" x14ac:dyDescent="0.2">
      <c r="B109" s="137">
        <f>'Q.3 (i)'!AH109</f>
        <v>809.09266251830377</v>
      </c>
    </row>
    <row r="110" spans="2:2" x14ac:dyDescent="0.2">
      <c r="B110" s="137">
        <f>'Q.3 (i)'!AH110</f>
        <v>812.26612471656858</v>
      </c>
    </row>
    <row r="111" spans="2:2" x14ac:dyDescent="0.2">
      <c r="B111" s="137">
        <f>'Q.3 (i)'!AH111</f>
        <v>815.45730028917478</v>
      </c>
    </row>
    <row r="112" spans="2:2" x14ac:dyDescent="0.2">
      <c r="B112" s="137">
        <f>'Q.3 (i)'!AH112</f>
        <v>818.66628810720135</v>
      </c>
    </row>
    <row r="113" spans="2:2" x14ac:dyDescent="0.2">
      <c r="B113" s="137">
        <f>'Q.3 (i)'!AH113</f>
        <v>821.89318759359719</v>
      </c>
    </row>
    <row r="114" spans="2:2" x14ac:dyDescent="0.2">
      <c r="B114" s="137">
        <f>'Q.3 (i)'!AH114</f>
        <v>825.13809872626257</v>
      </c>
    </row>
    <row r="115" spans="2:2" x14ac:dyDescent="0.2">
      <c r="B115" s="137">
        <f>'Q.3 (i)'!AH115</f>
        <v>828.40112204114655</v>
      </c>
    </row>
    <row r="116" spans="2:2" x14ac:dyDescent="0.2">
      <c r="B116" s="137">
        <f>'Q.3 (i)'!AH116</f>
        <v>831.68235863536131</v>
      </c>
    </row>
    <row r="117" spans="2:2" x14ac:dyDescent="0.2">
      <c r="B117" s="137">
        <f>'Q.3 (i)'!AH117</f>
        <v>834.98191017031422</v>
      </c>
    </row>
    <row r="118" spans="2:2" x14ac:dyDescent="0.2">
      <c r="B118" s="137">
        <f>'Q.3 (i)'!AH118</f>
        <v>838.29987887485868</v>
      </c>
    </row>
    <row r="119" spans="2:2" x14ac:dyDescent="0.2">
      <c r="B119" s="137">
        <f>'Q.3 (i)'!AH119</f>
        <v>841.63636754846107</v>
      </c>
    </row>
    <row r="120" spans="2:2" x14ac:dyDescent="0.2">
      <c r="B120" s="137">
        <f>'Q.3 (i)'!AH120</f>
        <v>847.24699185990835</v>
      </c>
    </row>
    <row r="121" spans="2:2" x14ac:dyDescent="0.2">
      <c r="B121" s="137">
        <f>'Q.3 (i)'!AH121</f>
        <v>850.54569509912983</v>
      </c>
    </row>
    <row r="122" spans="2:2" x14ac:dyDescent="0.2">
      <c r="B122" s="137">
        <f>'Q.3 (i)'!AH122</f>
        <v>853.86299864399462</v>
      </c>
    </row>
    <row r="123" spans="2:2" x14ac:dyDescent="0.2">
      <c r="B123" s="137">
        <f>'Q.3 (i)'!AH123</f>
        <v>857.19900737552598</v>
      </c>
    </row>
    <row r="124" spans="2:2" x14ac:dyDescent="0.2">
      <c r="B124" s="137">
        <f>'Q.3 (i)'!AH124</f>
        <v>860.55382676613601</v>
      </c>
    </row>
    <row r="125" spans="2:2" x14ac:dyDescent="0.2">
      <c r="B125" s="137">
        <f>'Q.3 (i)'!AH125</f>
        <v>863.92756288296221</v>
      </c>
    </row>
    <row r="126" spans="2:2" x14ac:dyDescent="0.2">
      <c r="B126" s="137">
        <f>'Q.3 (i)'!AH126</f>
        <v>867.32032239121884</v>
      </c>
    </row>
    <row r="127" spans="2:2" x14ac:dyDescent="0.2">
      <c r="B127" s="137">
        <f>'Q.3 (i)'!AH127</f>
        <v>870.73221255757085</v>
      </c>
    </row>
    <row r="128" spans="2:2" x14ac:dyDescent="0.2">
      <c r="B128" s="137">
        <f>'Q.3 (i)'!AH128</f>
        <v>874.163341253525</v>
      </c>
    </row>
    <row r="129" spans="2:2" x14ac:dyDescent="0.2">
      <c r="B129" s="137">
        <f>'Q.3 (i)'!AH129</f>
        <v>877.61381695883927</v>
      </c>
    </row>
    <row r="130" spans="2:2" x14ac:dyDescent="0.2">
      <c r="B130" s="137">
        <f>'Q.3 (i)'!AH130</f>
        <v>881.08374876495452</v>
      </c>
    </row>
    <row r="131" spans="2:2" ht="13.5" thickBot="1" x14ac:dyDescent="0.25">
      <c r="B131" s="138">
        <f>'Q.3 (i)'!AH131</f>
        <v>-2362.3413976583697</v>
      </c>
    </row>
    <row r="132" spans="2:2" ht="13.5" thickBot="1" x14ac:dyDescent="0.25">
      <c r="B132" s="135"/>
    </row>
    <row r="133" spans="2:2" x14ac:dyDescent="0.2">
      <c r="B133" s="111"/>
    </row>
  </sheetData>
  <pageMargins left="0.7" right="0.7" top="0.75" bottom="0.75" header="0.3" footer="0.3"/>
  <pageSetup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33"/>
  <sheetViews>
    <sheetView workbookViewId="0"/>
  </sheetViews>
  <sheetFormatPr defaultRowHeight="12.75" x14ac:dyDescent="0.2"/>
  <cols>
    <col min="2" max="2" width="13.28515625" style="1" bestFit="1" customWidth="1"/>
    <col min="4" max="4" width="9.5703125" style="1" bestFit="1" customWidth="1"/>
    <col min="5" max="6" width="8.7109375" style="1"/>
    <col min="7" max="7" width="9.140625" bestFit="1" customWidth="1"/>
    <col min="8" max="9" width="8.7109375" style="1"/>
    <col min="10" max="10" width="9.140625" bestFit="1" customWidth="1"/>
  </cols>
  <sheetData>
    <row r="3" spans="1:10" x14ac:dyDescent="0.2">
      <c r="B3" s="1" t="s">
        <v>149</v>
      </c>
      <c r="C3" s="23">
        <f>'Q.3 (i)'!B18</f>
        <v>0.05</v>
      </c>
    </row>
    <row r="4" spans="1:10" x14ac:dyDescent="0.2">
      <c r="B4" s="1" t="s">
        <v>150</v>
      </c>
      <c r="C4">
        <f>'Q.3 (i)'!C18</f>
        <v>4.0741237836483535E-3</v>
      </c>
    </row>
    <row r="7" spans="1:10" x14ac:dyDescent="0.2">
      <c r="B7" s="81"/>
      <c r="C7" s="81"/>
      <c r="D7" s="81"/>
      <c r="E7" s="81"/>
      <c r="F7" s="81"/>
      <c r="G7" s="81"/>
      <c r="H7" s="81"/>
      <c r="I7" s="81"/>
      <c r="J7" s="81"/>
    </row>
    <row r="9" spans="1:10" x14ac:dyDescent="0.2">
      <c r="B9" s="1" t="s">
        <v>147</v>
      </c>
    </row>
    <row r="10" spans="1:10" ht="13.5" thickBot="1" x14ac:dyDescent="0.25">
      <c r="J10" s="84" t="s">
        <v>154</v>
      </c>
    </row>
    <row r="11" spans="1:10" ht="90" x14ac:dyDescent="0.2">
      <c r="A11" s="136" t="s">
        <v>4</v>
      </c>
      <c r="B11" s="136" t="s">
        <v>146</v>
      </c>
      <c r="D11" s="96" t="s">
        <v>124</v>
      </c>
      <c r="E11" s="96" t="s">
        <v>125</v>
      </c>
      <c r="G11" s="136" t="s">
        <v>148</v>
      </c>
      <c r="H11" s="136" t="s">
        <v>153</v>
      </c>
      <c r="I11" s="136" t="s">
        <v>151</v>
      </c>
      <c r="J11" s="144" t="s">
        <v>152</v>
      </c>
    </row>
    <row r="12" spans="1:10" x14ac:dyDescent="0.2">
      <c r="A12" s="137">
        <f>'Q.3 (i)'!G12</f>
        <v>40</v>
      </c>
      <c r="B12" s="137">
        <f>'Q.3 (i)'!AH12</f>
        <v>-3032.0627091333226</v>
      </c>
      <c r="D12" s="143">
        <f>VLOOKUP(A12,'Q.3-Data'!$B$3:$C$118,2,TRUE)/12</f>
        <v>1.5024999999999999E-4</v>
      </c>
      <c r="E12" s="142">
        <f>1-D12</f>
        <v>0.99984974999999998</v>
      </c>
      <c r="G12" s="137">
        <f t="shared" ref="G12:G43" si="0">MAX(0,(-B13+G13*E13)/(1+$C$4))</f>
        <v>0</v>
      </c>
      <c r="H12" s="137"/>
      <c r="I12" s="137"/>
      <c r="J12" s="145">
        <f>+B12-H12+I12</f>
        <v>-3032.0627091333226</v>
      </c>
    </row>
    <row r="13" spans="1:10" x14ac:dyDescent="0.2">
      <c r="A13" s="137">
        <f>'Q.3 (i)'!G13</f>
        <v>40</v>
      </c>
      <c r="B13" s="137">
        <f>'Q.3 (i)'!AH13</f>
        <v>181.21854142069697</v>
      </c>
      <c r="D13" s="143">
        <f>VLOOKUP(A13,'Q.3-Data'!$B$3:$C$118,2,TRUE)/12</f>
        <v>1.5024999999999999E-4</v>
      </c>
      <c r="E13" s="142">
        <f t="shared" ref="E13:E76" si="1">1-D13</f>
        <v>0.99984974999999998</v>
      </c>
      <c r="G13" s="137">
        <f t="shared" si="0"/>
        <v>0</v>
      </c>
      <c r="H13" s="137">
        <f t="shared" ref="H13:H76" si="2">+G13-G12</f>
        <v>0</v>
      </c>
      <c r="I13" s="137">
        <f>+G12*($C$4)</f>
        <v>0</v>
      </c>
      <c r="J13" s="145">
        <f t="shared" ref="J13:J76" si="3">+B13-H13+I13</f>
        <v>181.21854142069697</v>
      </c>
    </row>
    <row r="14" spans="1:10" x14ac:dyDescent="0.2">
      <c r="A14" s="137">
        <f>'Q.3 (i)'!G14</f>
        <v>40</v>
      </c>
      <c r="B14" s="137">
        <f>'Q.3 (i)'!AH14</f>
        <v>181.46389238112238</v>
      </c>
      <c r="D14" s="143">
        <f>VLOOKUP(A14,'Q.3-Data'!$B$3:$C$118,2,TRUE)/12</f>
        <v>1.5024999999999999E-4</v>
      </c>
      <c r="E14" s="142">
        <f t="shared" si="1"/>
        <v>0.99984974999999998</v>
      </c>
      <c r="G14" s="137">
        <f t="shared" si="0"/>
        <v>0</v>
      </c>
      <c r="H14" s="137">
        <f t="shared" si="2"/>
        <v>0</v>
      </c>
      <c r="I14" s="137">
        <f t="shared" ref="I14:I77" si="4">+G13*($C$4)</f>
        <v>0</v>
      </c>
      <c r="J14" s="145">
        <f t="shared" si="3"/>
        <v>181.46389238112238</v>
      </c>
    </row>
    <row r="15" spans="1:10" x14ac:dyDescent="0.2">
      <c r="A15" s="137">
        <f>'Q.3 (i)'!G15</f>
        <v>40</v>
      </c>
      <c r="B15" s="137">
        <f>'Q.3 (i)'!AH15</f>
        <v>181.71054674322488</v>
      </c>
      <c r="D15" s="143">
        <f>VLOOKUP(A15,'Q.3-Data'!$B$3:$C$118,2,TRUE)/12</f>
        <v>1.5024999999999999E-4</v>
      </c>
      <c r="E15" s="142">
        <f t="shared" si="1"/>
        <v>0.99984974999999998</v>
      </c>
      <c r="G15" s="137">
        <f t="shared" si="0"/>
        <v>0</v>
      </c>
      <c r="H15" s="137">
        <f t="shared" si="2"/>
        <v>0</v>
      </c>
      <c r="I15" s="137">
        <f t="shared" si="4"/>
        <v>0</v>
      </c>
      <c r="J15" s="145">
        <f t="shared" si="3"/>
        <v>181.71054674322488</v>
      </c>
    </row>
    <row r="16" spans="1:10" x14ac:dyDescent="0.2">
      <c r="A16" s="137">
        <f>'Q.3 (i)'!G16</f>
        <v>40</v>
      </c>
      <c r="B16" s="137">
        <f>'Q.3 (i)'!AH16</f>
        <v>181.95851143119162</v>
      </c>
      <c r="D16" s="143">
        <f>VLOOKUP(A16,'Q.3-Data'!$B$3:$C$118,2,TRUE)/12</f>
        <v>1.5024999999999999E-4</v>
      </c>
      <c r="E16" s="142">
        <f t="shared" si="1"/>
        <v>0.99984974999999998</v>
      </c>
      <c r="G16" s="137">
        <f t="shared" si="0"/>
        <v>0</v>
      </c>
      <c r="H16" s="137">
        <f t="shared" si="2"/>
        <v>0</v>
      </c>
      <c r="I16" s="137">
        <f t="shared" si="4"/>
        <v>0</v>
      </c>
      <c r="J16" s="145">
        <f t="shared" si="3"/>
        <v>181.95851143119162</v>
      </c>
    </row>
    <row r="17" spans="1:10" x14ac:dyDescent="0.2">
      <c r="A17" s="137">
        <f>'Q.3 (i)'!G17</f>
        <v>40</v>
      </c>
      <c r="B17" s="137">
        <f>'Q.3 (i)'!AH17</f>
        <v>182.20779340599356</v>
      </c>
      <c r="D17" s="143">
        <f>VLOOKUP(A17,'Q.3-Data'!$B$3:$C$118,2,TRUE)/12</f>
        <v>1.5024999999999999E-4</v>
      </c>
      <c r="E17" s="142">
        <f t="shared" si="1"/>
        <v>0.99984974999999998</v>
      </c>
      <c r="G17" s="137">
        <f t="shared" si="0"/>
        <v>0</v>
      </c>
      <c r="H17" s="137">
        <f t="shared" si="2"/>
        <v>0</v>
      </c>
      <c r="I17" s="137">
        <f t="shared" si="4"/>
        <v>0</v>
      </c>
      <c r="J17" s="145">
        <f t="shared" si="3"/>
        <v>182.20779340599356</v>
      </c>
    </row>
    <row r="18" spans="1:10" x14ac:dyDescent="0.2">
      <c r="A18" s="137">
        <f>'Q.3 (i)'!G18</f>
        <v>40</v>
      </c>
      <c r="B18" s="137">
        <f>'Q.3 (i)'!AH18</f>
        <v>182.45839966558125</v>
      </c>
      <c r="D18" s="143">
        <f>VLOOKUP(A18,'Q.3-Data'!$B$3:$C$118,2,TRUE)/12</f>
        <v>1.5024999999999999E-4</v>
      </c>
      <c r="E18" s="142">
        <f t="shared" si="1"/>
        <v>0.99984974999999998</v>
      </c>
      <c r="G18" s="137">
        <f t="shared" si="0"/>
        <v>0</v>
      </c>
      <c r="H18" s="137">
        <f t="shared" si="2"/>
        <v>0</v>
      </c>
      <c r="I18" s="137">
        <f t="shared" si="4"/>
        <v>0</v>
      </c>
      <c r="J18" s="145">
        <f t="shared" si="3"/>
        <v>182.45839966558125</v>
      </c>
    </row>
    <row r="19" spans="1:10" x14ac:dyDescent="0.2">
      <c r="A19" s="137">
        <f>'Q.3 (i)'!G19</f>
        <v>40</v>
      </c>
      <c r="B19" s="137">
        <f>'Q.3 (i)'!AH19</f>
        <v>182.71033724508092</v>
      </c>
      <c r="D19" s="143">
        <f>VLOOKUP(A19,'Q.3-Data'!$B$3:$C$118,2,TRUE)/12</f>
        <v>1.5024999999999999E-4</v>
      </c>
      <c r="E19" s="142">
        <f t="shared" si="1"/>
        <v>0.99984974999999998</v>
      </c>
      <c r="G19" s="137">
        <f t="shared" si="0"/>
        <v>0</v>
      </c>
      <c r="H19" s="137">
        <f t="shared" si="2"/>
        <v>0</v>
      </c>
      <c r="I19" s="137">
        <f t="shared" si="4"/>
        <v>0</v>
      </c>
      <c r="J19" s="145">
        <f t="shared" si="3"/>
        <v>182.71033724508092</v>
      </c>
    </row>
    <row r="20" spans="1:10" x14ac:dyDescent="0.2">
      <c r="A20" s="137">
        <f>'Q.3 (i)'!G20</f>
        <v>40</v>
      </c>
      <c r="B20" s="137">
        <f>'Q.3 (i)'!AH20</f>
        <v>182.96361321699234</v>
      </c>
      <c r="D20" s="143">
        <f>VLOOKUP(A20,'Q.3-Data'!$B$3:$C$118,2,TRUE)/12</f>
        <v>1.5024999999999999E-4</v>
      </c>
      <c r="E20" s="142">
        <f t="shared" si="1"/>
        <v>0.99984974999999998</v>
      </c>
      <c r="G20" s="137">
        <f t="shared" si="0"/>
        <v>156.03153385688853</v>
      </c>
      <c r="H20" s="137">
        <f t="shared" si="2"/>
        <v>156.03153385688853</v>
      </c>
      <c r="I20" s="137">
        <f t="shared" si="4"/>
        <v>0</v>
      </c>
      <c r="J20" s="145">
        <f t="shared" si="3"/>
        <v>26.932079360103813</v>
      </c>
    </row>
    <row r="21" spans="1:10" x14ac:dyDescent="0.2">
      <c r="A21" s="137">
        <f>'Q.3 (i)'!G21</f>
        <v>40</v>
      </c>
      <c r="B21" s="137">
        <f>'Q.3 (i)'!AH21</f>
        <v>183.21823469138732</v>
      </c>
      <c r="D21" s="143">
        <f>VLOOKUP(A21,'Q.3-Data'!$B$3:$C$118,2,TRUE)/12</f>
        <v>1.5024999999999999E-4</v>
      </c>
      <c r="E21" s="142">
        <f t="shared" si="1"/>
        <v>0.99984974999999998</v>
      </c>
      <c r="G21" s="137">
        <f t="shared" si="0"/>
        <v>339.9365357958647</v>
      </c>
      <c r="H21" s="137">
        <f t="shared" si="2"/>
        <v>183.90500193897617</v>
      </c>
      <c r="I21" s="137">
        <f t="shared" si="4"/>
        <v>0.63569178308548291</v>
      </c>
      <c r="J21" s="145">
        <f t="shared" si="3"/>
        <v>-5.1075464503363976E-2</v>
      </c>
    </row>
    <row r="22" spans="1:10" x14ac:dyDescent="0.2">
      <c r="A22" s="137">
        <f>'Q.3 (i)'!G22</f>
        <v>40</v>
      </c>
      <c r="B22" s="137">
        <f>'Q.3 (i)'!AH22</f>
        <v>183.47420881610898</v>
      </c>
      <c r="D22" s="143">
        <f>VLOOKUP(A22,'Q.3-Data'!$B$3:$C$118,2,TRUE)/12</f>
        <v>1.5024999999999999E-4</v>
      </c>
      <c r="E22" s="142">
        <f t="shared" si="1"/>
        <v>0.99984974999999998</v>
      </c>
      <c r="G22" s="137">
        <f t="shared" si="0"/>
        <v>524.87455053860913</v>
      </c>
      <c r="H22" s="137">
        <f t="shared" si="2"/>
        <v>184.93801474274443</v>
      </c>
      <c r="I22" s="137">
        <f t="shared" si="4"/>
        <v>1.3849435254169622</v>
      </c>
      <c r="J22" s="145">
        <f t="shared" si="3"/>
        <v>-7.8862401218482425E-2</v>
      </c>
    </row>
    <row r="23" spans="1:10" x14ac:dyDescent="0.2">
      <c r="A23" s="137">
        <f>'Q.3 (i)'!G23</f>
        <v>40</v>
      </c>
      <c r="B23" s="137">
        <f>'Q.3 (i)'!AH23</f>
        <v>183.73154277697265</v>
      </c>
      <c r="D23" s="143">
        <f>VLOOKUP(A23,'Q.3-Data'!$B$3:$C$118,2,TRUE)/12</f>
        <v>1.5024999999999999E-4</v>
      </c>
      <c r="E23" s="142">
        <f t="shared" si="1"/>
        <v>0.99984974999999998</v>
      </c>
      <c r="G23" s="137">
        <f t="shared" si="0"/>
        <v>710.85130261358063</v>
      </c>
      <c r="H23" s="137">
        <f t="shared" si="2"/>
        <v>185.9767520749715</v>
      </c>
      <c r="I23" s="137">
        <f t="shared" si="4"/>
        <v>2.1384038897810873</v>
      </c>
      <c r="J23" s="145">
        <f t="shared" si="3"/>
        <v>-0.10680540821776763</v>
      </c>
    </row>
    <row r="24" spans="1:10" x14ac:dyDescent="0.2">
      <c r="A24" s="137">
        <f>'Q.3 (i)'!G24</f>
        <v>41</v>
      </c>
      <c r="B24" s="137">
        <f>'Q.3 (i)'!AH24</f>
        <v>-713.74739881219602</v>
      </c>
      <c r="D24" s="143">
        <f>VLOOKUP(A24,'Q.3-Data'!$B$3:$C$118,2,TRUE)/12</f>
        <v>1.6324999999999998E-4</v>
      </c>
      <c r="E24" s="142">
        <f t="shared" si="1"/>
        <v>0.99983675000000005</v>
      </c>
      <c r="G24" s="137">
        <f t="shared" si="0"/>
        <v>0</v>
      </c>
      <c r="H24" s="137">
        <f t="shared" si="2"/>
        <v>-710.85130261358063</v>
      </c>
      <c r="I24" s="137">
        <f t="shared" si="4"/>
        <v>2.8960961986154019</v>
      </c>
      <c r="J24" s="145">
        <f t="shared" si="3"/>
        <v>5.773159728050814E-15</v>
      </c>
    </row>
    <row r="25" spans="1:10" x14ac:dyDescent="0.2">
      <c r="A25" s="137">
        <f>'Q.3 (i)'!G25</f>
        <v>41</v>
      </c>
      <c r="B25" s="137">
        <f>'Q.3 (i)'!AH25</f>
        <v>291.11497213541782</v>
      </c>
      <c r="D25" s="143">
        <f>VLOOKUP(A25,'Q.3-Data'!$B$3:$C$118,2,TRUE)/12</f>
        <v>1.6324999999999998E-4</v>
      </c>
      <c r="E25" s="142">
        <f t="shared" si="1"/>
        <v>0.99983675000000005</v>
      </c>
      <c r="G25" s="137">
        <f t="shared" si="0"/>
        <v>0</v>
      </c>
      <c r="H25" s="137">
        <f t="shared" si="2"/>
        <v>0</v>
      </c>
      <c r="I25" s="137">
        <f t="shared" si="4"/>
        <v>0</v>
      </c>
      <c r="J25" s="145">
        <f t="shared" si="3"/>
        <v>291.11497213541782</v>
      </c>
    </row>
    <row r="26" spans="1:10" x14ac:dyDescent="0.2">
      <c r="A26" s="137">
        <f>'Q.3 (i)'!G26</f>
        <v>41</v>
      </c>
      <c r="B26" s="137">
        <f>'Q.3 (i)'!AH26</f>
        <v>291.90742197272755</v>
      </c>
      <c r="D26" s="143">
        <f>VLOOKUP(A26,'Q.3-Data'!$B$3:$C$118,2,TRUE)/12</f>
        <v>1.6324999999999998E-4</v>
      </c>
      <c r="E26" s="142">
        <f t="shared" si="1"/>
        <v>0.99983675000000005</v>
      </c>
      <c r="G26" s="137">
        <f t="shared" si="0"/>
        <v>0</v>
      </c>
      <c r="H26" s="137">
        <f t="shared" si="2"/>
        <v>0</v>
      </c>
      <c r="I26" s="137">
        <f t="shared" si="4"/>
        <v>0</v>
      </c>
      <c r="J26" s="145">
        <f t="shared" si="3"/>
        <v>291.90742197272755</v>
      </c>
    </row>
    <row r="27" spans="1:10" x14ac:dyDescent="0.2">
      <c r="A27" s="137">
        <f>'Q.3 (i)'!G27</f>
        <v>41</v>
      </c>
      <c r="B27" s="137">
        <f>'Q.3 (i)'!AH27</f>
        <v>292.70409689064616</v>
      </c>
      <c r="D27" s="143">
        <f>VLOOKUP(A27,'Q.3-Data'!$B$3:$C$118,2,TRUE)/12</f>
        <v>1.6324999999999998E-4</v>
      </c>
      <c r="E27" s="142">
        <f t="shared" si="1"/>
        <v>0.99983675000000005</v>
      </c>
      <c r="G27" s="137">
        <f t="shared" si="0"/>
        <v>0</v>
      </c>
      <c r="H27" s="137">
        <f t="shared" si="2"/>
        <v>0</v>
      </c>
      <c r="I27" s="137">
        <f t="shared" si="4"/>
        <v>0</v>
      </c>
      <c r="J27" s="145">
        <f t="shared" si="3"/>
        <v>292.70409689064616</v>
      </c>
    </row>
    <row r="28" spans="1:10" x14ac:dyDescent="0.2">
      <c r="A28" s="137">
        <f>'Q.3 (i)'!G28</f>
        <v>41</v>
      </c>
      <c r="B28" s="137">
        <f>'Q.3 (i)'!AH28</f>
        <v>293.50501941590704</v>
      </c>
      <c r="D28" s="143">
        <f>VLOOKUP(A28,'Q.3-Data'!$B$3:$C$118,2,TRUE)/12</f>
        <v>1.6324999999999998E-4</v>
      </c>
      <c r="E28" s="142">
        <f t="shared" si="1"/>
        <v>0.99983675000000005</v>
      </c>
      <c r="G28" s="137">
        <f t="shared" si="0"/>
        <v>0</v>
      </c>
      <c r="H28" s="137">
        <f t="shared" si="2"/>
        <v>0</v>
      </c>
      <c r="I28" s="137">
        <f t="shared" si="4"/>
        <v>0</v>
      </c>
      <c r="J28" s="145">
        <f t="shared" si="3"/>
        <v>293.50501941590704</v>
      </c>
    </row>
    <row r="29" spans="1:10" x14ac:dyDescent="0.2">
      <c r="A29" s="137">
        <f>'Q.3 (i)'!G29</f>
        <v>41</v>
      </c>
      <c r="B29" s="137">
        <f>'Q.3 (i)'!AH29</f>
        <v>294.31021219534853</v>
      </c>
      <c r="D29" s="143">
        <f>VLOOKUP(A29,'Q.3-Data'!$B$3:$C$118,2,TRUE)/12</f>
        <v>1.6324999999999998E-4</v>
      </c>
      <c r="E29" s="142">
        <f t="shared" si="1"/>
        <v>0.99983675000000005</v>
      </c>
      <c r="G29" s="137">
        <f t="shared" si="0"/>
        <v>0</v>
      </c>
      <c r="H29" s="137">
        <f t="shared" si="2"/>
        <v>0</v>
      </c>
      <c r="I29" s="137">
        <f t="shared" si="4"/>
        <v>0</v>
      </c>
      <c r="J29" s="145">
        <f t="shared" si="3"/>
        <v>294.31021219534853</v>
      </c>
    </row>
    <row r="30" spans="1:10" x14ac:dyDescent="0.2">
      <c r="A30" s="137">
        <f>'Q.3 (i)'!G30</f>
        <v>41</v>
      </c>
      <c r="B30" s="137">
        <f>'Q.3 (i)'!AH30</f>
        <v>295.11969799655458</v>
      </c>
      <c r="D30" s="143">
        <f>VLOOKUP(A30,'Q.3-Data'!$B$3:$C$118,2,TRUE)/12</f>
        <v>1.6324999999999998E-4</v>
      </c>
      <c r="E30" s="142">
        <f t="shared" si="1"/>
        <v>0.99983675000000005</v>
      </c>
      <c r="G30" s="137">
        <f t="shared" si="0"/>
        <v>0</v>
      </c>
      <c r="H30" s="137">
        <f t="shared" si="2"/>
        <v>0</v>
      </c>
      <c r="I30" s="137">
        <f t="shared" si="4"/>
        <v>0</v>
      </c>
      <c r="J30" s="145">
        <f t="shared" si="3"/>
        <v>295.11969799655458</v>
      </c>
    </row>
    <row r="31" spans="1:10" x14ac:dyDescent="0.2">
      <c r="A31" s="137">
        <f>'Q.3 (i)'!G31</f>
        <v>41</v>
      </c>
      <c r="B31" s="137">
        <f>'Q.3 (i)'!AH31</f>
        <v>295.93349970849806</v>
      </c>
      <c r="D31" s="143">
        <f>VLOOKUP(A31,'Q.3-Data'!$B$3:$C$118,2,TRUE)/12</f>
        <v>1.6324999999999998E-4</v>
      </c>
      <c r="E31" s="142">
        <f t="shared" si="1"/>
        <v>0.99983675000000005</v>
      </c>
      <c r="G31" s="137">
        <f t="shared" si="0"/>
        <v>0</v>
      </c>
      <c r="H31" s="137">
        <f t="shared" si="2"/>
        <v>0</v>
      </c>
      <c r="I31" s="137">
        <f t="shared" si="4"/>
        <v>0</v>
      </c>
      <c r="J31" s="145">
        <f t="shared" si="3"/>
        <v>295.93349970849806</v>
      </c>
    </row>
    <row r="32" spans="1:10" x14ac:dyDescent="0.2">
      <c r="A32" s="137">
        <f>'Q.3 (i)'!G32</f>
        <v>41</v>
      </c>
      <c r="B32" s="137">
        <f>'Q.3 (i)'!AH32</f>
        <v>296.75164034218886</v>
      </c>
      <c r="D32" s="143">
        <f>VLOOKUP(A32,'Q.3-Data'!$B$3:$C$118,2,TRUE)/12</f>
        <v>1.6324999999999998E-4</v>
      </c>
      <c r="E32" s="142">
        <f t="shared" si="1"/>
        <v>0.99983675000000005</v>
      </c>
      <c r="G32" s="137">
        <f t="shared" si="0"/>
        <v>0</v>
      </c>
      <c r="H32" s="137">
        <f t="shared" si="2"/>
        <v>0</v>
      </c>
      <c r="I32" s="137">
        <f t="shared" si="4"/>
        <v>0</v>
      </c>
      <c r="J32" s="145">
        <f t="shared" si="3"/>
        <v>296.75164034218886</v>
      </c>
    </row>
    <row r="33" spans="1:10" x14ac:dyDescent="0.2">
      <c r="A33" s="137">
        <f>'Q.3 (i)'!G33</f>
        <v>41</v>
      </c>
      <c r="B33" s="137">
        <f>'Q.3 (i)'!AH33</f>
        <v>297.5741430313235</v>
      </c>
      <c r="D33" s="143">
        <f>VLOOKUP(A33,'Q.3-Data'!$B$3:$C$118,2,TRUE)/12</f>
        <v>1.6324999999999998E-4</v>
      </c>
      <c r="E33" s="142">
        <f t="shared" si="1"/>
        <v>0.99983675000000005</v>
      </c>
      <c r="G33" s="137">
        <f t="shared" si="0"/>
        <v>0</v>
      </c>
      <c r="H33" s="137">
        <f t="shared" si="2"/>
        <v>0</v>
      </c>
      <c r="I33" s="137">
        <f t="shared" si="4"/>
        <v>0</v>
      </c>
      <c r="J33" s="145">
        <f t="shared" si="3"/>
        <v>297.5741430313235</v>
      </c>
    </row>
    <row r="34" spans="1:10" x14ac:dyDescent="0.2">
      <c r="A34" s="137">
        <f>'Q.3 (i)'!G34</f>
        <v>41</v>
      </c>
      <c r="B34" s="137">
        <f>'Q.3 (i)'!AH34</f>
        <v>298.40103103293961</v>
      </c>
      <c r="D34" s="143">
        <f>VLOOKUP(A34,'Q.3-Data'!$B$3:$C$118,2,TRUE)/12</f>
        <v>1.6324999999999998E-4</v>
      </c>
      <c r="E34" s="142">
        <f t="shared" si="1"/>
        <v>0.99983675000000005</v>
      </c>
      <c r="G34" s="137">
        <f t="shared" si="0"/>
        <v>0</v>
      </c>
      <c r="H34" s="137">
        <f t="shared" si="2"/>
        <v>0</v>
      </c>
      <c r="I34" s="137">
        <f t="shared" si="4"/>
        <v>0</v>
      </c>
      <c r="J34" s="145">
        <f t="shared" si="3"/>
        <v>298.40103103293961</v>
      </c>
    </row>
    <row r="35" spans="1:10" x14ac:dyDescent="0.2">
      <c r="A35" s="137">
        <f>'Q.3 (i)'!G35</f>
        <v>41</v>
      </c>
      <c r="B35" s="137">
        <f>'Q.3 (i)'!AH35</f>
        <v>299.23232772807421</v>
      </c>
      <c r="D35" s="143">
        <f>VLOOKUP(A35,'Q.3-Data'!$B$3:$C$118,2,TRUE)/12</f>
        <v>1.6324999999999998E-4</v>
      </c>
      <c r="E35" s="142">
        <f t="shared" si="1"/>
        <v>0.99983675000000005</v>
      </c>
      <c r="G35" s="137">
        <f t="shared" si="0"/>
        <v>0</v>
      </c>
      <c r="H35" s="137">
        <f t="shared" si="2"/>
        <v>0</v>
      </c>
      <c r="I35" s="137">
        <f t="shared" si="4"/>
        <v>0</v>
      </c>
      <c r="J35" s="145">
        <f t="shared" si="3"/>
        <v>299.23232772807421</v>
      </c>
    </row>
    <row r="36" spans="1:10" x14ac:dyDescent="0.2">
      <c r="A36" s="137">
        <f>'Q.3 (i)'!G36</f>
        <v>42</v>
      </c>
      <c r="B36" s="137">
        <f>'Q.3 (i)'!AH36</f>
        <v>405.77409404806622</v>
      </c>
      <c r="D36" s="143">
        <f>VLOOKUP(A36,'Q.3-Data'!$B$3:$C$118,2,TRUE)/12</f>
        <v>1.7833333333333332E-4</v>
      </c>
      <c r="E36" s="142">
        <f t="shared" si="1"/>
        <v>0.99982166666666672</v>
      </c>
      <c r="G36" s="137">
        <f t="shared" si="0"/>
        <v>0</v>
      </c>
      <c r="H36" s="137">
        <f t="shared" si="2"/>
        <v>0</v>
      </c>
      <c r="I36" s="137">
        <f t="shared" si="4"/>
        <v>0</v>
      </c>
      <c r="J36" s="145">
        <f t="shared" si="3"/>
        <v>405.77409404806622</v>
      </c>
    </row>
    <row r="37" spans="1:10" x14ac:dyDescent="0.2">
      <c r="A37" s="137">
        <f>'Q.3 (i)'!G37</f>
        <v>42</v>
      </c>
      <c r="B37" s="137">
        <f>'Q.3 (i)'!AH37</f>
        <v>407.13697570484118</v>
      </c>
      <c r="D37" s="143">
        <f>VLOOKUP(A37,'Q.3-Data'!$B$3:$C$118,2,TRUE)/12</f>
        <v>1.7833333333333332E-4</v>
      </c>
      <c r="E37" s="142">
        <f t="shared" si="1"/>
        <v>0.99982166666666672</v>
      </c>
      <c r="G37" s="137">
        <f t="shared" si="0"/>
        <v>0</v>
      </c>
      <c r="H37" s="137">
        <f t="shared" si="2"/>
        <v>0</v>
      </c>
      <c r="I37" s="137">
        <f t="shared" si="4"/>
        <v>0</v>
      </c>
      <c r="J37" s="145">
        <f t="shared" si="3"/>
        <v>407.13697570484118</v>
      </c>
    </row>
    <row r="38" spans="1:10" x14ac:dyDescent="0.2">
      <c r="A38" s="137">
        <f>'Q.3 (i)'!G38</f>
        <v>42</v>
      </c>
      <c r="B38" s="137">
        <f>'Q.3 (i)'!AH38</f>
        <v>408.50715427174742</v>
      </c>
      <c r="D38" s="143">
        <f>VLOOKUP(A38,'Q.3-Data'!$B$3:$C$118,2,TRUE)/12</f>
        <v>1.7833333333333332E-4</v>
      </c>
      <c r="E38" s="142">
        <f t="shared" si="1"/>
        <v>0.99982166666666672</v>
      </c>
      <c r="G38" s="137">
        <f t="shared" si="0"/>
        <v>0</v>
      </c>
      <c r="H38" s="137">
        <f t="shared" si="2"/>
        <v>0</v>
      </c>
      <c r="I38" s="137">
        <f t="shared" si="4"/>
        <v>0</v>
      </c>
      <c r="J38" s="145">
        <f t="shared" si="3"/>
        <v>408.50715427174742</v>
      </c>
    </row>
    <row r="39" spans="1:10" x14ac:dyDescent="0.2">
      <c r="A39" s="137">
        <f>'Q.3 (i)'!G39</f>
        <v>42</v>
      </c>
      <c r="B39" s="137">
        <f>'Q.3 (i)'!AH39</f>
        <v>409.88466881666534</v>
      </c>
      <c r="D39" s="143">
        <f>VLOOKUP(A39,'Q.3-Data'!$B$3:$C$118,2,TRUE)/12</f>
        <v>1.7833333333333332E-4</v>
      </c>
      <c r="E39" s="142">
        <f t="shared" si="1"/>
        <v>0.99982166666666672</v>
      </c>
      <c r="G39" s="137">
        <f t="shared" si="0"/>
        <v>0</v>
      </c>
      <c r="H39" s="137">
        <f t="shared" si="2"/>
        <v>0</v>
      </c>
      <c r="I39" s="137">
        <f t="shared" si="4"/>
        <v>0</v>
      </c>
      <c r="J39" s="145">
        <f t="shared" si="3"/>
        <v>409.88466881666534</v>
      </c>
    </row>
    <row r="40" spans="1:10" x14ac:dyDescent="0.2">
      <c r="A40" s="137">
        <f>'Q.3 (i)'!G40</f>
        <v>42</v>
      </c>
      <c r="B40" s="137">
        <f>'Q.3 (i)'!AH40</f>
        <v>411.26955861664555</v>
      </c>
      <c r="D40" s="143">
        <f>VLOOKUP(A40,'Q.3-Data'!$B$3:$C$118,2,TRUE)/12</f>
        <v>1.7833333333333332E-4</v>
      </c>
      <c r="E40" s="142">
        <f t="shared" si="1"/>
        <v>0.99982166666666672</v>
      </c>
      <c r="G40" s="137">
        <f t="shared" si="0"/>
        <v>0</v>
      </c>
      <c r="H40" s="137">
        <f t="shared" si="2"/>
        <v>0</v>
      </c>
      <c r="I40" s="137">
        <f t="shared" si="4"/>
        <v>0</v>
      </c>
      <c r="J40" s="145">
        <f t="shared" si="3"/>
        <v>411.26955861664555</v>
      </c>
    </row>
    <row r="41" spans="1:10" x14ac:dyDescent="0.2">
      <c r="A41" s="137">
        <f>'Q.3 (i)'!G41</f>
        <v>42</v>
      </c>
      <c r="B41" s="137">
        <f>'Q.3 (i)'!AH41</f>
        <v>412.66186315902974</v>
      </c>
      <c r="D41" s="143">
        <f>VLOOKUP(A41,'Q.3-Data'!$B$3:$C$118,2,TRUE)/12</f>
        <v>1.7833333333333332E-4</v>
      </c>
      <c r="E41" s="142">
        <f t="shared" si="1"/>
        <v>0.99982166666666672</v>
      </c>
      <c r="G41" s="137">
        <f t="shared" si="0"/>
        <v>0</v>
      </c>
      <c r="H41" s="137">
        <f t="shared" si="2"/>
        <v>0</v>
      </c>
      <c r="I41" s="137">
        <f t="shared" si="4"/>
        <v>0</v>
      </c>
      <c r="J41" s="145">
        <f t="shared" si="3"/>
        <v>412.66186315902974</v>
      </c>
    </row>
    <row r="42" spans="1:10" x14ac:dyDescent="0.2">
      <c r="A42" s="137">
        <f>'Q.3 (i)'!G42</f>
        <v>42</v>
      </c>
      <c r="B42" s="137">
        <f>'Q.3 (i)'!AH42</f>
        <v>414.06162214257574</v>
      </c>
      <c r="D42" s="143">
        <f>VLOOKUP(A42,'Q.3-Data'!$B$3:$C$118,2,TRUE)/12</f>
        <v>1.7833333333333332E-4</v>
      </c>
      <c r="E42" s="142">
        <f t="shared" si="1"/>
        <v>0.99982166666666672</v>
      </c>
      <c r="G42" s="137">
        <f t="shared" si="0"/>
        <v>0</v>
      </c>
      <c r="H42" s="137">
        <f t="shared" si="2"/>
        <v>0</v>
      </c>
      <c r="I42" s="137">
        <f t="shared" si="4"/>
        <v>0</v>
      </c>
      <c r="J42" s="145">
        <f t="shared" si="3"/>
        <v>414.06162214257574</v>
      </c>
    </row>
    <row r="43" spans="1:10" x14ac:dyDescent="0.2">
      <c r="A43" s="137">
        <f>'Q.3 (i)'!G43</f>
        <v>42</v>
      </c>
      <c r="B43" s="137">
        <f>'Q.3 (i)'!AH43</f>
        <v>415.46887547858989</v>
      </c>
      <c r="D43" s="143">
        <f>VLOOKUP(A43,'Q.3-Data'!$B$3:$C$118,2,TRUE)/12</f>
        <v>1.7833333333333332E-4</v>
      </c>
      <c r="E43" s="142">
        <f t="shared" si="1"/>
        <v>0.99982166666666672</v>
      </c>
      <c r="G43" s="137">
        <f t="shared" si="0"/>
        <v>0</v>
      </c>
      <c r="H43" s="137">
        <f t="shared" si="2"/>
        <v>0</v>
      </c>
      <c r="I43" s="137">
        <f t="shared" si="4"/>
        <v>0</v>
      </c>
      <c r="J43" s="145">
        <f t="shared" si="3"/>
        <v>415.46887547858989</v>
      </c>
    </row>
    <row r="44" spans="1:10" x14ac:dyDescent="0.2">
      <c r="A44" s="137">
        <f>'Q.3 (i)'!G44</f>
        <v>42</v>
      </c>
      <c r="B44" s="137">
        <f>'Q.3 (i)'!AH44</f>
        <v>416.8836632920648</v>
      </c>
      <c r="D44" s="143">
        <f>VLOOKUP(A44,'Q.3-Data'!$B$3:$C$118,2,TRUE)/12</f>
        <v>1.7833333333333332E-4</v>
      </c>
      <c r="E44" s="142">
        <f t="shared" si="1"/>
        <v>0.99982166666666672</v>
      </c>
      <c r="G44" s="137">
        <f t="shared" ref="G44:G75" si="5">MAX(0,(-B45+G45*E45)/(1+$C$4))</f>
        <v>0</v>
      </c>
      <c r="H44" s="137">
        <f t="shared" si="2"/>
        <v>0</v>
      </c>
      <c r="I44" s="137">
        <f t="shared" si="4"/>
        <v>0</v>
      </c>
      <c r="J44" s="145">
        <f t="shared" si="3"/>
        <v>416.8836632920648</v>
      </c>
    </row>
    <row r="45" spans="1:10" x14ac:dyDescent="0.2">
      <c r="A45" s="137">
        <f>'Q.3 (i)'!G45</f>
        <v>42</v>
      </c>
      <c r="B45" s="137">
        <f>'Q.3 (i)'!AH45</f>
        <v>418.30602592282355</v>
      </c>
      <c r="D45" s="143">
        <f>VLOOKUP(A45,'Q.3-Data'!$B$3:$C$118,2,TRUE)/12</f>
        <v>1.7833333333333332E-4</v>
      </c>
      <c r="E45" s="142">
        <f t="shared" si="1"/>
        <v>0.99982166666666672</v>
      </c>
      <c r="G45" s="137">
        <f t="shared" si="5"/>
        <v>0</v>
      </c>
      <c r="H45" s="137">
        <f t="shared" si="2"/>
        <v>0</v>
      </c>
      <c r="I45" s="137">
        <f t="shared" si="4"/>
        <v>0</v>
      </c>
      <c r="J45" s="145">
        <f t="shared" si="3"/>
        <v>418.30602592282355</v>
      </c>
    </row>
    <row r="46" spans="1:10" x14ac:dyDescent="0.2">
      <c r="A46" s="137">
        <f>'Q.3 (i)'!G46</f>
        <v>42</v>
      </c>
      <c r="B46" s="137">
        <f>'Q.3 (i)'!AH46</f>
        <v>419.73600392666992</v>
      </c>
      <c r="D46" s="143">
        <f>VLOOKUP(A46,'Q.3-Data'!$B$3:$C$118,2,TRUE)/12</f>
        <v>1.7833333333333332E-4</v>
      </c>
      <c r="E46" s="142">
        <f t="shared" si="1"/>
        <v>0.99982166666666672</v>
      </c>
      <c r="G46" s="137">
        <f t="shared" si="5"/>
        <v>0</v>
      </c>
      <c r="H46" s="137">
        <f t="shared" si="2"/>
        <v>0</v>
      </c>
      <c r="I46" s="137">
        <f t="shared" si="4"/>
        <v>0</v>
      </c>
      <c r="J46" s="145">
        <f t="shared" si="3"/>
        <v>419.73600392666992</v>
      </c>
    </row>
    <row r="47" spans="1:10" x14ac:dyDescent="0.2">
      <c r="A47" s="137">
        <f>'Q.3 (i)'!G47</f>
        <v>42</v>
      </c>
      <c r="B47" s="137">
        <f>'Q.3 (i)'!AH47</f>
        <v>421.17363807654465</v>
      </c>
      <c r="D47" s="143">
        <f>VLOOKUP(A47,'Q.3-Data'!$B$3:$C$118,2,TRUE)/12</f>
        <v>1.7833333333333332E-4</v>
      </c>
      <c r="E47" s="142">
        <f t="shared" si="1"/>
        <v>0.99982166666666672</v>
      </c>
      <c r="G47" s="137">
        <f t="shared" si="5"/>
        <v>0</v>
      </c>
      <c r="H47" s="137">
        <f t="shared" si="2"/>
        <v>0</v>
      </c>
      <c r="I47" s="137">
        <f t="shared" si="4"/>
        <v>0</v>
      </c>
      <c r="J47" s="145">
        <f t="shared" si="3"/>
        <v>421.17363807654465</v>
      </c>
    </row>
    <row r="48" spans="1:10" x14ac:dyDescent="0.2">
      <c r="A48" s="137">
        <f>'Q.3 (i)'!G48</f>
        <v>43</v>
      </c>
      <c r="B48" s="137">
        <f>'Q.3 (i)'!AH48</f>
        <v>1030.092991324595</v>
      </c>
      <c r="D48" s="143">
        <f>VLOOKUP(A48,'Q.3-Data'!$B$3:$C$118,2,TRUE)/12</f>
        <v>1.9583333333333334E-4</v>
      </c>
      <c r="E48" s="142">
        <f t="shared" si="1"/>
        <v>0.99980416666666672</v>
      </c>
      <c r="G48" s="137">
        <f t="shared" si="5"/>
        <v>0</v>
      </c>
      <c r="H48" s="137">
        <f t="shared" si="2"/>
        <v>0</v>
      </c>
      <c r="I48" s="137">
        <f t="shared" si="4"/>
        <v>0</v>
      </c>
      <c r="J48" s="145">
        <f t="shared" si="3"/>
        <v>1030.092991324595</v>
      </c>
    </row>
    <row r="49" spans="1:10" x14ac:dyDescent="0.2">
      <c r="A49" s="137">
        <f>'Q.3 (i)'!G49</f>
        <v>43</v>
      </c>
      <c r="B49" s="137">
        <f>'Q.3 (i)'!AH49</f>
        <v>530.02833977319028</v>
      </c>
      <c r="D49" s="143">
        <f>VLOOKUP(A49,'Q.3-Data'!$B$3:$C$118,2,TRUE)/12</f>
        <v>1.9583333333333334E-4</v>
      </c>
      <c r="E49" s="142">
        <f t="shared" si="1"/>
        <v>0.99980416666666672</v>
      </c>
      <c r="G49" s="137">
        <f t="shared" si="5"/>
        <v>0</v>
      </c>
      <c r="H49" s="137">
        <f t="shared" si="2"/>
        <v>0</v>
      </c>
      <c r="I49" s="137">
        <f t="shared" si="4"/>
        <v>0</v>
      </c>
      <c r="J49" s="145">
        <f t="shared" si="3"/>
        <v>530.02833977319028</v>
      </c>
    </row>
    <row r="50" spans="1:10" x14ac:dyDescent="0.2">
      <c r="A50" s="137">
        <f>'Q.3 (i)'!G50</f>
        <v>43</v>
      </c>
      <c r="B50" s="137">
        <f>'Q.3 (i)'!AH50</f>
        <v>532.01136163095123</v>
      </c>
      <c r="D50" s="143">
        <f>VLOOKUP(A50,'Q.3-Data'!$B$3:$C$118,2,TRUE)/12</f>
        <v>1.9583333333333334E-4</v>
      </c>
      <c r="E50" s="142">
        <f t="shared" si="1"/>
        <v>0.99980416666666672</v>
      </c>
      <c r="G50" s="137">
        <f t="shared" si="5"/>
        <v>0</v>
      </c>
      <c r="H50" s="137">
        <f t="shared" si="2"/>
        <v>0</v>
      </c>
      <c r="I50" s="137">
        <f t="shared" si="4"/>
        <v>0</v>
      </c>
      <c r="J50" s="145">
        <f t="shared" si="3"/>
        <v>532.01136163095123</v>
      </c>
    </row>
    <row r="51" spans="1:10" x14ac:dyDescent="0.2">
      <c r="A51" s="137">
        <f>'Q.3 (i)'!G51</f>
        <v>43</v>
      </c>
      <c r="B51" s="137">
        <f>'Q.3 (i)'!AH51</f>
        <v>534.00505209574692</v>
      </c>
      <c r="D51" s="143">
        <f>VLOOKUP(A51,'Q.3-Data'!$B$3:$C$118,2,TRUE)/12</f>
        <v>1.9583333333333334E-4</v>
      </c>
      <c r="E51" s="142">
        <f t="shared" si="1"/>
        <v>0.99980416666666672</v>
      </c>
      <c r="G51" s="137">
        <f t="shared" si="5"/>
        <v>0</v>
      </c>
      <c r="H51" s="137">
        <f t="shared" si="2"/>
        <v>0</v>
      </c>
      <c r="I51" s="137">
        <f t="shared" si="4"/>
        <v>0</v>
      </c>
      <c r="J51" s="145">
        <f t="shared" si="3"/>
        <v>534.00505209574692</v>
      </c>
    </row>
    <row r="52" spans="1:10" x14ac:dyDescent="0.2">
      <c r="A52" s="137">
        <f>'Q.3 (i)'!G52</f>
        <v>43</v>
      </c>
      <c r="B52" s="137">
        <f>'Q.3 (i)'!AH52</f>
        <v>536.00946856441089</v>
      </c>
      <c r="D52" s="143">
        <f>VLOOKUP(A52,'Q.3-Data'!$B$3:$C$118,2,TRUE)/12</f>
        <v>1.9583333333333334E-4</v>
      </c>
      <c r="E52" s="142">
        <f t="shared" si="1"/>
        <v>0.99980416666666672</v>
      </c>
      <c r="G52" s="137">
        <f t="shared" si="5"/>
        <v>0</v>
      </c>
      <c r="H52" s="137">
        <f t="shared" si="2"/>
        <v>0</v>
      </c>
      <c r="I52" s="137">
        <f t="shared" si="4"/>
        <v>0</v>
      </c>
      <c r="J52" s="145">
        <f t="shared" si="3"/>
        <v>536.00946856441089</v>
      </c>
    </row>
    <row r="53" spans="1:10" x14ac:dyDescent="0.2">
      <c r="A53" s="137">
        <f>'Q.3 (i)'!G53</f>
        <v>43</v>
      </c>
      <c r="B53" s="137">
        <f>'Q.3 (i)'!AH53</f>
        <v>538.02466874257061</v>
      </c>
      <c r="D53" s="143">
        <f>VLOOKUP(A53,'Q.3-Data'!$B$3:$C$118,2,TRUE)/12</f>
        <v>1.9583333333333334E-4</v>
      </c>
      <c r="E53" s="142">
        <f t="shared" si="1"/>
        <v>0.99980416666666672</v>
      </c>
      <c r="G53" s="137">
        <f t="shared" si="5"/>
        <v>0</v>
      </c>
      <c r="H53" s="137">
        <f t="shared" si="2"/>
        <v>0</v>
      </c>
      <c r="I53" s="137">
        <f t="shared" si="4"/>
        <v>0</v>
      </c>
      <c r="J53" s="145">
        <f t="shared" si="3"/>
        <v>538.02466874257061</v>
      </c>
    </row>
    <row r="54" spans="1:10" x14ac:dyDescent="0.2">
      <c r="A54" s="137">
        <f>'Q.3 (i)'!G54</f>
        <v>43</v>
      </c>
      <c r="B54" s="137">
        <f>'Q.3 (i)'!AH54</f>
        <v>540.05071064630829</v>
      </c>
      <c r="D54" s="143">
        <f>VLOOKUP(A54,'Q.3-Data'!$B$3:$C$118,2,TRUE)/12</f>
        <v>1.9583333333333334E-4</v>
      </c>
      <c r="E54" s="142">
        <f t="shared" si="1"/>
        <v>0.99980416666666672</v>
      </c>
      <c r="G54" s="137">
        <f t="shared" si="5"/>
        <v>0</v>
      </c>
      <c r="H54" s="137">
        <f t="shared" si="2"/>
        <v>0</v>
      </c>
      <c r="I54" s="137">
        <f t="shared" si="4"/>
        <v>0</v>
      </c>
      <c r="J54" s="145">
        <f t="shared" si="3"/>
        <v>540.05071064630829</v>
      </c>
    </row>
    <row r="55" spans="1:10" x14ac:dyDescent="0.2">
      <c r="A55" s="137">
        <f>'Q.3 (i)'!G55</f>
        <v>43</v>
      </c>
      <c r="B55" s="137">
        <f>'Q.3 (i)'!AH55</f>
        <v>542.08765260383086</v>
      </c>
      <c r="D55" s="143">
        <f>VLOOKUP(A55,'Q.3-Data'!$B$3:$C$118,2,TRUE)/12</f>
        <v>1.9583333333333334E-4</v>
      </c>
      <c r="E55" s="142">
        <f t="shared" si="1"/>
        <v>0.99980416666666672</v>
      </c>
      <c r="G55" s="137">
        <f t="shared" si="5"/>
        <v>0</v>
      </c>
      <c r="H55" s="137">
        <f t="shared" si="2"/>
        <v>0</v>
      </c>
      <c r="I55" s="137">
        <f t="shared" si="4"/>
        <v>0</v>
      </c>
      <c r="J55" s="145">
        <f t="shared" si="3"/>
        <v>542.08765260383086</v>
      </c>
    </row>
    <row r="56" spans="1:10" x14ac:dyDescent="0.2">
      <c r="A56" s="137">
        <f>'Q.3 (i)'!G56</f>
        <v>43</v>
      </c>
      <c r="B56" s="137">
        <f>'Q.3 (i)'!AH56</f>
        <v>544.13555325714992</v>
      </c>
      <c r="D56" s="143">
        <f>VLOOKUP(A56,'Q.3-Data'!$B$3:$C$118,2,TRUE)/12</f>
        <v>1.9583333333333334E-4</v>
      </c>
      <c r="E56" s="142">
        <f t="shared" si="1"/>
        <v>0.99980416666666672</v>
      </c>
      <c r="G56" s="137">
        <f t="shared" si="5"/>
        <v>0</v>
      </c>
      <c r="H56" s="137">
        <f t="shared" si="2"/>
        <v>0</v>
      </c>
      <c r="I56" s="137">
        <f t="shared" si="4"/>
        <v>0</v>
      </c>
      <c r="J56" s="145">
        <f t="shared" si="3"/>
        <v>544.13555325714992</v>
      </c>
    </row>
    <row r="57" spans="1:10" x14ac:dyDescent="0.2">
      <c r="A57" s="137">
        <f>'Q.3 (i)'!G57</f>
        <v>43</v>
      </c>
      <c r="B57" s="137">
        <f>'Q.3 (i)'!AH57</f>
        <v>546.19447156376941</v>
      </c>
      <c r="D57" s="143">
        <f>VLOOKUP(A57,'Q.3-Data'!$B$3:$C$118,2,TRUE)/12</f>
        <v>1.9583333333333334E-4</v>
      </c>
      <c r="E57" s="142">
        <f t="shared" si="1"/>
        <v>0.99980416666666672</v>
      </c>
      <c r="G57" s="137">
        <f t="shared" si="5"/>
        <v>0</v>
      </c>
      <c r="H57" s="137">
        <f t="shared" si="2"/>
        <v>0</v>
      </c>
      <c r="I57" s="137">
        <f t="shared" si="4"/>
        <v>0</v>
      </c>
      <c r="J57" s="145">
        <f t="shared" si="3"/>
        <v>546.19447156376941</v>
      </c>
    </row>
    <row r="58" spans="1:10" x14ac:dyDescent="0.2">
      <c r="A58" s="137">
        <f>'Q.3 (i)'!G58</f>
        <v>43</v>
      </c>
      <c r="B58" s="137">
        <f>'Q.3 (i)'!AH58</f>
        <v>548.2644667983833</v>
      </c>
      <c r="D58" s="143">
        <f>VLOOKUP(A58,'Q.3-Data'!$B$3:$C$118,2,TRUE)/12</f>
        <v>1.9583333333333334E-4</v>
      </c>
      <c r="E58" s="142">
        <f t="shared" si="1"/>
        <v>0.99980416666666672</v>
      </c>
      <c r="G58" s="137">
        <f t="shared" si="5"/>
        <v>0</v>
      </c>
      <c r="H58" s="137">
        <f t="shared" si="2"/>
        <v>0</v>
      </c>
      <c r="I58" s="137">
        <f t="shared" si="4"/>
        <v>0</v>
      </c>
      <c r="J58" s="145">
        <f t="shared" si="3"/>
        <v>548.2644667983833</v>
      </c>
    </row>
    <row r="59" spans="1:10" x14ac:dyDescent="0.2">
      <c r="A59" s="137">
        <f>'Q.3 (i)'!G59</f>
        <v>43</v>
      </c>
      <c r="B59" s="137">
        <f>'Q.3 (i)'!AH59</f>
        <v>550.34559855458167</v>
      </c>
      <c r="D59" s="143">
        <f>VLOOKUP(A59,'Q.3-Data'!$B$3:$C$118,2,TRUE)/12</f>
        <v>1.9583333333333334E-4</v>
      </c>
      <c r="E59" s="142">
        <f t="shared" si="1"/>
        <v>0.99980416666666672</v>
      </c>
      <c r="G59" s="137">
        <f t="shared" si="5"/>
        <v>0</v>
      </c>
      <c r="H59" s="137">
        <f t="shared" si="2"/>
        <v>0</v>
      </c>
      <c r="I59" s="137">
        <f t="shared" si="4"/>
        <v>0</v>
      </c>
      <c r="J59" s="145">
        <f t="shared" si="3"/>
        <v>550.34559855458167</v>
      </c>
    </row>
    <row r="60" spans="1:10" x14ac:dyDescent="0.2">
      <c r="A60" s="137">
        <f>'Q.3 (i)'!G60</f>
        <v>44</v>
      </c>
      <c r="B60" s="137">
        <f>'Q.3 (i)'!AH60</f>
        <v>1158.6608359552711</v>
      </c>
      <c r="D60" s="143">
        <f>VLOOKUP(A60,'Q.3-Data'!$B$3:$C$118,2,TRUE)/12</f>
        <v>2.1608333333333332E-4</v>
      </c>
      <c r="E60" s="142">
        <f t="shared" si="1"/>
        <v>0.99978391666666666</v>
      </c>
      <c r="G60" s="137">
        <f t="shared" si="5"/>
        <v>0</v>
      </c>
      <c r="H60" s="137">
        <f t="shared" si="2"/>
        <v>0</v>
      </c>
      <c r="I60" s="137">
        <f t="shared" si="4"/>
        <v>0</v>
      </c>
      <c r="J60" s="145">
        <f t="shared" si="3"/>
        <v>1158.6608359552711</v>
      </c>
    </row>
    <row r="61" spans="1:10" x14ac:dyDescent="0.2">
      <c r="A61" s="137">
        <f>'Q.3 (i)'!G61</f>
        <v>44</v>
      </c>
      <c r="B61" s="137">
        <f>'Q.3 (i)'!AH61</f>
        <v>659.23855563977031</v>
      </c>
      <c r="D61" s="143">
        <f>VLOOKUP(A61,'Q.3-Data'!$B$3:$C$118,2,TRUE)/12</f>
        <v>2.1608333333333332E-4</v>
      </c>
      <c r="E61" s="142">
        <f t="shared" si="1"/>
        <v>0.99978391666666666</v>
      </c>
      <c r="G61" s="137">
        <f t="shared" si="5"/>
        <v>0</v>
      </c>
      <c r="H61" s="137">
        <f t="shared" si="2"/>
        <v>0</v>
      </c>
      <c r="I61" s="137">
        <f t="shared" si="4"/>
        <v>0</v>
      </c>
      <c r="J61" s="145">
        <f t="shared" si="3"/>
        <v>659.23855563977031</v>
      </c>
    </row>
    <row r="62" spans="1:10" x14ac:dyDescent="0.2">
      <c r="A62" s="137">
        <f>'Q.3 (i)'!G62</f>
        <v>44</v>
      </c>
      <c r="B62" s="137">
        <f>'Q.3 (i)'!AH62</f>
        <v>661.86748317206661</v>
      </c>
      <c r="D62" s="143">
        <f>VLOOKUP(A62,'Q.3-Data'!$B$3:$C$118,2,TRUE)/12</f>
        <v>2.1608333333333332E-4</v>
      </c>
      <c r="E62" s="142">
        <f t="shared" si="1"/>
        <v>0.99978391666666666</v>
      </c>
      <c r="G62" s="137">
        <f t="shared" si="5"/>
        <v>0</v>
      </c>
      <c r="H62" s="137">
        <f t="shared" si="2"/>
        <v>0</v>
      </c>
      <c r="I62" s="137">
        <f t="shared" si="4"/>
        <v>0</v>
      </c>
      <c r="J62" s="145">
        <f t="shared" si="3"/>
        <v>661.86748317206661</v>
      </c>
    </row>
    <row r="63" spans="1:10" x14ac:dyDescent="0.2">
      <c r="A63" s="137">
        <f>'Q.3 (i)'!G63</f>
        <v>44</v>
      </c>
      <c r="B63" s="137">
        <f>'Q.3 (i)'!AH63</f>
        <v>664.510633189891</v>
      </c>
      <c r="D63" s="143">
        <f>VLOOKUP(A63,'Q.3-Data'!$B$3:$C$118,2,TRUE)/12</f>
        <v>2.1608333333333332E-4</v>
      </c>
      <c r="E63" s="142">
        <f t="shared" si="1"/>
        <v>0.99978391666666666</v>
      </c>
      <c r="G63" s="137">
        <f t="shared" si="5"/>
        <v>0</v>
      </c>
      <c r="H63" s="137">
        <f t="shared" si="2"/>
        <v>0</v>
      </c>
      <c r="I63" s="137">
        <f t="shared" si="4"/>
        <v>0</v>
      </c>
      <c r="J63" s="145">
        <f t="shared" si="3"/>
        <v>664.510633189891</v>
      </c>
    </row>
    <row r="64" spans="1:10" x14ac:dyDescent="0.2">
      <c r="A64" s="137">
        <f>'Q.3 (i)'!G64</f>
        <v>44</v>
      </c>
      <c r="B64" s="137">
        <f>'Q.3 (i)'!AH64</f>
        <v>667.16808263682287</v>
      </c>
      <c r="D64" s="143">
        <f>VLOOKUP(A64,'Q.3-Data'!$B$3:$C$118,2,TRUE)/12</f>
        <v>2.1608333333333332E-4</v>
      </c>
      <c r="E64" s="142">
        <f t="shared" si="1"/>
        <v>0.99978391666666666</v>
      </c>
      <c r="G64" s="137">
        <f t="shared" si="5"/>
        <v>0</v>
      </c>
      <c r="H64" s="137">
        <f t="shared" si="2"/>
        <v>0</v>
      </c>
      <c r="I64" s="137">
        <f t="shared" si="4"/>
        <v>0</v>
      </c>
      <c r="J64" s="145">
        <f t="shared" si="3"/>
        <v>667.16808263682287</v>
      </c>
    </row>
    <row r="65" spans="1:10" x14ac:dyDescent="0.2">
      <c r="A65" s="137">
        <f>'Q.3 (i)'!G65</f>
        <v>44</v>
      </c>
      <c r="B65" s="137">
        <f>'Q.3 (i)'!AH65</f>
        <v>669.83990887270591</v>
      </c>
      <c r="D65" s="143">
        <f>VLOOKUP(A65,'Q.3-Data'!$B$3:$C$118,2,TRUE)/12</f>
        <v>2.1608333333333332E-4</v>
      </c>
      <c r="E65" s="142">
        <f t="shared" si="1"/>
        <v>0.99978391666666666</v>
      </c>
      <c r="G65" s="137">
        <f t="shared" si="5"/>
        <v>0</v>
      </c>
      <c r="H65" s="137">
        <f t="shared" si="2"/>
        <v>0</v>
      </c>
      <c r="I65" s="137">
        <f t="shared" si="4"/>
        <v>0</v>
      </c>
      <c r="J65" s="145">
        <f t="shared" si="3"/>
        <v>669.83990887270591</v>
      </c>
    </row>
    <row r="66" spans="1:10" x14ac:dyDescent="0.2">
      <c r="A66" s="137">
        <f>'Q.3 (i)'!G66</f>
        <v>44</v>
      </c>
      <c r="B66" s="137">
        <f>'Q.3 (i)'!AH66</f>
        <v>672.52618967590058</v>
      </c>
      <c r="D66" s="143">
        <f>VLOOKUP(A66,'Q.3-Data'!$B$3:$C$118,2,TRUE)/12</f>
        <v>2.1608333333333332E-4</v>
      </c>
      <c r="E66" s="142">
        <f t="shared" si="1"/>
        <v>0.99978391666666666</v>
      </c>
      <c r="G66" s="137">
        <f t="shared" si="5"/>
        <v>0</v>
      </c>
      <c r="H66" s="137">
        <f t="shared" si="2"/>
        <v>0</v>
      </c>
      <c r="I66" s="137">
        <f t="shared" si="4"/>
        <v>0</v>
      </c>
      <c r="J66" s="145">
        <f t="shared" si="3"/>
        <v>672.52618967590058</v>
      </c>
    </row>
    <row r="67" spans="1:10" x14ac:dyDescent="0.2">
      <c r="A67" s="137">
        <f>'Q.3 (i)'!G67</f>
        <v>44</v>
      </c>
      <c r="B67" s="137">
        <f>'Q.3 (i)'!AH67</f>
        <v>675.22700324554739</v>
      </c>
      <c r="D67" s="143">
        <f>VLOOKUP(A67,'Q.3-Data'!$B$3:$C$118,2,TRUE)/12</f>
        <v>2.1608333333333332E-4</v>
      </c>
      <c r="E67" s="142">
        <f t="shared" si="1"/>
        <v>0.99978391666666666</v>
      </c>
      <c r="G67" s="137">
        <f t="shared" si="5"/>
        <v>0</v>
      </c>
      <c r="H67" s="137">
        <f t="shared" si="2"/>
        <v>0</v>
      </c>
      <c r="I67" s="137">
        <f t="shared" si="4"/>
        <v>0</v>
      </c>
      <c r="J67" s="145">
        <f t="shared" si="3"/>
        <v>675.22700324554739</v>
      </c>
    </row>
    <row r="68" spans="1:10" x14ac:dyDescent="0.2">
      <c r="A68" s="137">
        <f>'Q.3 (i)'!G68</f>
        <v>44</v>
      </c>
      <c r="B68" s="137">
        <f>'Q.3 (i)'!AH68</f>
        <v>677.94242820384488</v>
      </c>
      <c r="D68" s="143">
        <f>VLOOKUP(A68,'Q.3-Data'!$B$3:$C$118,2,TRUE)/12</f>
        <v>2.1608333333333332E-4</v>
      </c>
      <c r="E68" s="142">
        <f t="shared" si="1"/>
        <v>0.99978391666666666</v>
      </c>
      <c r="G68" s="137">
        <f t="shared" si="5"/>
        <v>0</v>
      </c>
      <c r="H68" s="137">
        <f t="shared" si="2"/>
        <v>0</v>
      </c>
      <c r="I68" s="137">
        <f t="shared" si="4"/>
        <v>0</v>
      </c>
      <c r="J68" s="145">
        <f t="shared" si="3"/>
        <v>677.94242820384488</v>
      </c>
    </row>
    <row r="69" spans="1:10" x14ac:dyDescent="0.2">
      <c r="A69" s="137">
        <f>'Q.3 (i)'!G69</f>
        <v>44</v>
      </c>
      <c r="B69" s="137">
        <f>'Q.3 (i)'!AH69</f>
        <v>680.67254359833623</v>
      </c>
      <c r="D69" s="143">
        <f>VLOOKUP(A69,'Q.3-Data'!$B$3:$C$118,2,TRUE)/12</f>
        <v>2.1608333333333332E-4</v>
      </c>
      <c r="E69" s="142">
        <f t="shared" si="1"/>
        <v>0.99978391666666666</v>
      </c>
      <c r="G69" s="137">
        <f t="shared" si="5"/>
        <v>0</v>
      </c>
      <c r="H69" s="137">
        <f t="shared" si="2"/>
        <v>0</v>
      </c>
      <c r="I69" s="137">
        <f t="shared" si="4"/>
        <v>0</v>
      </c>
      <c r="J69" s="145">
        <f t="shared" si="3"/>
        <v>680.67254359833623</v>
      </c>
    </row>
    <row r="70" spans="1:10" x14ac:dyDescent="0.2">
      <c r="A70" s="137">
        <f>'Q.3 (i)'!G70</f>
        <v>44</v>
      </c>
      <c r="B70" s="137">
        <f>'Q.3 (i)'!AH70</f>
        <v>683.41742890421176</v>
      </c>
      <c r="D70" s="143">
        <f>VLOOKUP(A70,'Q.3-Data'!$B$3:$C$118,2,TRUE)/12</f>
        <v>2.1608333333333332E-4</v>
      </c>
      <c r="E70" s="142">
        <f t="shared" si="1"/>
        <v>0.99978391666666666</v>
      </c>
      <c r="G70" s="137">
        <f t="shared" si="5"/>
        <v>0</v>
      </c>
      <c r="H70" s="137">
        <f t="shared" si="2"/>
        <v>0</v>
      </c>
      <c r="I70" s="137">
        <f t="shared" si="4"/>
        <v>0</v>
      </c>
      <c r="J70" s="145">
        <f t="shared" si="3"/>
        <v>683.41742890421176</v>
      </c>
    </row>
    <row r="71" spans="1:10" x14ac:dyDescent="0.2">
      <c r="A71" s="137">
        <f>'Q.3 (i)'!G71</f>
        <v>44</v>
      </c>
      <c r="B71" s="137">
        <f>'Q.3 (i)'!AH71</f>
        <v>686.17716402662222</v>
      </c>
      <c r="D71" s="143">
        <f>VLOOKUP(A71,'Q.3-Data'!$B$3:$C$118,2,TRUE)/12</f>
        <v>2.1608333333333332E-4</v>
      </c>
      <c r="E71" s="142">
        <f t="shared" si="1"/>
        <v>0.99978391666666666</v>
      </c>
      <c r="G71" s="137">
        <f t="shared" si="5"/>
        <v>0</v>
      </c>
      <c r="H71" s="137">
        <f t="shared" si="2"/>
        <v>0</v>
      </c>
      <c r="I71" s="137">
        <f t="shared" si="4"/>
        <v>0</v>
      </c>
      <c r="J71" s="145">
        <f t="shared" si="3"/>
        <v>686.17716402662222</v>
      </c>
    </row>
    <row r="72" spans="1:10" x14ac:dyDescent="0.2">
      <c r="A72" s="137">
        <f>'Q.3 (i)'!G72</f>
        <v>45</v>
      </c>
      <c r="B72" s="137">
        <f>'Q.3 (i)'!AH72</f>
        <v>691.33784410793282</v>
      </c>
      <c r="D72" s="143">
        <f>VLOOKUP(A72,'Q.3-Data'!$B$3:$C$118,2,TRUE)/12</f>
        <v>2.3949999999999999E-4</v>
      </c>
      <c r="E72" s="142">
        <f t="shared" si="1"/>
        <v>0.99976050000000005</v>
      </c>
      <c r="G72" s="137">
        <f t="shared" si="5"/>
        <v>0</v>
      </c>
      <c r="H72" s="137">
        <f t="shared" si="2"/>
        <v>0</v>
      </c>
      <c r="I72" s="137">
        <f t="shared" si="4"/>
        <v>0</v>
      </c>
      <c r="J72" s="145">
        <f t="shared" si="3"/>
        <v>691.33784410793282</v>
      </c>
    </row>
    <row r="73" spans="1:10" x14ac:dyDescent="0.2">
      <c r="A73" s="137">
        <f>'Q.3 (i)'!G73</f>
        <v>45</v>
      </c>
      <c r="B73" s="137">
        <f>'Q.3 (i)'!AH73</f>
        <v>694.08365906711458</v>
      </c>
      <c r="D73" s="143">
        <f>VLOOKUP(A73,'Q.3-Data'!$B$3:$C$118,2,TRUE)/12</f>
        <v>2.3949999999999999E-4</v>
      </c>
      <c r="E73" s="142">
        <f t="shared" si="1"/>
        <v>0.99976050000000005</v>
      </c>
      <c r="G73" s="137">
        <f t="shared" si="5"/>
        <v>0</v>
      </c>
      <c r="H73" s="137">
        <f t="shared" si="2"/>
        <v>0</v>
      </c>
      <c r="I73" s="137">
        <f t="shared" si="4"/>
        <v>0</v>
      </c>
      <c r="J73" s="145">
        <f t="shared" si="3"/>
        <v>694.08365906711458</v>
      </c>
    </row>
    <row r="74" spans="1:10" x14ac:dyDescent="0.2">
      <c r="A74" s="137">
        <f>'Q.3 (i)'!G74</f>
        <v>45</v>
      </c>
      <c r="B74" s="137">
        <f>'Q.3 (i)'!AH74</f>
        <v>696.84442419425511</v>
      </c>
      <c r="D74" s="143">
        <f>VLOOKUP(A74,'Q.3-Data'!$B$3:$C$118,2,TRUE)/12</f>
        <v>2.3949999999999999E-4</v>
      </c>
      <c r="E74" s="142">
        <f t="shared" si="1"/>
        <v>0.99976050000000005</v>
      </c>
      <c r="G74" s="137">
        <f t="shared" si="5"/>
        <v>0</v>
      </c>
      <c r="H74" s="137">
        <f t="shared" si="2"/>
        <v>0</v>
      </c>
      <c r="I74" s="137">
        <f t="shared" si="4"/>
        <v>0</v>
      </c>
      <c r="J74" s="145">
        <f t="shared" si="3"/>
        <v>696.84442419425511</v>
      </c>
    </row>
    <row r="75" spans="1:10" x14ac:dyDescent="0.2">
      <c r="A75" s="137">
        <f>'Q.3 (i)'!G75</f>
        <v>45</v>
      </c>
      <c r="B75" s="137">
        <f>'Q.3 (i)'!AH75</f>
        <v>699.62022088869276</v>
      </c>
      <c r="D75" s="143">
        <f>VLOOKUP(A75,'Q.3-Data'!$B$3:$C$118,2,TRUE)/12</f>
        <v>2.3949999999999999E-4</v>
      </c>
      <c r="E75" s="142">
        <f t="shared" si="1"/>
        <v>0.99976050000000005</v>
      </c>
      <c r="G75" s="137">
        <f t="shared" si="5"/>
        <v>0</v>
      </c>
      <c r="H75" s="137">
        <f t="shared" si="2"/>
        <v>0</v>
      </c>
      <c r="I75" s="137">
        <f t="shared" si="4"/>
        <v>0</v>
      </c>
      <c r="J75" s="145">
        <f t="shared" si="3"/>
        <v>699.62022088869276</v>
      </c>
    </row>
    <row r="76" spans="1:10" x14ac:dyDescent="0.2">
      <c r="A76" s="137">
        <f>'Q.3 (i)'!G76</f>
        <v>45</v>
      </c>
      <c r="B76" s="137">
        <f>'Q.3 (i)'!AH76</f>
        <v>702.4111309929624</v>
      </c>
      <c r="D76" s="143">
        <f>VLOOKUP(A76,'Q.3-Data'!$B$3:$C$118,2,TRUE)/12</f>
        <v>2.3949999999999999E-4</v>
      </c>
      <c r="E76" s="142">
        <f t="shared" si="1"/>
        <v>0.99976050000000005</v>
      </c>
      <c r="G76" s="137">
        <f t="shared" ref="G76:G107" si="6">MAX(0,(-B77+G77*E77)/(1+$C$4))</f>
        <v>0</v>
      </c>
      <c r="H76" s="137">
        <f t="shared" si="2"/>
        <v>0</v>
      </c>
      <c r="I76" s="137">
        <f t="shared" si="4"/>
        <v>0</v>
      </c>
      <c r="J76" s="145">
        <f t="shared" si="3"/>
        <v>702.4111309929624</v>
      </c>
    </row>
    <row r="77" spans="1:10" x14ac:dyDescent="0.2">
      <c r="A77" s="137">
        <f>'Q.3 (i)'!G77</f>
        <v>45</v>
      </c>
      <c r="B77" s="137">
        <f>'Q.3 (i)'!AH77</f>
        <v>705.21723679520744</v>
      </c>
      <c r="D77" s="143">
        <f>VLOOKUP(A77,'Q.3-Data'!$B$3:$C$118,2,TRUE)/12</f>
        <v>2.3949999999999999E-4</v>
      </c>
      <c r="E77" s="142">
        <f t="shared" ref="E77:E131" si="7">1-D77</f>
        <v>0.99976050000000005</v>
      </c>
      <c r="G77" s="137">
        <f t="shared" si="6"/>
        <v>0</v>
      </c>
      <c r="H77" s="137">
        <f t="shared" ref="H77:H131" si="8">+G77-G76</f>
        <v>0</v>
      </c>
      <c r="I77" s="137">
        <f t="shared" si="4"/>
        <v>0</v>
      </c>
      <c r="J77" s="145">
        <f t="shared" ref="J77:J131" si="9">+B77-H77+I77</f>
        <v>705.21723679520744</v>
      </c>
    </row>
    <row r="78" spans="1:10" x14ac:dyDescent="0.2">
      <c r="A78" s="137">
        <f>'Q.3 (i)'!G78</f>
        <v>45</v>
      </c>
      <c r="B78" s="137">
        <f>'Q.3 (i)'!AH78</f>
        <v>708.03862103160623</v>
      </c>
      <c r="D78" s="143">
        <f>VLOOKUP(A78,'Q.3-Data'!$B$3:$C$118,2,TRUE)/12</f>
        <v>2.3949999999999999E-4</v>
      </c>
      <c r="E78" s="142">
        <f t="shared" si="7"/>
        <v>0.99976050000000005</v>
      </c>
      <c r="G78" s="137">
        <f t="shared" si="6"/>
        <v>0</v>
      </c>
      <c r="H78" s="137">
        <f t="shared" si="8"/>
        <v>0</v>
      </c>
      <c r="I78" s="137">
        <f t="shared" ref="I78:I131" si="10">+G77*($C$4)</f>
        <v>0</v>
      </c>
      <c r="J78" s="145">
        <f t="shared" si="9"/>
        <v>708.03862103160623</v>
      </c>
    </row>
    <row r="79" spans="1:10" x14ac:dyDescent="0.2">
      <c r="A79" s="137">
        <f>'Q.3 (i)'!G79</f>
        <v>45</v>
      </c>
      <c r="B79" s="137">
        <f>'Q.3 (i)'!AH79</f>
        <v>710.87536688881266</v>
      </c>
      <c r="D79" s="143">
        <f>VLOOKUP(A79,'Q.3-Data'!$B$3:$C$118,2,TRUE)/12</f>
        <v>2.3949999999999999E-4</v>
      </c>
      <c r="E79" s="142">
        <f t="shared" si="7"/>
        <v>0.99976050000000005</v>
      </c>
      <c r="G79" s="137">
        <f t="shared" si="6"/>
        <v>0</v>
      </c>
      <c r="H79" s="137">
        <f t="shared" si="8"/>
        <v>0</v>
      </c>
      <c r="I79" s="137">
        <f t="shared" si="10"/>
        <v>0</v>
      </c>
      <c r="J79" s="145">
        <f t="shared" si="9"/>
        <v>710.87536688881266</v>
      </c>
    </row>
    <row r="80" spans="1:10" x14ac:dyDescent="0.2">
      <c r="A80" s="137">
        <f>'Q.3 (i)'!G80</f>
        <v>45</v>
      </c>
      <c r="B80" s="137">
        <f>'Q.3 (i)'!AH80</f>
        <v>713.72755800640641</v>
      </c>
      <c r="D80" s="143">
        <f>VLOOKUP(A80,'Q.3-Data'!$B$3:$C$118,2,TRUE)/12</f>
        <v>2.3949999999999999E-4</v>
      </c>
      <c r="E80" s="142">
        <f t="shared" si="7"/>
        <v>0.99976050000000005</v>
      </c>
      <c r="G80" s="137">
        <f t="shared" si="6"/>
        <v>0</v>
      </c>
      <c r="H80" s="137">
        <f t="shared" si="8"/>
        <v>0</v>
      </c>
      <c r="I80" s="137">
        <f t="shared" si="10"/>
        <v>0</v>
      </c>
      <c r="J80" s="145">
        <f t="shared" si="9"/>
        <v>713.72755800640641</v>
      </c>
    </row>
    <row r="81" spans="1:10" x14ac:dyDescent="0.2">
      <c r="A81" s="137">
        <f>'Q.3 (i)'!G81</f>
        <v>45</v>
      </c>
      <c r="B81" s="137">
        <f>'Q.3 (i)'!AH81</f>
        <v>716.59527847936181</v>
      </c>
      <c r="D81" s="143">
        <f>VLOOKUP(A81,'Q.3-Data'!$B$3:$C$118,2,TRUE)/12</f>
        <v>2.3949999999999999E-4</v>
      </c>
      <c r="E81" s="142">
        <f t="shared" si="7"/>
        <v>0.99976050000000005</v>
      </c>
      <c r="G81" s="137">
        <f t="shared" si="6"/>
        <v>0</v>
      </c>
      <c r="H81" s="137">
        <f t="shared" si="8"/>
        <v>0</v>
      </c>
      <c r="I81" s="137">
        <f t="shared" si="10"/>
        <v>0</v>
      </c>
      <c r="J81" s="145">
        <f t="shared" si="9"/>
        <v>716.59527847936181</v>
      </c>
    </row>
    <row r="82" spans="1:10" x14ac:dyDescent="0.2">
      <c r="A82" s="137">
        <f>'Q.3 (i)'!G82</f>
        <v>45</v>
      </c>
      <c r="B82" s="137">
        <f>'Q.3 (i)'!AH82</f>
        <v>719.47861286052489</v>
      </c>
      <c r="D82" s="143">
        <f>VLOOKUP(A82,'Q.3-Data'!$B$3:$C$118,2,TRUE)/12</f>
        <v>2.3949999999999999E-4</v>
      </c>
      <c r="E82" s="142">
        <f t="shared" si="7"/>
        <v>0.99976050000000005</v>
      </c>
      <c r="G82" s="137">
        <f t="shared" si="6"/>
        <v>0</v>
      </c>
      <c r="H82" s="137">
        <f t="shared" si="8"/>
        <v>0</v>
      </c>
      <c r="I82" s="137">
        <f t="shared" si="10"/>
        <v>0</v>
      </c>
      <c r="J82" s="145">
        <f t="shared" si="9"/>
        <v>719.47861286052489</v>
      </c>
    </row>
    <row r="83" spans="1:10" x14ac:dyDescent="0.2">
      <c r="A83" s="137">
        <f>'Q.3 (i)'!G83</f>
        <v>45</v>
      </c>
      <c r="B83" s="137">
        <f>'Q.3 (i)'!AH83</f>
        <v>722.37764616310869</v>
      </c>
      <c r="D83" s="143">
        <f>VLOOKUP(A83,'Q.3-Data'!$B$3:$C$118,2,TRUE)/12</f>
        <v>2.3949999999999999E-4</v>
      </c>
      <c r="E83" s="142">
        <f t="shared" si="7"/>
        <v>0.99976050000000005</v>
      </c>
      <c r="G83" s="137">
        <f t="shared" si="6"/>
        <v>0</v>
      </c>
      <c r="H83" s="137">
        <f t="shared" si="8"/>
        <v>0</v>
      </c>
      <c r="I83" s="137">
        <f t="shared" si="10"/>
        <v>0</v>
      </c>
      <c r="J83" s="145">
        <f t="shared" si="9"/>
        <v>722.37764616310869</v>
      </c>
    </row>
    <row r="84" spans="1:10" x14ac:dyDescent="0.2">
      <c r="A84" s="137">
        <f>'Q.3 (i)'!G84</f>
        <v>46</v>
      </c>
      <c r="B84" s="137">
        <f>'Q.3 (i)'!AH84</f>
        <v>727.83471948387682</v>
      </c>
      <c r="D84" s="143">
        <f>VLOOKUP(A84,'Q.3-Data'!$B$3:$C$118,2,TRUE)/12</f>
        <v>2.664166666666667E-4</v>
      </c>
      <c r="E84" s="142">
        <f t="shared" si="7"/>
        <v>0.99973358333333329</v>
      </c>
      <c r="G84" s="137">
        <f t="shared" si="6"/>
        <v>0</v>
      </c>
      <c r="H84" s="137">
        <f t="shared" si="8"/>
        <v>0</v>
      </c>
      <c r="I84" s="137">
        <f t="shared" si="10"/>
        <v>0</v>
      </c>
      <c r="J84" s="145">
        <f t="shared" si="9"/>
        <v>727.83471948387682</v>
      </c>
    </row>
    <row r="85" spans="1:10" x14ac:dyDescent="0.2">
      <c r="A85" s="137">
        <f>'Q.3 (i)'!G85</f>
        <v>46</v>
      </c>
      <c r="B85" s="137">
        <f>'Q.3 (i)'!AH85</f>
        <v>730.71455280490898</v>
      </c>
      <c r="D85" s="143">
        <f>VLOOKUP(A85,'Q.3-Data'!$B$3:$C$118,2,TRUE)/12</f>
        <v>2.664166666666667E-4</v>
      </c>
      <c r="E85" s="142">
        <f t="shared" si="7"/>
        <v>0.99973358333333329</v>
      </c>
      <c r="G85" s="137">
        <f t="shared" si="6"/>
        <v>0</v>
      </c>
      <c r="H85" s="137">
        <f t="shared" si="8"/>
        <v>0</v>
      </c>
      <c r="I85" s="137">
        <f t="shared" si="10"/>
        <v>0</v>
      </c>
      <c r="J85" s="145">
        <f t="shared" si="9"/>
        <v>730.71455280490898</v>
      </c>
    </row>
    <row r="86" spans="1:10" x14ac:dyDescent="0.2">
      <c r="A86" s="137">
        <f>'Q.3 (i)'!G86</f>
        <v>46</v>
      </c>
      <c r="B86" s="137">
        <f>'Q.3 (i)'!AH86</f>
        <v>733.61018090241168</v>
      </c>
      <c r="D86" s="143">
        <f>VLOOKUP(A86,'Q.3-Data'!$B$3:$C$118,2,TRUE)/12</f>
        <v>2.664166666666667E-4</v>
      </c>
      <c r="E86" s="142">
        <f t="shared" si="7"/>
        <v>0.99973358333333329</v>
      </c>
      <c r="G86" s="137">
        <f t="shared" si="6"/>
        <v>0</v>
      </c>
      <c r="H86" s="137">
        <f t="shared" si="8"/>
        <v>0</v>
      </c>
      <c r="I86" s="137">
        <f t="shared" si="10"/>
        <v>0</v>
      </c>
      <c r="J86" s="145">
        <f t="shared" si="9"/>
        <v>733.61018090241168</v>
      </c>
    </row>
    <row r="87" spans="1:10" x14ac:dyDescent="0.2">
      <c r="A87" s="137">
        <f>'Q.3 (i)'!G87</f>
        <v>46</v>
      </c>
      <c r="B87" s="137">
        <f>'Q.3 (i)'!AH87</f>
        <v>736.52169040464969</v>
      </c>
      <c r="D87" s="143">
        <f>VLOOKUP(A87,'Q.3-Data'!$B$3:$C$118,2,TRUE)/12</f>
        <v>2.664166666666667E-4</v>
      </c>
      <c r="E87" s="142">
        <f t="shared" si="7"/>
        <v>0.99973358333333329</v>
      </c>
      <c r="G87" s="137">
        <f t="shared" si="6"/>
        <v>0</v>
      </c>
      <c r="H87" s="137">
        <f t="shared" si="8"/>
        <v>0</v>
      </c>
      <c r="I87" s="137">
        <f t="shared" si="10"/>
        <v>0</v>
      </c>
      <c r="J87" s="145">
        <f t="shared" si="9"/>
        <v>736.52169040464969</v>
      </c>
    </row>
    <row r="88" spans="1:10" x14ac:dyDescent="0.2">
      <c r="A88" s="137">
        <f>'Q.3 (i)'!G88</f>
        <v>46</v>
      </c>
      <c r="B88" s="137">
        <f>'Q.3 (i)'!AH88</f>
        <v>739.44916841501094</v>
      </c>
      <c r="D88" s="143">
        <f>VLOOKUP(A88,'Q.3-Data'!$B$3:$C$118,2,TRUE)/12</f>
        <v>2.664166666666667E-4</v>
      </c>
      <c r="E88" s="142">
        <f t="shared" si="7"/>
        <v>0.99973358333333329</v>
      </c>
      <c r="G88" s="137">
        <f t="shared" si="6"/>
        <v>0</v>
      </c>
      <c r="H88" s="137">
        <f t="shared" si="8"/>
        <v>0</v>
      </c>
      <c r="I88" s="137">
        <f t="shared" si="10"/>
        <v>0</v>
      </c>
      <c r="J88" s="145">
        <f t="shared" si="9"/>
        <v>739.44916841501094</v>
      </c>
    </row>
    <row r="89" spans="1:10" x14ac:dyDescent="0.2">
      <c r="A89" s="137">
        <f>'Q.3 (i)'!G89</f>
        <v>46</v>
      </c>
      <c r="B89" s="137">
        <f>'Q.3 (i)'!AH89</f>
        <v>742.39270251461107</v>
      </c>
      <c r="D89" s="143">
        <f>VLOOKUP(A89,'Q.3-Data'!$B$3:$C$118,2,TRUE)/12</f>
        <v>2.664166666666667E-4</v>
      </c>
      <c r="E89" s="142">
        <f t="shared" si="7"/>
        <v>0.99973358333333329</v>
      </c>
      <c r="G89" s="137">
        <f t="shared" si="6"/>
        <v>0</v>
      </c>
      <c r="H89" s="137">
        <f t="shared" si="8"/>
        <v>0</v>
      </c>
      <c r="I89" s="137">
        <f t="shared" si="10"/>
        <v>0</v>
      </c>
      <c r="J89" s="145">
        <f t="shared" si="9"/>
        <v>742.39270251461107</v>
      </c>
    </row>
    <row r="90" spans="1:10" x14ac:dyDescent="0.2">
      <c r="A90" s="137">
        <f>'Q.3 (i)'!G90</f>
        <v>46</v>
      </c>
      <c r="B90" s="137">
        <f>'Q.3 (i)'!AH90</f>
        <v>745.3523807649151</v>
      </c>
      <c r="D90" s="143">
        <f>VLOOKUP(A90,'Q.3-Data'!$B$3:$C$118,2,TRUE)/12</f>
        <v>2.664166666666667E-4</v>
      </c>
      <c r="E90" s="142">
        <f t="shared" si="7"/>
        <v>0.99973358333333329</v>
      </c>
      <c r="G90" s="137">
        <f t="shared" si="6"/>
        <v>0</v>
      </c>
      <c r="H90" s="137">
        <f t="shared" si="8"/>
        <v>0</v>
      </c>
      <c r="I90" s="137">
        <f t="shared" si="10"/>
        <v>0</v>
      </c>
      <c r="J90" s="145">
        <f t="shared" si="9"/>
        <v>745.3523807649151</v>
      </c>
    </row>
    <row r="91" spans="1:10" x14ac:dyDescent="0.2">
      <c r="A91" s="137">
        <f>'Q.3 (i)'!G91</f>
        <v>46</v>
      </c>
      <c r="B91" s="137">
        <f>'Q.3 (i)'!AH91</f>
        <v>748.32829171037076</v>
      </c>
      <c r="D91" s="143">
        <f>VLOOKUP(A91,'Q.3-Data'!$B$3:$C$118,2,TRUE)/12</f>
        <v>2.664166666666667E-4</v>
      </c>
      <c r="E91" s="142">
        <f t="shared" si="7"/>
        <v>0.99973358333333329</v>
      </c>
      <c r="G91" s="137">
        <f t="shared" si="6"/>
        <v>0</v>
      </c>
      <c r="H91" s="137">
        <f t="shared" si="8"/>
        <v>0</v>
      </c>
      <c r="I91" s="137">
        <f t="shared" si="10"/>
        <v>0</v>
      </c>
      <c r="J91" s="145">
        <f t="shared" si="9"/>
        <v>748.32829171037076</v>
      </c>
    </row>
    <row r="92" spans="1:10" x14ac:dyDescent="0.2">
      <c r="A92" s="137">
        <f>'Q.3 (i)'!G92</f>
        <v>46</v>
      </c>
      <c r="B92" s="137">
        <f>'Q.3 (i)'!AH92</f>
        <v>751.32052438105848</v>
      </c>
      <c r="D92" s="143">
        <f>VLOOKUP(A92,'Q.3-Data'!$B$3:$C$118,2,TRUE)/12</f>
        <v>2.664166666666667E-4</v>
      </c>
      <c r="E92" s="142">
        <f t="shared" si="7"/>
        <v>0.99973358333333329</v>
      </c>
      <c r="G92" s="137">
        <f t="shared" si="6"/>
        <v>0</v>
      </c>
      <c r="H92" s="137">
        <f t="shared" si="8"/>
        <v>0</v>
      </c>
      <c r="I92" s="137">
        <f t="shared" si="10"/>
        <v>0</v>
      </c>
      <c r="J92" s="145">
        <f t="shared" si="9"/>
        <v>751.32052438105848</v>
      </c>
    </row>
    <row r="93" spans="1:10" x14ac:dyDescent="0.2">
      <c r="A93" s="137">
        <f>'Q.3 (i)'!G93</f>
        <v>46</v>
      </c>
      <c r="B93" s="137">
        <f>'Q.3 (i)'!AH93</f>
        <v>754.32916829535407</v>
      </c>
      <c r="D93" s="143">
        <f>VLOOKUP(A93,'Q.3-Data'!$B$3:$C$118,2,TRUE)/12</f>
        <v>2.664166666666667E-4</v>
      </c>
      <c r="E93" s="142">
        <f t="shared" si="7"/>
        <v>0.99973358333333329</v>
      </c>
      <c r="G93" s="137">
        <f t="shared" si="6"/>
        <v>0</v>
      </c>
      <c r="H93" s="137">
        <f t="shared" si="8"/>
        <v>0</v>
      </c>
      <c r="I93" s="137">
        <f t="shared" si="10"/>
        <v>0</v>
      </c>
      <c r="J93" s="145">
        <f t="shared" si="9"/>
        <v>754.32916829535407</v>
      </c>
    </row>
    <row r="94" spans="1:10" x14ac:dyDescent="0.2">
      <c r="A94" s="137">
        <f>'Q.3 (i)'!G94</f>
        <v>46</v>
      </c>
      <c r="B94" s="137">
        <f>'Q.3 (i)'!AH94</f>
        <v>757.35431346260725</v>
      </c>
      <c r="D94" s="143">
        <f>VLOOKUP(A94,'Q.3-Data'!$B$3:$C$118,2,TRUE)/12</f>
        <v>2.664166666666667E-4</v>
      </c>
      <c r="E94" s="142">
        <f t="shared" si="7"/>
        <v>0.99973358333333329</v>
      </c>
      <c r="G94" s="137">
        <f t="shared" si="6"/>
        <v>0</v>
      </c>
      <c r="H94" s="137">
        <f t="shared" si="8"/>
        <v>0</v>
      </c>
      <c r="I94" s="137">
        <f t="shared" si="10"/>
        <v>0</v>
      </c>
      <c r="J94" s="145">
        <f t="shared" si="9"/>
        <v>757.35431346260725</v>
      </c>
    </row>
    <row r="95" spans="1:10" x14ac:dyDescent="0.2">
      <c r="A95" s="137">
        <f>'Q.3 (i)'!G95</f>
        <v>46</v>
      </c>
      <c r="B95" s="137">
        <f>'Q.3 (i)'!AH95</f>
        <v>760.39605038583409</v>
      </c>
      <c r="D95" s="143">
        <f>VLOOKUP(A95,'Q.3-Data'!$B$3:$C$118,2,TRUE)/12</f>
        <v>2.664166666666667E-4</v>
      </c>
      <c r="E95" s="142">
        <f t="shared" si="7"/>
        <v>0.99973358333333329</v>
      </c>
      <c r="G95" s="137">
        <f t="shared" si="6"/>
        <v>0</v>
      </c>
      <c r="H95" s="137">
        <f t="shared" si="8"/>
        <v>0</v>
      </c>
      <c r="I95" s="137">
        <f t="shared" si="10"/>
        <v>0</v>
      </c>
      <c r="J95" s="145">
        <f t="shared" si="9"/>
        <v>760.39605038583409</v>
      </c>
    </row>
    <row r="96" spans="1:10" x14ac:dyDescent="0.2">
      <c r="A96" s="137">
        <f>'Q.3 (i)'!G96</f>
        <v>47</v>
      </c>
      <c r="B96" s="137">
        <f>'Q.3 (i)'!AH96</f>
        <v>766.08273037249603</v>
      </c>
      <c r="D96" s="143">
        <f>VLOOKUP(A96,'Q.3-Data'!$B$3:$C$118,2,TRUE)/12</f>
        <v>2.9724999999999999E-4</v>
      </c>
      <c r="E96" s="142">
        <f t="shared" si="7"/>
        <v>0.99970274999999997</v>
      </c>
      <c r="G96" s="137">
        <f t="shared" si="6"/>
        <v>0</v>
      </c>
      <c r="H96" s="137">
        <f t="shared" si="8"/>
        <v>0</v>
      </c>
      <c r="I96" s="137">
        <f t="shared" si="10"/>
        <v>0</v>
      </c>
      <c r="J96" s="145">
        <f t="shared" si="9"/>
        <v>766.08273037249603</v>
      </c>
    </row>
    <row r="97" spans="1:10" x14ac:dyDescent="0.2">
      <c r="A97" s="137">
        <f>'Q.3 (i)'!G97</f>
        <v>47</v>
      </c>
      <c r="B97" s="137">
        <f>'Q.3 (i)'!AH97</f>
        <v>769.09909563701763</v>
      </c>
      <c r="D97" s="143">
        <f>VLOOKUP(A97,'Q.3-Data'!$B$3:$C$118,2,TRUE)/12</f>
        <v>2.9724999999999999E-4</v>
      </c>
      <c r="E97" s="142">
        <f t="shared" si="7"/>
        <v>0.99970274999999997</v>
      </c>
      <c r="G97" s="137">
        <f t="shared" si="6"/>
        <v>0</v>
      </c>
      <c r="H97" s="137">
        <f t="shared" si="8"/>
        <v>0</v>
      </c>
      <c r="I97" s="137">
        <f t="shared" si="10"/>
        <v>0</v>
      </c>
      <c r="J97" s="145">
        <f t="shared" si="9"/>
        <v>769.09909563701763</v>
      </c>
    </row>
    <row r="98" spans="1:10" x14ac:dyDescent="0.2">
      <c r="A98" s="137">
        <f>'Q.3 (i)'!G98</f>
        <v>47</v>
      </c>
      <c r="B98" s="137">
        <f>'Q.3 (i)'!AH98</f>
        <v>772.13214238311411</v>
      </c>
      <c r="D98" s="143">
        <f>VLOOKUP(A98,'Q.3-Data'!$B$3:$C$118,2,TRUE)/12</f>
        <v>2.9724999999999999E-4</v>
      </c>
      <c r="E98" s="142">
        <f t="shared" si="7"/>
        <v>0.99970274999999997</v>
      </c>
      <c r="G98" s="137">
        <f t="shared" si="6"/>
        <v>0</v>
      </c>
      <c r="H98" s="137">
        <f t="shared" si="8"/>
        <v>0</v>
      </c>
      <c r="I98" s="137">
        <f t="shared" si="10"/>
        <v>0</v>
      </c>
      <c r="J98" s="145">
        <f t="shared" si="9"/>
        <v>772.13214238311411</v>
      </c>
    </row>
    <row r="99" spans="1:10" x14ac:dyDescent="0.2">
      <c r="A99" s="137">
        <f>'Q.3 (i)'!G99</f>
        <v>47</v>
      </c>
      <c r="B99" s="137">
        <f>'Q.3 (i)'!AH99</f>
        <v>775.18196286480793</v>
      </c>
      <c r="D99" s="143">
        <f>VLOOKUP(A99,'Q.3-Data'!$B$3:$C$118,2,TRUE)/12</f>
        <v>2.9724999999999999E-4</v>
      </c>
      <c r="E99" s="142">
        <f t="shared" si="7"/>
        <v>0.99970274999999997</v>
      </c>
      <c r="G99" s="137">
        <f t="shared" si="6"/>
        <v>0</v>
      </c>
      <c r="H99" s="137">
        <f t="shared" si="8"/>
        <v>0</v>
      </c>
      <c r="I99" s="137">
        <f t="shared" si="10"/>
        <v>0</v>
      </c>
      <c r="J99" s="145">
        <f t="shared" si="9"/>
        <v>775.18196286480793</v>
      </c>
    </row>
    <row r="100" spans="1:10" x14ac:dyDescent="0.2">
      <c r="A100" s="137">
        <f>'Q.3 (i)'!G100</f>
        <v>47</v>
      </c>
      <c r="B100" s="137">
        <f>'Q.3 (i)'!AH100</f>
        <v>778.24864984631552</v>
      </c>
      <c r="D100" s="143">
        <f>VLOOKUP(A100,'Q.3-Data'!$B$3:$C$118,2,TRUE)/12</f>
        <v>2.9724999999999999E-4</v>
      </c>
      <c r="E100" s="142">
        <f t="shared" si="7"/>
        <v>0.99970274999999997</v>
      </c>
      <c r="G100" s="137">
        <f t="shared" si="6"/>
        <v>0</v>
      </c>
      <c r="H100" s="137">
        <f t="shared" si="8"/>
        <v>0</v>
      </c>
      <c r="I100" s="137">
        <f t="shared" si="10"/>
        <v>0</v>
      </c>
      <c r="J100" s="145">
        <f t="shared" si="9"/>
        <v>778.24864984631552</v>
      </c>
    </row>
    <row r="101" spans="1:10" x14ac:dyDescent="0.2">
      <c r="A101" s="137">
        <f>'Q.3 (i)'!G101</f>
        <v>47</v>
      </c>
      <c r="B101" s="137">
        <f>'Q.3 (i)'!AH101</f>
        <v>781.33229660487041</v>
      </c>
      <c r="D101" s="143">
        <f>VLOOKUP(A101,'Q.3-Data'!$B$3:$C$118,2,TRUE)/12</f>
        <v>2.9724999999999999E-4</v>
      </c>
      <c r="E101" s="142">
        <f t="shared" si="7"/>
        <v>0.99970274999999997</v>
      </c>
      <c r="G101" s="137">
        <f t="shared" si="6"/>
        <v>0</v>
      </c>
      <c r="H101" s="137">
        <f t="shared" si="8"/>
        <v>0</v>
      </c>
      <c r="I101" s="137">
        <f t="shared" si="10"/>
        <v>0</v>
      </c>
      <c r="J101" s="145">
        <f t="shared" si="9"/>
        <v>781.33229660487041</v>
      </c>
    </row>
    <row r="102" spans="1:10" x14ac:dyDescent="0.2">
      <c r="A102" s="137">
        <f>'Q.3 (i)'!G102</f>
        <v>47</v>
      </c>
      <c r="B102" s="137">
        <f>'Q.3 (i)'!AH102</f>
        <v>784.43299693355857</v>
      </c>
      <c r="D102" s="143">
        <f>VLOOKUP(A102,'Q.3-Data'!$B$3:$C$118,2,TRUE)/12</f>
        <v>2.9724999999999999E-4</v>
      </c>
      <c r="E102" s="142">
        <f t="shared" si="7"/>
        <v>0.99970274999999997</v>
      </c>
      <c r="G102" s="137">
        <f t="shared" si="6"/>
        <v>0</v>
      </c>
      <c r="H102" s="137">
        <f t="shared" si="8"/>
        <v>0</v>
      </c>
      <c r="I102" s="137">
        <f t="shared" si="10"/>
        <v>0</v>
      </c>
      <c r="J102" s="145">
        <f t="shared" si="9"/>
        <v>784.43299693355857</v>
      </c>
    </row>
    <row r="103" spans="1:10" x14ac:dyDescent="0.2">
      <c r="A103" s="137">
        <f>'Q.3 (i)'!G103</f>
        <v>47</v>
      </c>
      <c r="B103" s="137">
        <f>'Q.3 (i)'!AH103</f>
        <v>787.55084514417319</v>
      </c>
      <c r="D103" s="143">
        <f>VLOOKUP(A103,'Q.3-Data'!$B$3:$C$118,2,TRUE)/12</f>
        <v>2.9724999999999999E-4</v>
      </c>
      <c r="E103" s="142">
        <f t="shared" si="7"/>
        <v>0.99970274999999997</v>
      </c>
      <c r="G103" s="137">
        <f t="shared" si="6"/>
        <v>0</v>
      </c>
      <c r="H103" s="137">
        <f t="shared" si="8"/>
        <v>0</v>
      </c>
      <c r="I103" s="137">
        <f t="shared" si="10"/>
        <v>0</v>
      </c>
      <c r="J103" s="145">
        <f t="shared" si="9"/>
        <v>787.55084514417319</v>
      </c>
    </row>
    <row r="104" spans="1:10" x14ac:dyDescent="0.2">
      <c r="A104" s="137">
        <f>'Q.3 (i)'!G104</f>
        <v>47</v>
      </c>
      <c r="B104" s="137">
        <f>'Q.3 (i)'!AH104</f>
        <v>790.68593607008233</v>
      </c>
      <c r="D104" s="143">
        <f>VLOOKUP(A104,'Q.3-Data'!$B$3:$C$118,2,TRUE)/12</f>
        <v>2.9724999999999999E-4</v>
      </c>
      <c r="E104" s="142">
        <f t="shared" si="7"/>
        <v>0.99970274999999997</v>
      </c>
      <c r="G104" s="137">
        <f t="shared" si="6"/>
        <v>0</v>
      </c>
      <c r="H104" s="137">
        <f t="shared" si="8"/>
        <v>0</v>
      </c>
      <c r="I104" s="137">
        <f t="shared" si="10"/>
        <v>0</v>
      </c>
      <c r="J104" s="145">
        <f t="shared" si="9"/>
        <v>790.68593607008233</v>
      </c>
    </row>
    <row r="105" spans="1:10" x14ac:dyDescent="0.2">
      <c r="A105" s="137">
        <f>'Q.3 (i)'!G105</f>
        <v>47</v>
      </c>
      <c r="B105" s="137">
        <f>'Q.3 (i)'!AH105</f>
        <v>793.83836506911257</v>
      </c>
      <c r="D105" s="143">
        <f>VLOOKUP(A105,'Q.3-Data'!$B$3:$C$118,2,TRUE)/12</f>
        <v>2.9724999999999999E-4</v>
      </c>
      <c r="E105" s="142">
        <f t="shared" si="7"/>
        <v>0.99970274999999997</v>
      </c>
      <c r="G105" s="137">
        <f t="shared" si="6"/>
        <v>0</v>
      </c>
      <c r="H105" s="137">
        <f t="shared" si="8"/>
        <v>0</v>
      </c>
      <c r="I105" s="137">
        <f t="shared" si="10"/>
        <v>0</v>
      </c>
      <c r="J105" s="145">
        <f t="shared" si="9"/>
        <v>793.83836506911257</v>
      </c>
    </row>
    <row r="106" spans="1:10" x14ac:dyDescent="0.2">
      <c r="A106" s="137">
        <f>'Q.3 (i)'!G106</f>
        <v>47</v>
      </c>
      <c r="B106" s="137">
        <f>'Q.3 (i)'!AH106</f>
        <v>797.00822802645087</v>
      </c>
      <c r="D106" s="143">
        <f>VLOOKUP(A106,'Q.3-Data'!$B$3:$C$118,2,TRUE)/12</f>
        <v>2.9724999999999999E-4</v>
      </c>
      <c r="E106" s="142">
        <f t="shared" si="7"/>
        <v>0.99970274999999997</v>
      </c>
      <c r="G106" s="137">
        <f t="shared" si="6"/>
        <v>0</v>
      </c>
      <c r="H106" s="137">
        <f t="shared" si="8"/>
        <v>0</v>
      </c>
      <c r="I106" s="137">
        <f t="shared" si="10"/>
        <v>0</v>
      </c>
      <c r="J106" s="145">
        <f t="shared" si="9"/>
        <v>797.00822802645087</v>
      </c>
    </row>
    <row r="107" spans="1:10" x14ac:dyDescent="0.2">
      <c r="A107" s="137">
        <f>'Q.3 (i)'!G107</f>
        <v>47</v>
      </c>
      <c r="B107" s="137">
        <f>'Q.3 (i)'!AH107</f>
        <v>800.19562135756087</v>
      </c>
      <c r="D107" s="143">
        <f>VLOOKUP(A107,'Q.3-Data'!$B$3:$C$118,2,TRUE)/12</f>
        <v>2.9724999999999999E-4</v>
      </c>
      <c r="E107" s="142">
        <f t="shared" si="7"/>
        <v>0.99970274999999997</v>
      </c>
      <c r="G107" s="137">
        <f t="shared" si="6"/>
        <v>0</v>
      </c>
      <c r="H107" s="137">
        <f t="shared" si="8"/>
        <v>0</v>
      </c>
      <c r="I107" s="137">
        <f t="shared" si="10"/>
        <v>0</v>
      </c>
      <c r="J107" s="145">
        <f t="shared" si="9"/>
        <v>800.19562135756087</v>
      </c>
    </row>
    <row r="108" spans="1:10" x14ac:dyDescent="0.2">
      <c r="A108" s="137">
        <f>'Q.3 (i)'!G108</f>
        <v>48</v>
      </c>
      <c r="B108" s="137">
        <f>'Q.3 (i)'!AH108</f>
        <v>805.93681537210944</v>
      </c>
      <c r="D108" s="143">
        <f>VLOOKUP(A108,'Q.3-Data'!$B$3:$C$118,2,TRUE)/12</f>
        <v>3.3191666666666672E-4</v>
      </c>
      <c r="E108" s="142">
        <f t="shared" si="7"/>
        <v>0.99966808333333335</v>
      </c>
      <c r="G108" s="137">
        <f t="shared" ref="G108:G131" si="11">MAX(0,(-B109+G109*E109)/(1+$C$4))</f>
        <v>0</v>
      </c>
      <c r="H108" s="137">
        <f t="shared" si="8"/>
        <v>0</v>
      </c>
      <c r="I108" s="137">
        <f t="shared" si="10"/>
        <v>0</v>
      </c>
      <c r="J108" s="145">
        <f t="shared" si="9"/>
        <v>805.93681537210944</v>
      </c>
    </row>
    <row r="109" spans="1:10" x14ac:dyDescent="0.2">
      <c r="A109" s="137">
        <f>'Q.3 (i)'!G109</f>
        <v>48</v>
      </c>
      <c r="B109" s="137">
        <f>'Q.3 (i)'!AH109</f>
        <v>809.09266251830377</v>
      </c>
      <c r="D109" s="143">
        <f>VLOOKUP(A109,'Q.3-Data'!$B$3:$C$118,2,TRUE)/12</f>
        <v>3.3191666666666672E-4</v>
      </c>
      <c r="E109" s="142">
        <f t="shared" si="7"/>
        <v>0.99966808333333335</v>
      </c>
      <c r="G109" s="137">
        <f t="shared" si="11"/>
        <v>0</v>
      </c>
      <c r="H109" s="137">
        <f t="shared" si="8"/>
        <v>0</v>
      </c>
      <c r="I109" s="137">
        <f t="shared" si="10"/>
        <v>0</v>
      </c>
      <c r="J109" s="145">
        <f t="shared" si="9"/>
        <v>809.09266251830377</v>
      </c>
    </row>
    <row r="110" spans="1:10" x14ac:dyDescent="0.2">
      <c r="A110" s="137">
        <f>'Q.3 (i)'!G110</f>
        <v>48</v>
      </c>
      <c r="B110" s="137">
        <f>'Q.3 (i)'!AH110</f>
        <v>812.26612471656858</v>
      </c>
      <c r="D110" s="143">
        <f>VLOOKUP(A110,'Q.3-Data'!$B$3:$C$118,2,TRUE)/12</f>
        <v>3.3191666666666672E-4</v>
      </c>
      <c r="E110" s="142">
        <f t="shared" si="7"/>
        <v>0.99966808333333335</v>
      </c>
      <c r="G110" s="137">
        <f t="shared" si="11"/>
        <v>0</v>
      </c>
      <c r="H110" s="137">
        <f t="shared" si="8"/>
        <v>0</v>
      </c>
      <c r="I110" s="137">
        <f t="shared" si="10"/>
        <v>0</v>
      </c>
      <c r="J110" s="145">
        <f t="shared" si="9"/>
        <v>812.26612471656858</v>
      </c>
    </row>
    <row r="111" spans="1:10" x14ac:dyDescent="0.2">
      <c r="A111" s="137">
        <f>'Q.3 (i)'!G111</f>
        <v>48</v>
      </c>
      <c r="B111" s="137">
        <f>'Q.3 (i)'!AH111</f>
        <v>815.45730028917478</v>
      </c>
      <c r="D111" s="143">
        <f>VLOOKUP(A111,'Q.3-Data'!$B$3:$C$118,2,TRUE)/12</f>
        <v>3.3191666666666672E-4</v>
      </c>
      <c r="E111" s="142">
        <f t="shared" si="7"/>
        <v>0.99966808333333335</v>
      </c>
      <c r="G111" s="137">
        <f t="shared" si="11"/>
        <v>0</v>
      </c>
      <c r="H111" s="137">
        <f t="shared" si="8"/>
        <v>0</v>
      </c>
      <c r="I111" s="137">
        <f t="shared" si="10"/>
        <v>0</v>
      </c>
      <c r="J111" s="145">
        <f t="shared" si="9"/>
        <v>815.45730028917478</v>
      </c>
    </row>
    <row r="112" spans="1:10" x14ac:dyDescent="0.2">
      <c r="A112" s="137">
        <f>'Q.3 (i)'!G112</f>
        <v>48</v>
      </c>
      <c r="B112" s="137">
        <f>'Q.3 (i)'!AH112</f>
        <v>818.66628810720135</v>
      </c>
      <c r="D112" s="143">
        <f>VLOOKUP(A112,'Q.3-Data'!$B$3:$C$118,2,TRUE)/12</f>
        <v>3.3191666666666672E-4</v>
      </c>
      <c r="E112" s="142">
        <f t="shared" si="7"/>
        <v>0.99966808333333335</v>
      </c>
      <c r="G112" s="137">
        <f t="shared" si="11"/>
        <v>0</v>
      </c>
      <c r="H112" s="137">
        <f t="shared" si="8"/>
        <v>0</v>
      </c>
      <c r="I112" s="137">
        <f t="shared" si="10"/>
        <v>0</v>
      </c>
      <c r="J112" s="145">
        <f t="shared" si="9"/>
        <v>818.66628810720135</v>
      </c>
    </row>
    <row r="113" spans="1:10" x14ac:dyDescent="0.2">
      <c r="A113" s="137">
        <f>'Q.3 (i)'!G113</f>
        <v>48</v>
      </c>
      <c r="B113" s="137">
        <f>'Q.3 (i)'!AH113</f>
        <v>821.89318759359719</v>
      </c>
      <c r="D113" s="143">
        <f>VLOOKUP(A113,'Q.3-Data'!$B$3:$C$118,2,TRUE)/12</f>
        <v>3.3191666666666672E-4</v>
      </c>
      <c r="E113" s="142">
        <f t="shared" si="7"/>
        <v>0.99966808333333335</v>
      </c>
      <c r="G113" s="137">
        <f t="shared" si="11"/>
        <v>0</v>
      </c>
      <c r="H113" s="137">
        <f t="shared" si="8"/>
        <v>0</v>
      </c>
      <c r="I113" s="137">
        <f t="shared" si="10"/>
        <v>0</v>
      </c>
      <c r="J113" s="145">
        <f t="shared" si="9"/>
        <v>821.89318759359719</v>
      </c>
    </row>
    <row r="114" spans="1:10" x14ac:dyDescent="0.2">
      <c r="A114" s="137">
        <f>'Q.3 (i)'!G114</f>
        <v>48</v>
      </c>
      <c r="B114" s="137">
        <f>'Q.3 (i)'!AH114</f>
        <v>825.13809872626257</v>
      </c>
      <c r="D114" s="143">
        <f>VLOOKUP(A114,'Q.3-Data'!$B$3:$C$118,2,TRUE)/12</f>
        <v>3.3191666666666672E-4</v>
      </c>
      <c r="E114" s="142">
        <f t="shared" si="7"/>
        <v>0.99966808333333335</v>
      </c>
      <c r="G114" s="137">
        <f t="shared" si="11"/>
        <v>0</v>
      </c>
      <c r="H114" s="137">
        <f t="shared" si="8"/>
        <v>0</v>
      </c>
      <c r="I114" s="137">
        <f t="shared" si="10"/>
        <v>0</v>
      </c>
      <c r="J114" s="145">
        <f t="shared" si="9"/>
        <v>825.13809872626257</v>
      </c>
    </row>
    <row r="115" spans="1:10" x14ac:dyDescent="0.2">
      <c r="A115" s="137">
        <f>'Q.3 (i)'!G115</f>
        <v>48</v>
      </c>
      <c r="B115" s="137">
        <f>'Q.3 (i)'!AH115</f>
        <v>828.40112204114655</v>
      </c>
      <c r="D115" s="143">
        <f>VLOOKUP(A115,'Q.3-Data'!$B$3:$C$118,2,TRUE)/12</f>
        <v>3.3191666666666672E-4</v>
      </c>
      <c r="E115" s="142">
        <f t="shared" si="7"/>
        <v>0.99966808333333335</v>
      </c>
      <c r="G115" s="137">
        <f t="shared" si="11"/>
        <v>0</v>
      </c>
      <c r="H115" s="137">
        <f t="shared" si="8"/>
        <v>0</v>
      </c>
      <c r="I115" s="137">
        <f t="shared" si="10"/>
        <v>0</v>
      </c>
      <c r="J115" s="145">
        <f t="shared" si="9"/>
        <v>828.40112204114655</v>
      </c>
    </row>
    <row r="116" spans="1:10" x14ac:dyDescent="0.2">
      <c r="A116" s="137">
        <f>'Q.3 (i)'!G116</f>
        <v>48</v>
      </c>
      <c r="B116" s="137">
        <f>'Q.3 (i)'!AH116</f>
        <v>831.68235863536131</v>
      </c>
      <c r="D116" s="143">
        <f>VLOOKUP(A116,'Q.3-Data'!$B$3:$C$118,2,TRUE)/12</f>
        <v>3.3191666666666672E-4</v>
      </c>
      <c r="E116" s="142">
        <f t="shared" si="7"/>
        <v>0.99966808333333335</v>
      </c>
      <c r="G116" s="137">
        <f t="shared" si="11"/>
        <v>0</v>
      </c>
      <c r="H116" s="137">
        <f t="shared" si="8"/>
        <v>0</v>
      </c>
      <c r="I116" s="137">
        <f t="shared" si="10"/>
        <v>0</v>
      </c>
      <c r="J116" s="145">
        <f t="shared" si="9"/>
        <v>831.68235863536131</v>
      </c>
    </row>
    <row r="117" spans="1:10" x14ac:dyDescent="0.2">
      <c r="A117" s="137">
        <f>'Q.3 (i)'!G117</f>
        <v>48</v>
      </c>
      <c r="B117" s="137">
        <f>'Q.3 (i)'!AH117</f>
        <v>834.98191017031422</v>
      </c>
      <c r="D117" s="143">
        <f>VLOOKUP(A117,'Q.3-Data'!$B$3:$C$118,2,TRUE)/12</f>
        <v>3.3191666666666672E-4</v>
      </c>
      <c r="E117" s="142">
        <f t="shared" si="7"/>
        <v>0.99966808333333335</v>
      </c>
      <c r="G117" s="137">
        <f t="shared" si="11"/>
        <v>0</v>
      </c>
      <c r="H117" s="137">
        <f t="shared" si="8"/>
        <v>0</v>
      </c>
      <c r="I117" s="137">
        <f t="shared" si="10"/>
        <v>0</v>
      </c>
      <c r="J117" s="145">
        <f t="shared" si="9"/>
        <v>834.98191017031422</v>
      </c>
    </row>
    <row r="118" spans="1:10" x14ac:dyDescent="0.2">
      <c r="A118" s="137">
        <f>'Q.3 (i)'!G118</f>
        <v>48</v>
      </c>
      <c r="B118" s="137">
        <f>'Q.3 (i)'!AH118</f>
        <v>838.29987887485868</v>
      </c>
      <c r="D118" s="143">
        <f>VLOOKUP(A118,'Q.3-Data'!$B$3:$C$118,2,TRUE)/12</f>
        <v>3.3191666666666672E-4</v>
      </c>
      <c r="E118" s="142">
        <f t="shared" si="7"/>
        <v>0.99966808333333335</v>
      </c>
      <c r="G118" s="137">
        <f t="shared" si="11"/>
        <v>0</v>
      </c>
      <c r="H118" s="137">
        <f t="shared" si="8"/>
        <v>0</v>
      </c>
      <c r="I118" s="137">
        <f t="shared" si="10"/>
        <v>0</v>
      </c>
      <c r="J118" s="145">
        <f t="shared" si="9"/>
        <v>838.29987887485868</v>
      </c>
    </row>
    <row r="119" spans="1:10" x14ac:dyDescent="0.2">
      <c r="A119" s="137">
        <f>'Q.3 (i)'!G119</f>
        <v>48</v>
      </c>
      <c r="B119" s="137">
        <f>'Q.3 (i)'!AH119</f>
        <v>841.63636754846107</v>
      </c>
      <c r="D119" s="143">
        <f>VLOOKUP(A119,'Q.3-Data'!$B$3:$C$118,2,TRUE)/12</f>
        <v>3.3191666666666672E-4</v>
      </c>
      <c r="E119" s="142">
        <f t="shared" si="7"/>
        <v>0.99966808333333335</v>
      </c>
      <c r="G119" s="137">
        <f t="shared" si="11"/>
        <v>0</v>
      </c>
      <c r="H119" s="137">
        <f t="shared" si="8"/>
        <v>0</v>
      </c>
      <c r="I119" s="137">
        <f t="shared" si="10"/>
        <v>0</v>
      </c>
      <c r="J119" s="145">
        <f t="shared" si="9"/>
        <v>841.63636754846107</v>
      </c>
    </row>
    <row r="120" spans="1:10" x14ac:dyDescent="0.2">
      <c r="A120" s="137">
        <f>'Q.3 (i)'!G120</f>
        <v>49</v>
      </c>
      <c r="B120" s="137">
        <f>'Q.3 (i)'!AH120</f>
        <v>847.24699185990835</v>
      </c>
      <c r="D120" s="143">
        <f>VLOOKUP(A120,'Q.3-Data'!$B$3:$C$118,2,TRUE)/12</f>
        <v>3.7033333333333335E-4</v>
      </c>
      <c r="E120" s="142">
        <f t="shared" si="7"/>
        <v>0.99962966666666664</v>
      </c>
      <c r="G120" s="137">
        <f t="shared" si="11"/>
        <v>0</v>
      </c>
      <c r="H120" s="137">
        <f t="shared" si="8"/>
        <v>0</v>
      </c>
      <c r="I120" s="137">
        <f t="shared" si="10"/>
        <v>0</v>
      </c>
      <c r="J120" s="145">
        <f t="shared" si="9"/>
        <v>847.24699185990835</v>
      </c>
    </row>
    <row r="121" spans="1:10" x14ac:dyDescent="0.2">
      <c r="A121" s="137">
        <f>'Q.3 (i)'!G121</f>
        <v>49</v>
      </c>
      <c r="B121" s="137">
        <f>'Q.3 (i)'!AH121</f>
        <v>850.54569509912983</v>
      </c>
      <c r="D121" s="143">
        <f>VLOOKUP(A121,'Q.3-Data'!$B$3:$C$118,2,TRUE)/12</f>
        <v>3.7033333333333335E-4</v>
      </c>
      <c r="E121" s="142">
        <f t="shared" si="7"/>
        <v>0.99962966666666664</v>
      </c>
      <c r="G121" s="137">
        <f t="shared" si="11"/>
        <v>0</v>
      </c>
      <c r="H121" s="137">
        <f t="shared" si="8"/>
        <v>0</v>
      </c>
      <c r="I121" s="137">
        <f t="shared" si="10"/>
        <v>0</v>
      </c>
      <c r="J121" s="145">
        <f t="shared" si="9"/>
        <v>850.54569509912983</v>
      </c>
    </row>
    <row r="122" spans="1:10" x14ac:dyDescent="0.2">
      <c r="A122" s="137">
        <f>'Q.3 (i)'!G122</f>
        <v>49</v>
      </c>
      <c r="B122" s="137">
        <f>'Q.3 (i)'!AH122</f>
        <v>853.86299864399462</v>
      </c>
      <c r="D122" s="143">
        <f>VLOOKUP(A122,'Q.3-Data'!$B$3:$C$118,2,TRUE)/12</f>
        <v>3.7033333333333335E-4</v>
      </c>
      <c r="E122" s="142">
        <f t="shared" si="7"/>
        <v>0.99962966666666664</v>
      </c>
      <c r="G122" s="137">
        <f t="shared" si="11"/>
        <v>0</v>
      </c>
      <c r="H122" s="137">
        <f t="shared" si="8"/>
        <v>0</v>
      </c>
      <c r="I122" s="137">
        <f t="shared" si="10"/>
        <v>0</v>
      </c>
      <c r="J122" s="145">
        <f t="shared" si="9"/>
        <v>853.86299864399462</v>
      </c>
    </row>
    <row r="123" spans="1:10" x14ac:dyDescent="0.2">
      <c r="A123" s="137">
        <f>'Q.3 (i)'!G123</f>
        <v>49</v>
      </c>
      <c r="B123" s="137">
        <f>'Q.3 (i)'!AH123</f>
        <v>857.19900737552598</v>
      </c>
      <c r="D123" s="143">
        <f>VLOOKUP(A123,'Q.3-Data'!$B$3:$C$118,2,TRUE)/12</f>
        <v>3.7033333333333335E-4</v>
      </c>
      <c r="E123" s="142">
        <f t="shared" si="7"/>
        <v>0.99962966666666664</v>
      </c>
      <c r="G123" s="137">
        <f t="shared" si="11"/>
        <v>0</v>
      </c>
      <c r="H123" s="137">
        <f t="shared" si="8"/>
        <v>0</v>
      </c>
      <c r="I123" s="137">
        <f t="shared" si="10"/>
        <v>0</v>
      </c>
      <c r="J123" s="145">
        <f t="shared" si="9"/>
        <v>857.19900737552598</v>
      </c>
    </row>
    <row r="124" spans="1:10" x14ac:dyDescent="0.2">
      <c r="A124" s="137">
        <f>'Q.3 (i)'!G124</f>
        <v>49</v>
      </c>
      <c r="B124" s="137">
        <f>'Q.3 (i)'!AH124</f>
        <v>860.55382676613601</v>
      </c>
      <c r="D124" s="143">
        <f>VLOOKUP(A124,'Q.3-Data'!$B$3:$C$118,2,TRUE)/12</f>
        <v>3.7033333333333335E-4</v>
      </c>
      <c r="E124" s="142">
        <f t="shared" si="7"/>
        <v>0.99962966666666664</v>
      </c>
      <c r="G124" s="137">
        <f t="shared" si="11"/>
        <v>0</v>
      </c>
      <c r="H124" s="137">
        <f t="shared" si="8"/>
        <v>0</v>
      </c>
      <c r="I124" s="137">
        <f t="shared" si="10"/>
        <v>0</v>
      </c>
      <c r="J124" s="145">
        <f t="shared" si="9"/>
        <v>860.55382676613601</v>
      </c>
    </row>
    <row r="125" spans="1:10" x14ac:dyDescent="0.2">
      <c r="A125" s="137">
        <f>'Q.3 (i)'!G125</f>
        <v>49</v>
      </c>
      <c r="B125" s="137">
        <f>'Q.3 (i)'!AH125</f>
        <v>863.92756288296221</v>
      </c>
      <c r="D125" s="143">
        <f>VLOOKUP(A125,'Q.3-Data'!$B$3:$C$118,2,TRUE)/12</f>
        <v>3.7033333333333335E-4</v>
      </c>
      <c r="E125" s="142">
        <f t="shared" si="7"/>
        <v>0.99962966666666664</v>
      </c>
      <c r="G125" s="137">
        <f t="shared" si="11"/>
        <v>0</v>
      </c>
      <c r="H125" s="137">
        <f t="shared" si="8"/>
        <v>0</v>
      </c>
      <c r="I125" s="137">
        <f t="shared" si="10"/>
        <v>0</v>
      </c>
      <c r="J125" s="145">
        <f t="shared" si="9"/>
        <v>863.92756288296221</v>
      </c>
    </row>
    <row r="126" spans="1:10" x14ac:dyDescent="0.2">
      <c r="A126" s="137">
        <f>'Q.3 (i)'!G126</f>
        <v>49</v>
      </c>
      <c r="B126" s="137">
        <f>'Q.3 (i)'!AH126</f>
        <v>867.32032239121884</v>
      </c>
      <c r="D126" s="143">
        <f>VLOOKUP(A126,'Q.3-Data'!$B$3:$C$118,2,TRUE)/12</f>
        <v>3.7033333333333335E-4</v>
      </c>
      <c r="E126" s="142">
        <f t="shared" si="7"/>
        <v>0.99962966666666664</v>
      </c>
      <c r="G126" s="137">
        <f t="shared" si="11"/>
        <v>0</v>
      </c>
      <c r="H126" s="137">
        <f t="shared" si="8"/>
        <v>0</v>
      </c>
      <c r="I126" s="137">
        <f t="shared" si="10"/>
        <v>0</v>
      </c>
      <c r="J126" s="145">
        <f t="shared" si="9"/>
        <v>867.32032239121884</v>
      </c>
    </row>
    <row r="127" spans="1:10" x14ac:dyDescent="0.2">
      <c r="A127" s="137">
        <f>'Q.3 (i)'!G127</f>
        <v>49</v>
      </c>
      <c r="B127" s="137">
        <f>'Q.3 (i)'!AH127</f>
        <v>870.73221255757085</v>
      </c>
      <c r="D127" s="143">
        <f>VLOOKUP(A127,'Q.3-Data'!$B$3:$C$118,2,TRUE)/12</f>
        <v>3.7033333333333335E-4</v>
      </c>
      <c r="E127" s="142">
        <f t="shared" si="7"/>
        <v>0.99962966666666664</v>
      </c>
      <c r="G127" s="137">
        <f t="shared" si="11"/>
        <v>0</v>
      </c>
      <c r="H127" s="137">
        <f t="shared" si="8"/>
        <v>0</v>
      </c>
      <c r="I127" s="137">
        <f t="shared" si="10"/>
        <v>0</v>
      </c>
      <c r="J127" s="145">
        <f t="shared" si="9"/>
        <v>870.73221255757085</v>
      </c>
    </row>
    <row r="128" spans="1:10" x14ac:dyDescent="0.2">
      <c r="A128" s="137">
        <f>'Q.3 (i)'!G128</f>
        <v>49</v>
      </c>
      <c r="B128" s="137">
        <f>'Q.3 (i)'!AH128</f>
        <v>874.163341253525</v>
      </c>
      <c r="D128" s="143">
        <f>VLOOKUP(A128,'Q.3-Data'!$B$3:$C$118,2,TRUE)/12</f>
        <v>3.7033333333333335E-4</v>
      </c>
      <c r="E128" s="142">
        <f t="shared" si="7"/>
        <v>0.99962966666666664</v>
      </c>
      <c r="G128" s="137">
        <f t="shared" si="11"/>
        <v>584.29622621131477</v>
      </c>
      <c r="H128" s="137">
        <f t="shared" si="8"/>
        <v>584.29622621131477</v>
      </c>
      <c r="I128" s="137">
        <f t="shared" si="10"/>
        <v>0</v>
      </c>
      <c r="J128" s="145">
        <f t="shared" si="9"/>
        <v>289.86711504221023</v>
      </c>
    </row>
    <row r="129" spans="1:10" x14ac:dyDescent="0.2">
      <c r="A129" s="137">
        <f>'Q.3 (i)'!G129</f>
        <v>49</v>
      </c>
      <c r="B129" s="137">
        <f>'Q.3 (i)'!AH129</f>
        <v>877.61381695883927</v>
      </c>
      <c r="D129" s="143">
        <f>VLOOKUP(A129,'Q.3-Data'!$B$3:$C$118,2,TRUE)/12</f>
        <v>3.7033333333333335E-4</v>
      </c>
      <c r="E129" s="142">
        <f t="shared" si="7"/>
        <v>0.99962966666666664</v>
      </c>
      <c r="G129" s="137">
        <f t="shared" si="11"/>
        <v>1464.8330148152108</v>
      </c>
      <c r="H129" s="137">
        <f t="shared" si="8"/>
        <v>880.53678860389607</v>
      </c>
      <c r="I129" s="137">
        <f t="shared" si="10"/>
        <v>2.3804951519034958</v>
      </c>
      <c r="J129" s="145">
        <f t="shared" si="9"/>
        <v>-0.54247649315330904</v>
      </c>
    </row>
    <row r="130" spans="1:10" x14ac:dyDescent="0.2">
      <c r="A130" s="137">
        <f>'Q.3 (i)'!G130</f>
        <v>49</v>
      </c>
      <c r="B130" s="137">
        <f>'Q.3 (i)'!AH130</f>
        <v>881.08374876495452</v>
      </c>
      <c r="D130" s="143">
        <f>VLOOKUP(A130,'Q.3-Data'!$B$3:$C$118,2,TRUE)/12</f>
        <v>3.7033333333333335E-4</v>
      </c>
      <c r="E130" s="142">
        <f t="shared" si="7"/>
        <v>0.99962966666666664</v>
      </c>
      <c r="G130" s="137">
        <f t="shared" si="11"/>
        <v>2352.7559785689609</v>
      </c>
      <c r="H130" s="137">
        <f t="shared" si="8"/>
        <v>887.92296375375008</v>
      </c>
      <c r="I130" s="137">
        <f t="shared" si="10"/>
        <v>5.9679110247319711</v>
      </c>
      <c r="J130" s="145">
        <f t="shared" si="9"/>
        <v>-0.87130396406359001</v>
      </c>
    </row>
    <row r="131" spans="1:10" ht="13.5" thickBot="1" x14ac:dyDescent="0.25">
      <c r="A131" s="137">
        <f>'Q.3 (i)'!G131</f>
        <v>49</v>
      </c>
      <c r="B131" s="138">
        <f>'Q.3 (i)'!AH131</f>
        <v>-2362.3413976583697</v>
      </c>
      <c r="D131" s="143">
        <f>VLOOKUP(A131,'Q.3-Data'!$B$3:$C$118,2,TRUE)/12</f>
        <v>3.7033333333333335E-4</v>
      </c>
      <c r="E131" s="142">
        <f t="shared" si="7"/>
        <v>0.99962966666666664</v>
      </c>
      <c r="G131" s="138">
        <f t="shared" si="11"/>
        <v>0</v>
      </c>
      <c r="H131" s="138">
        <f t="shared" si="8"/>
        <v>-2352.7559785689609</v>
      </c>
      <c r="I131" s="137">
        <f t="shared" si="10"/>
        <v>9.5854190894086599</v>
      </c>
      <c r="J131" s="146">
        <f t="shared" si="9"/>
        <v>-1.2789769243681803E-13</v>
      </c>
    </row>
    <row r="132" spans="1:10" ht="13.5" thickBot="1" x14ac:dyDescent="0.25">
      <c r="B132" s="135"/>
    </row>
    <row r="133" spans="1:10" x14ac:dyDescent="0.2">
      <c r="B133" s="11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WTW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Q.1 (i)</vt:lpstr>
      <vt:lpstr>Q.1 (ii)</vt:lpstr>
      <vt:lpstr>Q.1 (iii)</vt:lpstr>
      <vt:lpstr>Q.1 (iv)</vt:lpstr>
      <vt:lpstr>Q.2-Data</vt:lpstr>
      <vt:lpstr>Q.2 (i)</vt:lpstr>
      <vt:lpstr>Q.2 (ii)</vt:lpstr>
      <vt:lpstr>Q.2 (iii)</vt:lpstr>
      <vt:lpstr>Q.2 (iv)</vt:lpstr>
      <vt:lpstr>Q.2 (v)</vt:lpstr>
      <vt:lpstr>Q.2 (vi)</vt:lpstr>
      <vt:lpstr>Q.3-Data</vt:lpstr>
      <vt:lpstr>Q.3 (i)</vt:lpstr>
      <vt:lpstr>Q.3 (ii)</vt:lpstr>
      <vt:lpstr>Q.3 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Jyoti Dubey</cp:lastModifiedBy>
  <dcterms:created xsi:type="dcterms:W3CDTF">2015-06-05T18:17:20Z</dcterms:created>
  <dcterms:modified xsi:type="dcterms:W3CDTF">2022-10-01T08:16:47Z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2022-07-05T13:03:39Z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92eb7ca9-5b47-431d-9522-84497823775f</vt:lpwstr>
  </property>
  <property fmtid="{D5CDD505-2E9C-101B-9397-08002B2CF9AE}" pid="8" name="MSIP_Label_d347b247-e90e-43a3-9d7b-004f14ae6873_ContentBits">
    <vt:lpwstr>0</vt:lpwstr>
  </property>
</Properties>
</file>