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yoti\AppData\Local\Microsoft\Windows\Temporary Internet Files\Content.Outlook\SBXGFNJS\"/>
    </mc:Choice>
  </mc:AlternateContent>
  <bookViews>
    <workbookView xWindow="-105" yWindow="-105" windowWidth="19425" windowHeight="10425"/>
  </bookViews>
  <sheets>
    <sheet name="Audit trail" sheetId="9" r:id="rId1"/>
    <sheet name="Data" sheetId="6" r:id="rId2"/>
    <sheet name="Corrected data" sheetId="2" r:id="rId3"/>
    <sheet name="Parameters" sheetId="4" r:id="rId4"/>
    <sheet name="Base Scenario" sheetId="3" r:id="rId5"/>
    <sheet name="Scenario 1" sheetId="7" r:id="rId6"/>
    <sheet name="Scenario 2" sheetId="5" r:id="rId7"/>
    <sheet name="Graph" sheetId="8" r:id="rId8"/>
  </sheets>
  <externalReferences>
    <externalReference r:id="rId9"/>
  </externalReferences>
  <definedNames>
    <definedName name="_xlnm._FilterDatabase" localSheetId="2" hidden="1">'Corrected data'!$B$1:$E$121</definedName>
    <definedName name="_xlnm._FilterDatabase" localSheetId="1" hidden="1">Data!$G$4:$L$124</definedName>
    <definedName name="cost_choc_syrup" localSheetId="0">[1]Parameters!$D$5</definedName>
    <definedName name="cost_choc_syrup">Parameters!$D$5</definedName>
    <definedName name="Cost_Icecream" localSheetId="0">[1]Parameters!$D$4</definedName>
    <definedName name="Cost_Icecream">Parameters!$D$4</definedName>
    <definedName name="cost_straw_syrup" localSheetId="0">[1]Parameters!$D$6</definedName>
    <definedName name="cost_straw_syrup">Parameters!$D$6</definedName>
    <definedName name="Disc_Rate" localSheetId="0">[1]Graph!$C$16</definedName>
    <definedName name="Disc_Rate">Graph!$C$16</definedName>
    <definedName name="Disc_Rate_PM" localSheetId="0">[1]Parameters!$E$25</definedName>
    <definedName name="Disc_Rate_PM">Parameters!$E$25</definedName>
    <definedName name="Electr_Summer" localSheetId="0">[1]Parameters!$D$17</definedName>
    <definedName name="Electr_Summer">Parameters!$D$17</definedName>
    <definedName name="Electr_winter" localSheetId="0">[1]Parameters!$E$17</definedName>
    <definedName name="Electr_winter">Parameters!$E$17</definedName>
    <definedName name="Interest" localSheetId="0">[1]Parameters!$D$21</definedName>
    <definedName name="Interest">Parameters!$D$21</definedName>
    <definedName name="Loan" localSheetId="0">[1]Parameters!$D$20</definedName>
    <definedName name="Loan">Parameters!$D$20</definedName>
    <definedName name="prop_choc_syrup" localSheetId="0">[1]Parameters!$D$8</definedName>
    <definedName name="prop_choc_syrup">Parameters!$D$8</definedName>
    <definedName name="prop_straw_syrup" localSheetId="0">[1]Parameters!$D$9</definedName>
    <definedName name="prop_straw_syrup">Parameters!$D$9</definedName>
    <definedName name="Rent" localSheetId="0">[1]Parameters!$D$15</definedName>
    <definedName name="Rent">Parameters!$D$15</definedName>
    <definedName name="Salary" localSheetId="0">[1]Parameters!$D$16</definedName>
    <definedName name="Salary">Parameters!$D$16</definedName>
    <definedName name="SP_choc_syrup" localSheetId="0">[1]Parameters!$D$12</definedName>
    <definedName name="SP_choc_syrup">Parameters!$D$12</definedName>
    <definedName name="SP_icecream" localSheetId="0">[1]Parameters!$D$11</definedName>
    <definedName name="SP_icecream">Parameters!$D$11</definedName>
    <definedName name="SP_icecream_winter" localSheetId="0">[1]Parameters!$E$11</definedName>
    <definedName name="SP_icecream_winter">Parameters!$E$11</definedName>
    <definedName name="SP_straw_syrup" localSheetId="0">[1]Parameters!$D$13</definedName>
    <definedName name="SP_straw_syrup">Parameters!$D$13</definedName>
    <definedName name="Tax_rate" localSheetId="0">[1]Parameters!$D$23</definedName>
    <definedName name="Tax_rate">Parameters!$D$23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5" l="1"/>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5" i="5"/>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3" i="7"/>
  <c r="E25" i="4"/>
  <c r="H23" i="6" l="1"/>
  <c r="H24" i="6"/>
  <c r="H25" i="6"/>
  <c r="H26" i="6"/>
  <c r="H27" i="6"/>
  <c r="H28" i="6"/>
  <c r="H29" i="6"/>
  <c r="H30" i="6"/>
  <c r="K30" i="6" s="1"/>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K64" i="6" s="1"/>
  <c r="H65" i="6"/>
  <c r="H66" i="6"/>
  <c r="H67" i="6"/>
  <c r="H68" i="6"/>
  <c r="H69" i="6"/>
  <c r="H70" i="6"/>
  <c r="H71" i="6"/>
  <c r="H72" i="6"/>
  <c r="H73" i="6"/>
  <c r="H74" i="6"/>
  <c r="H75" i="6"/>
  <c r="H76" i="6"/>
  <c r="H77" i="6"/>
  <c r="H78" i="6"/>
  <c r="J78" i="6" s="1"/>
  <c r="H79" i="6"/>
  <c r="H80" i="6"/>
  <c r="K80" i="6" s="1"/>
  <c r="H81" i="6"/>
  <c r="H82" i="6"/>
  <c r="H83" i="6"/>
  <c r="H84" i="6"/>
  <c r="H85" i="6"/>
  <c r="H86" i="6"/>
  <c r="H87" i="6"/>
  <c r="H88" i="6"/>
  <c r="H89" i="6"/>
  <c r="H90" i="6"/>
  <c r="H91" i="6"/>
  <c r="H92" i="6"/>
  <c r="H93" i="6"/>
  <c r="H94" i="6"/>
  <c r="H95" i="6"/>
  <c r="H96" i="6"/>
  <c r="K96" i="6" s="1"/>
  <c r="H97" i="6"/>
  <c r="H98" i="6"/>
  <c r="H99" i="6"/>
  <c r="H100" i="6"/>
  <c r="H101" i="6"/>
  <c r="H102" i="6"/>
  <c r="H103" i="6"/>
  <c r="H104" i="6"/>
  <c r="H105" i="6"/>
  <c r="H106" i="6"/>
  <c r="H107" i="6"/>
  <c r="H108" i="6"/>
  <c r="H109" i="6"/>
  <c r="H110" i="6"/>
  <c r="J110" i="6" s="1"/>
  <c r="H111" i="6"/>
  <c r="H112" i="6"/>
  <c r="K112" i="6" s="1"/>
  <c r="M112" i="6" s="1"/>
  <c r="C109" i="2" s="1"/>
  <c r="H113" i="6"/>
  <c r="H114" i="6"/>
  <c r="H115" i="6"/>
  <c r="H116" i="6"/>
  <c r="H117" i="6"/>
  <c r="H118" i="6"/>
  <c r="H119" i="6"/>
  <c r="H120" i="6"/>
  <c r="H121" i="6"/>
  <c r="H122" i="6"/>
  <c r="H123" i="6"/>
  <c r="H124" i="6"/>
  <c r="K49" i="6"/>
  <c r="K65" i="6"/>
  <c r="K81" i="6"/>
  <c r="K113" i="6"/>
  <c r="F3" i="7"/>
  <c r="J3" i="7" s="1"/>
  <c r="Q5" i="5"/>
  <c r="U1"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5" i="5"/>
  <c r="H4" i="7"/>
  <c r="I4" i="7"/>
  <c r="H5" i="7"/>
  <c r="I5" i="7"/>
  <c r="H6" i="7"/>
  <c r="I6" i="7"/>
  <c r="H7" i="7"/>
  <c r="I7" i="7"/>
  <c r="H8" i="7"/>
  <c r="I8" i="7"/>
  <c r="H9" i="7"/>
  <c r="I9" i="7"/>
  <c r="H10" i="7"/>
  <c r="I10" i="7"/>
  <c r="H11" i="7"/>
  <c r="I11" i="7"/>
  <c r="H12" i="7"/>
  <c r="I12" i="7"/>
  <c r="H13" i="7"/>
  <c r="I13" i="7"/>
  <c r="H14" i="7"/>
  <c r="I14" i="7"/>
  <c r="H15" i="7"/>
  <c r="I15" i="7"/>
  <c r="H16" i="7"/>
  <c r="I16" i="7"/>
  <c r="H17" i="7"/>
  <c r="I17" i="7"/>
  <c r="H18" i="7"/>
  <c r="I18" i="7"/>
  <c r="H19" i="7"/>
  <c r="I19" i="7"/>
  <c r="H20" i="7"/>
  <c r="I20" i="7"/>
  <c r="H21" i="7"/>
  <c r="I21" i="7"/>
  <c r="H22" i="7"/>
  <c r="I22" i="7"/>
  <c r="H23" i="7"/>
  <c r="I23" i="7"/>
  <c r="H24" i="7"/>
  <c r="I24" i="7"/>
  <c r="H25" i="7"/>
  <c r="I25" i="7"/>
  <c r="H26" i="7"/>
  <c r="I26" i="7"/>
  <c r="H27" i="7"/>
  <c r="I27" i="7"/>
  <c r="H28" i="7"/>
  <c r="I28" i="7"/>
  <c r="H29" i="7"/>
  <c r="I29" i="7"/>
  <c r="H30" i="7"/>
  <c r="I30" i="7"/>
  <c r="H31" i="7"/>
  <c r="I31" i="7"/>
  <c r="H32" i="7"/>
  <c r="I32" i="7"/>
  <c r="H33" i="7"/>
  <c r="I33" i="7"/>
  <c r="H34" i="7"/>
  <c r="I34" i="7"/>
  <c r="H35" i="7"/>
  <c r="I35" i="7"/>
  <c r="H36" i="7"/>
  <c r="I36" i="7"/>
  <c r="H37" i="7"/>
  <c r="I37" i="7"/>
  <c r="H38" i="7"/>
  <c r="I38" i="7"/>
  <c r="H39" i="7"/>
  <c r="I39" i="7"/>
  <c r="H40" i="7"/>
  <c r="I40" i="7"/>
  <c r="H41" i="7"/>
  <c r="I41" i="7"/>
  <c r="H42" i="7"/>
  <c r="I42" i="7"/>
  <c r="H43" i="7"/>
  <c r="I43" i="7"/>
  <c r="H44" i="7"/>
  <c r="I44" i="7"/>
  <c r="H45" i="7"/>
  <c r="I45" i="7"/>
  <c r="H46" i="7"/>
  <c r="I46" i="7"/>
  <c r="H47" i="7"/>
  <c r="I47" i="7"/>
  <c r="H48" i="7"/>
  <c r="I48" i="7"/>
  <c r="H49" i="7"/>
  <c r="I49" i="7"/>
  <c r="H50" i="7"/>
  <c r="I50" i="7"/>
  <c r="H51" i="7"/>
  <c r="I51" i="7"/>
  <c r="H52" i="7"/>
  <c r="I52" i="7"/>
  <c r="H53" i="7"/>
  <c r="I53" i="7"/>
  <c r="H54" i="7"/>
  <c r="I54" i="7"/>
  <c r="H55" i="7"/>
  <c r="I55" i="7"/>
  <c r="H56" i="7"/>
  <c r="I56" i="7"/>
  <c r="H57" i="7"/>
  <c r="I57" i="7"/>
  <c r="H58" i="7"/>
  <c r="I58" i="7"/>
  <c r="H59" i="7"/>
  <c r="I59" i="7"/>
  <c r="H60" i="7"/>
  <c r="I60" i="7"/>
  <c r="H61" i="7"/>
  <c r="I61" i="7"/>
  <c r="H62" i="7"/>
  <c r="I62" i="7"/>
  <c r="H63" i="7"/>
  <c r="I63" i="7"/>
  <c r="H64" i="7"/>
  <c r="I64" i="7"/>
  <c r="H65" i="7"/>
  <c r="I65" i="7"/>
  <c r="H66" i="7"/>
  <c r="I66" i="7"/>
  <c r="H67" i="7"/>
  <c r="I67" i="7"/>
  <c r="H68" i="7"/>
  <c r="I68" i="7"/>
  <c r="H69" i="7"/>
  <c r="I69" i="7"/>
  <c r="H70" i="7"/>
  <c r="I70" i="7"/>
  <c r="H71" i="7"/>
  <c r="I71" i="7"/>
  <c r="H72" i="7"/>
  <c r="I72" i="7"/>
  <c r="H73" i="7"/>
  <c r="I73" i="7"/>
  <c r="H74" i="7"/>
  <c r="I74" i="7"/>
  <c r="H75" i="7"/>
  <c r="I75" i="7"/>
  <c r="H76" i="7"/>
  <c r="I76" i="7"/>
  <c r="H77" i="7"/>
  <c r="I77" i="7"/>
  <c r="H78" i="7"/>
  <c r="I78" i="7"/>
  <c r="H79" i="7"/>
  <c r="I79" i="7"/>
  <c r="H80" i="7"/>
  <c r="I80" i="7"/>
  <c r="H81" i="7"/>
  <c r="I81" i="7"/>
  <c r="H82" i="7"/>
  <c r="I82" i="7"/>
  <c r="H83" i="7"/>
  <c r="I83" i="7"/>
  <c r="H84" i="7"/>
  <c r="I84" i="7"/>
  <c r="H85" i="7"/>
  <c r="I85" i="7"/>
  <c r="H86" i="7"/>
  <c r="I86" i="7"/>
  <c r="H87" i="7"/>
  <c r="I87" i="7"/>
  <c r="H88" i="7"/>
  <c r="I88" i="7"/>
  <c r="H89" i="7"/>
  <c r="I89" i="7"/>
  <c r="H90" i="7"/>
  <c r="I90" i="7"/>
  <c r="H91" i="7"/>
  <c r="I91" i="7"/>
  <c r="H92" i="7"/>
  <c r="I92" i="7"/>
  <c r="H93" i="7"/>
  <c r="I93" i="7"/>
  <c r="H94" i="7"/>
  <c r="I94" i="7"/>
  <c r="H95" i="7"/>
  <c r="I95" i="7"/>
  <c r="H96" i="7"/>
  <c r="I96" i="7"/>
  <c r="H97" i="7"/>
  <c r="I97" i="7"/>
  <c r="H98" i="7"/>
  <c r="I98" i="7"/>
  <c r="H99" i="7"/>
  <c r="I99" i="7"/>
  <c r="H100" i="7"/>
  <c r="I100" i="7"/>
  <c r="H101" i="7"/>
  <c r="I101" i="7"/>
  <c r="H102" i="7"/>
  <c r="I102" i="7"/>
  <c r="H103" i="7"/>
  <c r="I103" i="7"/>
  <c r="H104" i="7"/>
  <c r="I104" i="7"/>
  <c r="H105" i="7"/>
  <c r="I105" i="7"/>
  <c r="H106" i="7"/>
  <c r="I106" i="7"/>
  <c r="H107" i="7"/>
  <c r="I107" i="7"/>
  <c r="H108" i="7"/>
  <c r="I108" i="7"/>
  <c r="H109" i="7"/>
  <c r="I109" i="7"/>
  <c r="H110" i="7"/>
  <c r="I110" i="7"/>
  <c r="H111" i="7"/>
  <c r="I111" i="7"/>
  <c r="H112" i="7"/>
  <c r="I112" i="7"/>
  <c r="H113" i="7"/>
  <c r="I113" i="7"/>
  <c r="H114" i="7"/>
  <c r="I114" i="7"/>
  <c r="H115" i="7"/>
  <c r="I115" i="7"/>
  <c r="H116" i="7"/>
  <c r="I116" i="7"/>
  <c r="H117" i="7"/>
  <c r="I117" i="7"/>
  <c r="H118" i="7"/>
  <c r="I118" i="7"/>
  <c r="H119" i="7"/>
  <c r="I119" i="7"/>
  <c r="H120" i="7"/>
  <c r="I120" i="7"/>
  <c r="H121" i="7"/>
  <c r="I121" i="7"/>
  <c r="H122" i="7"/>
  <c r="I122" i="7"/>
  <c r="I3" i="7"/>
  <c r="H3" i="7"/>
  <c r="H6" i="6"/>
  <c r="K6" i="6" s="1"/>
  <c r="H7" i="6"/>
  <c r="K7" i="6" s="1"/>
  <c r="H8" i="6"/>
  <c r="K8" i="6" s="1"/>
  <c r="M8" i="6" s="1"/>
  <c r="C5" i="2" s="1"/>
  <c r="H9" i="6"/>
  <c r="K9" i="6" s="1"/>
  <c r="H10" i="6"/>
  <c r="K10" i="6" s="1"/>
  <c r="H11" i="6"/>
  <c r="K11" i="6" s="1"/>
  <c r="H12" i="6"/>
  <c r="K12" i="6" s="1"/>
  <c r="H13" i="6"/>
  <c r="K13" i="6" s="1"/>
  <c r="H14" i="6"/>
  <c r="K14" i="6" s="1"/>
  <c r="H15" i="6"/>
  <c r="K15" i="6" s="1"/>
  <c r="H16" i="6"/>
  <c r="K16" i="6" s="1"/>
  <c r="H17" i="6"/>
  <c r="H18" i="6"/>
  <c r="H19" i="6"/>
  <c r="H20" i="6"/>
  <c r="H21" i="6"/>
  <c r="J29" i="6"/>
  <c r="K32" i="6"/>
  <c r="J42" i="6"/>
  <c r="K43" i="6"/>
  <c r="J44" i="6"/>
  <c r="J46" i="6"/>
  <c r="K48" i="6"/>
  <c r="J62" i="6"/>
  <c r="J94" i="6"/>
  <c r="K97" i="6"/>
  <c r="H5" i="6"/>
  <c r="K5" i="6" s="1"/>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5" i="6"/>
  <c r="D5" i="6"/>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3" i="3"/>
  <c r="H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3" i="3"/>
  <c r="F6" i="5"/>
  <c r="J6" i="5" s="1"/>
  <c r="F7" i="5"/>
  <c r="J7" i="5" s="1"/>
  <c r="F8" i="5"/>
  <c r="J8" i="5" s="1"/>
  <c r="F9" i="5"/>
  <c r="J9" i="5" s="1"/>
  <c r="F10" i="5"/>
  <c r="J10" i="5" s="1"/>
  <c r="F11" i="5"/>
  <c r="J11" i="5" s="1"/>
  <c r="F12" i="5"/>
  <c r="J12" i="5" s="1"/>
  <c r="F13" i="5"/>
  <c r="J13" i="5" s="1"/>
  <c r="F14" i="5"/>
  <c r="J14" i="5" s="1"/>
  <c r="F15" i="5"/>
  <c r="J15" i="5" s="1"/>
  <c r="F16" i="5"/>
  <c r="J16" i="5" s="1"/>
  <c r="F17" i="5"/>
  <c r="J17" i="5" s="1"/>
  <c r="F18" i="5"/>
  <c r="J18" i="5" s="1"/>
  <c r="F19" i="5"/>
  <c r="J19" i="5" s="1"/>
  <c r="F20" i="5"/>
  <c r="J20" i="5" s="1"/>
  <c r="F21" i="5"/>
  <c r="J21" i="5" s="1"/>
  <c r="F22" i="5"/>
  <c r="J22" i="5" s="1"/>
  <c r="F23" i="5"/>
  <c r="J23" i="5" s="1"/>
  <c r="F24" i="5"/>
  <c r="J24" i="5" s="1"/>
  <c r="F25" i="5"/>
  <c r="J25" i="5" s="1"/>
  <c r="F26" i="5"/>
  <c r="J26" i="5" s="1"/>
  <c r="F27" i="5"/>
  <c r="J27" i="5" s="1"/>
  <c r="F28" i="5"/>
  <c r="J28" i="5" s="1"/>
  <c r="F29" i="5"/>
  <c r="J29" i="5" s="1"/>
  <c r="F30" i="5"/>
  <c r="J30" i="5" s="1"/>
  <c r="F31" i="5"/>
  <c r="J31" i="5" s="1"/>
  <c r="F32" i="5"/>
  <c r="J32" i="5" s="1"/>
  <c r="F33" i="5"/>
  <c r="J33" i="5" s="1"/>
  <c r="F34" i="5"/>
  <c r="J34" i="5" s="1"/>
  <c r="F35" i="5"/>
  <c r="J35" i="5" s="1"/>
  <c r="F36" i="5"/>
  <c r="J36" i="5" s="1"/>
  <c r="F37" i="5"/>
  <c r="J37" i="5" s="1"/>
  <c r="F38" i="5"/>
  <c r="J38" i="5" s="1"/>
  <c r="F39" i="5"/>
  <c r="J39" i="5" s="1"/>
  <c r="F40" i="5"/>
  <c r="J40" i="5" s="1"/>
  <c r="F41" i="5"/>
  <c r="J41" i="5" s="1"/>
  <c r="F42" i="5"/>
  <c r="J42" i="5" s="1"/>
  <c r="F43" i="5"/>
  <c r="J43" i="5" s="1"/>
  <c r="F44" i="5"/>
  <c r="J44" i="5" s="1"/>
  <c r="F45" i="5"/>
  <c r="J45" i="5" s="1"/>
  <c r="F46" i="5"/>
  <c r="J46" i="5" s="1"/>
  <c r="F47" i="5"/>
  <c r="J47" i="5" s="1"/>
  <c r="F48" i="5"/>
  <c r="J48" i="5" s="1"/>
  <c r="F49" i="5"/>
  <c r="J49" i="5" s="1"/>
  <c r="F50" i="5"/>
  <c r="J50" i="5" s="1"/>
  <c r="F51" i="5"/>
  <c r="J51" i="5" s="1"/>
  <c r="F52" i="5"/>
  <c r="J52" i="5" s="1"/>
  <c r="F53" i="5"/>
  <c r="J53" i="5" s="1"/>
  <c r="F54" i="5"/>
  <c r="J54" i="5" s="1"/>
  <c r="F55" i="5"/>
  <c r="J55" i="5" s="1"/>
  <c r="F56" i="5"/>
  <c r="J56" i="5" s="1"/>
  <c r="F57" i="5"/>
  <c r="J57" i="5" s="1"/>
  <c r="F58" i="5"/>
  <c r="J58" i="5" s="1"/>
  <c r="F59" i="5"/>
  <c r="J59" i="5" s="1"/>
  <c r="F60" i="5"/>
  <c r="J60" i="5" s="1"/>
  <c r="F61" i="5"/>
  <c r="J61" i="5" s="1"/>
  <c r="F62" i="5"/>
  <c r="J62" i="5" s="1"/>
  <c r="F63" i="5"/>
  <c r="J63" i="5" s="1"/>
  <c r="F64" i="5"/>
  <c r="J64" i="5" s="1"/>
  <c r="F65" i="5"/>
  <c r="J65" i="5" s="1"/>
  <c r="F66" i="5"/>
  <c r="J66" i="5" s="1"/>
  <c r="F67" i="5"/>
  <c r="J67" i="5" s="1"/>
  <c r="F68" i="5"/>
  <c r="J68" i="5" s="1"/>
  <c r="F69" i="5"/>
  <c r="J69" i="5" s="1"/>
  <c r="F70" i="5"/>
  <c r="J70" i="5" s="1"/>
  <c r="F71" i="5"/>
  <c r="J71" i="5" s="1"/>
  <c r="F72" i="5"/>
  <c r="J72" i="5" s="1"/>
  <c r="F73" i="5"/>
  <c r="J73" i="5" s="1"/>
  <c r="F74" i="5"/>
  <c r="J74" i="5" s="1"/>
  <c r="F75" i="5"/>
  <c r="J75" i="5" s="1"/>
  <c r="F76" i="5"/>
  <c r="J76" i="5" s="1"/>
  <c r="F77" i="5"/>
  <c r="J77" i="5" s="1"/>
  <c r="F78" i="5"/>
  <c r="J78" i="5" s="1"/>
  <c r="F79" i="5"/>
  <c r="J79" i="5" s="1"/>
  <c r="F80" i="5"/>
  <c r="J80" i="5" s="1"/>
  <c r="F81" i="5"/>
  <c r="J81" i="5" s="1"/>
  <c r="F82" i="5"/>
  <c r="J82" i="5" s="1"/>
  <c r="F83" i="5"/>
  <c r="J83" i="5" s="1"/>
  <c r="F84" i="5"/>
  <c r="J84" i="5" s="1"/>
  <c r="F85" i="5"/>
  <c r="J85" i="5" s="1"/>
  <c r="F86" i="5"/>
  <c r="J86" i="5" s="1"/>
  <c r="F87" i="5"/>
  <c r="J87" i="5" s="1"/>
  <c r="F88" i="5"/>
  <c r="J88" i="5" s="1"/>
  <c r="F89" i="5"/>
  <c r="J89" i="5" s="1"/>
  <c r="F90" i="5"/>
  <c r="J90" i="5" s="1"/>
  <c r="F91" i="5"/>
  <c r="J91" i="5" s="1"/>
  <c r="F92" i="5"/>
  <c r="J92" i="5" s="1"/>
  <c r="F93" i="5"/>
  <c r="J93" i="5" s="1"/>
  <c r="F94" i="5"/>
  <c r="J94" i="5" s="1"/>
  <c r="F95" i="5"/>
  <c r="J95" i="5" s="1"/>
  <c r="F96" i="5"/>
  <c r="J96" i="5" s="1"/>
  <c r="F97" i="5"/>
  <c r="J97" i="5" s="1"/>
  <c r="F98" i="5"/>
  <c r="J98" i="5" s="1"/>
  <c r="F99" i="5"/>
  <c r="J99" i="5" s="1"/>
  <c r="F100" i="5"/>
  <c r="J100" i="5" s="1"/>
  <c r="F101" i="5"/>
  <c r="J101" i="5" s="1"/>
  <c r="F102" i="5"/>
  <c r="J102" i="5" s="1"/>
  <c r="F103" i="5"/>
  <c r="J103" i="5" s="1"/>
  <c r="F104" i="5"/>
  <c r="J104" i="5" s="1"/>
  <c r="F105" i="5"/>
  <c r="J105" i="5" s="1"/>
  <c r="F106" i="5"/>
  <c r="J106" i="5" s="1"/>
  <c r="F107" i="5"/>
  <c r="J107" i="5" s="1"/>
  <c r="F108" i="5"/>
  <c r="J108" i="5" s="1"/>
  <c r="F109" i="5"/>
  <c r="J109" i="5" s="1"/>
  <c r="F110" i="5"/>
  <c r="J110" i="5" s="1"/>
  <c r="F111" i="5"/>
  <c r="J111" i="5" s="1"/>
  <c r="F112" i="5"/>
  <c r="J112" i="5" s="1"/>
  <c r="F113" i="5"/>
  <c r="J113" i="5" s="1"/>
  <c r="F114" i="5"/>
  <c r="J114" i="5" s="1"/>
  <c r="F115" i="5"/>
  <c r="J115" i="5" s="1"/>
  <c r="F116" i="5"/>
  <c r="J116" i="5" s="1"/>
  <c r="F117" i="5"/>
  <c r="J117" i="5" s="1"/>
  <c r="F118" i="5"/>
  <c r="J118" i="5" s="1"/>
  <c r="F119" i="5"/>
  <c r="J119" i="5" s="1"/>
  <c r="F120" i="5"/>
  <c r="J120" i="5" s="1"/>
  <c r="F121" i="5"/>
  <c r="J121" i="5" s="1"/>
  <c r="F122" i="5"/>
  <c r="J122" i="5" s="1"/>
  <c r="F123" i="5"/>
  <c r="J123" i="5" s="1"/>
  <c r="F124" i="5"/>
  <c r="J124" i="5" s="1"/>
  <c r="F5" i="5"/>
  <c r="J5" i="5" s="1"/>
  <c r="B3" i="3"/>
  <c r="A4" i="3" s="1"/>
  <c r="A6" i="5"/>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F4" i="7"/>
  <c r="J4" i="7" s="1"/>
  <c r="F5" i="7"/>
  <c r="J5" i="7" s="1"/>
  <c r="F6" i="7"/>
  <c r="J6" i="7" s="1"/>
  <c r="F7" i="7"/>
  <c r="J7" i="7" s="1"/>
  <c r="F8" i="7"/>
  <c r="J8" i="7" s="1"/>
  <c r="F9" i="7"/>
  <c r="J9" i="7" s="1"/>
  <c r="F10" i="7"/>
  <c r="J10" i="7" s="1"/>
  <c r="F11" i="7"/>
  <c r="J11" i="7" s="1"/>
  <c r="F12" i="7"/>
  <c r="J12" i="7" s="1"/>
  <c r="F13" i="7"/>
  <c r="J13" i="7" s="1"/>
  <c r="F14" i="7"/>
  <c r="J14" i="7" s="1"/>
  <c r="F15" i="7"/>
  <c r="J15" i="7" s="1"/>
  <c r="F16" i="7"/>
  <c r="J16" i="7" s="1"/>
  <c r="F17" i="7"/>
  <c r="J17" i="7" s="1"/>
  <c r="F18" i="7"/>
  <c r="J18" i="7" s="1"/>
  <c r="F19" i="7"/>
  <c r="J19" i="7" s="1"/>
  <c r="F20" i="7"/>
  <c r="J20" i="7" s="1"/>
  <c r="F21" i="7"/>
  <c r="J21" i="7" s="1"/>
  <c r="F22" i="7"/>
  <c r="J22" i="7" s="1"/>
  <c r="F23" i="7"/>
  <c r="J23" i="7" s="1"/>
  <c r="F24" i="7"/>
  <c r="J24" i="7" s="1"/>
  <c r="F25" i="7"/>
  <c r="J25" i="7" s="1"/>
  <c r="F26" i="7"/>
  <c r="J26" i="7" s="1"/>
  <c r="F27" i="7"/>
  <c r="J27" i="7" s="1"/>
  <c r="F28" i="7"/>
  <c r="J28" i="7" s="1"/>
  <c r="F29" i="7"/>
  <c r="J29" i="7" s="1"/>
  <c r="F30" i="7"/>
  <c r="J30" i="7" s="1"/>
  <c r="F31" i="7"/>
  <c r="J31" i="7" s="1"/>
  <c r="F32" i="7"/>
  <c r="J32" i="7" s="1"/>
  <c r="F33" i="7"/>
  <c r="J33" i="7" s="1"/>
  <c r="F34" i="7"/>
  <c r="J34" i="7" s="1"/>
  <c r="F35" i="7"/>
  <c r="J35" i="7" s="1"/>
  <c r="F36" i="7"/>
  <c r="J36" i="7" s="1"/>
  <c r="F37" i="7"/>
  <c r="J37" i="7" s="1"/>
  <c r="F38" i="7"/>
  <c r="J38" i="7" s="1"/>
  <c r="F39" i="7"/>
  <c r="J39" i="7" s="1"/>
  <c r="F40" i="7"/>
  <c r="J40" i="7" s="1"/>
  <c r="F41" i="7"/>
  <c r="J41" i="7" s="1"/>
  <c r="F42" i="7"/>
  <c r="J42" i="7" s="1"/>
  <c r="F43" i="7"/>
  <c r="J43" i="7" s="1"/>
  <c r="F44" i="7"/>
  <c r="J44" i="7" s="1"/>
  <c r="F45" i="7"/>
  <c r="J45" i="7" s="1"/>
  <c r="F46" i="7"/>
  <c r="J46" i="7" s="1"/>
  <c r="F47" i="7"/>
  <c r="J47" i="7" s="1"/>
  <c r="F48" i="7"/>
  <c r="J48" i="7" s="1"/>
  <c r="F49" i="7"/>
  <c r="J49" i="7" s="1"/>
  <c r="F50" i="7"/>
  <c r="J50" i="7" s="1"/>
  <c r="F51" i="7"/>
  <c r="J51" i="7" s="1"/>
  <c r="F52" i="7"/>
  <c r="J52" i="7" s="1"/>
  <c r="F53" i="7"/>
  <c r="J53" i="7" s="1"/>
  <c r="F54" i="7"/>
  <c r="J54" i="7" s="1"/>
  <c r="F55" i="7"/>
  <c r="J55" i="7" s="1"/>
  <c r="F56" i="7"/>
  <c r="J56" i="7" s="1"/>
  <c r="F57" i="7"/>
  <c r="J57" i="7" s="1"/>
  <c r="F58" i="7"/>
  <c r="J58" i="7" s="1"/>
  <c r="F59" i="7"/>
  <c r="J59" i="7" s="1"/>
  <c r="F60" i="7"/>
  <c r="J60" i="7" s="1"/>
  <c r="F61" i="7"/>
  <c r="J61" i="7" s="1"/>
  <c r="F62" i="7"/>
  <c r="J62" i="7" s="1"/>
  <c r="F63" i="7"/>
  <c r="J63" i="7" s="1"/>
  <c r="F64" i="7"/>
  <c r="J64" i="7" s="1"/>
  <c r="F65" i="7"/>
  <c r="J65" i="7" s="1"/>
  <c r="F66" i="7"/>
  <c r="J66" i="7" s="1"/>
  <c r="F67" i="7"/>
  <c r="J67" i="7" s="1"/>
  <c r="F68" i="7"/>
  <c r="J68" i="7" s="1"/>
  <c r="F69" i="7"/>
  <c r="J69" i="7" s="1"/>
  <c r="F70" i="7"/>
  <c r="J70" i="7" s="1"/>
  <c r="F71" i="7"/>
  <c r="J71" i="7" s="1"/>
  <c r="F72" i="7"/>
  <c r="J72" i="7" s="1"/>
  <c r="F73" i="7"/>
  <c r="J73" i="7" s="1"/>
  <c r="F74" i="7"/>
  <c r="J74" i="7" s="1"/>
  <c r="F75" i="7"/>
  <c r="J75" i="7" s="1"/>
  <c r="F76" i="7"/>
  <c r="J76" i="7" s="1"/>
  <c r="F77" i="7"/>
  <c r="J77" i="7" s="1"/>
  <c r="F78" i="7"/>
  <c r="J78" i="7" s="1"/>
  <c r="F79" i="7"/>
  <c r="J79" i="7" s="1"/>
  <c r="F80" i="7"/>
  <c r="J80" i="7" s="1"/>
  <c r="F81" i="7"/>
  <c r="J81" i="7" s="1"/>
  <c r="F82" i="7"/>
  <c r="J82" i="7" s="1"/>
  <c r="F83" i="7"/>
  <c r="J83" i="7" s="1"/>
  <c r="F84" i="7"/>
  <c r="J84" i="7" s="1"/>
  <c r="F85" i="7"/>
  <c r="J85" i="7" s="1"/>
  <c r="F86" i="7"/>
  <c r="J86" i="7" s="1"/>
  <c r="F87" i="7"/>
  <c r="J87" i="7" s="1"/>
  <c r="F88" i="7"/>
  <c r="J88" i="7" s="1"/>
  <c r="F89" i="7"/>
  <c r="J89" i="7" s="1"/>
  <c r="F90" i="7"/>
  <c r="J90" i="7" s="1"/>
  <c r="F91" i="7"/>
  <c r="J91" i="7" s="1"/>
  <c r="F92" i="7"/>
  <c r="J92" i="7" s="1"/>
  <c r="F93" i="7"/>
  <c r="J93" i="7" s="1"/>
  <c r="F94" i="7"/>
  <c r="J94" i="7" s="1"/>
  <c r="F95" i="7"/>
  <c r="J95" i="7" s="1"/>
  <c r="F96" i="7"/>
  <c r="J96" i="7" s="1"/>
  <c r="F97" i="7"/>
  <c r="J97" i="7" s="1"/>
  <c r="F98" i="7"/>
  <c r="J98" i="7" s="1"/>
  <c r="F99" i="7"/>
  <c r="J99" i="7" s="1"/>
  <c r="F100" i="7"/>
  <c r="J100" i="7" s="1"/>
  <c r="F101" i="7"/>
  <c r="J101" i="7" s="1"/>
  <c r="F102" i="7"/>
  <c r="J102" i="7" s="1"/>
  <c r="F103" i="7"/>
  <c r="J103" i="7" s="1"/>
  <c r="F104" i="7"/>
  <c r="J104" i="7" s="1"/>
  <c r="F105" i="7"/>
  <c r="J105" i="7" s="1"/>
  <c r="F106" i="7"/>
  <c r="J106" i="7" s="1"/>
  <c r="F107" i="7"/>
  <c r="J107" i="7" s="1"/>
  <c r="F108" i="7"/>
  <c r="J108" i="7" s="1"/>
  <c r="F109" i="7"/>
  <c r="J109" i="7" s="1"/>
  <c r="F110" i="7"/>
  <c r="J110" i="7" s="1"/>
  <c r="F111" i="7"/>
  <c r="J111" i="7" s="1"/>
  <c r="F112" i="7"/>
  <c r="J112" i="7" s="1"/>
  <c r="F113" i="7"/>
  <c r="J113" i="7" s="1"/>
  <c r="F114" i="7"/>
  <c r="J114" i="7" s="1"/>
  <c r="F115" i="7"/>
  <c r="J115" i="7" s="1"/>
  <c r="F116" i="7"/>
  <c r="J116" i="7" s="1"/>
  <c r="F117" i="7"/>
  <c r="J117" i="7" s="1"/>
  <c r="F118" i="7"/>
  <c r="J118" i="7" s="1"/>
  <c r="F119" i="7"/>
  <c r="J119" i="7" s="1"/>
  <c r="F120" i="7"/>
  <c r="J120" i="7" s="1"/>
  <c r="F121" i="7"/>
  <c r="J121" i="7" s="1"/>
  <c r="F122" i="7"/>
  <c r="J122" i="7" s="1"/>
  <c r="S6" i="5"/>
  <c r="S7" i="5" s="1"/>
  <c r="S8" i="5" s="1"/>
  <c r="S9" i="5" s="1"/>
  <c r="S10" i="5" s="1"/>
  <c r="S11" i="5" s="1"/>
  <c r="S12" i="5" s="1"/>
  <c r="S13" i="5" s="1"/>
  <c r="S14" i="5" s="1"/>
  <c r="S15" i="5" s="1"/>
  <c r="S16" i="5" s="1"/>
  <c r="S17" i="5" s="1"/>
  <c r="S18" i="5" s="1"/>
  <c r="S19" i="5" s="1"/>
  <c r="S20" i="5" s="1"/>
  <c r="S21" i="5" s="1"/>
  <c r="S22" i="5" s="1"/>
  <c r="S23" i="5" s="1"/>
  <c r="S24" i="5" s="1"/>
  <c r="S25" i="5" s="1"/>
  <c r="S26" i="5" s="1"/>
  <c r="S27" i="5" s="1"/>
  <c r="S28" i="5" s="1"/>
  <c r="S29" i="5" s="1"/>
  <c r="S30" i="5" s="1"/>
  <c r="S31" i="5" s="1"/>
  <c r="S32" i="5" s="1"/>
  <c r="S33" i="5" s="1"/>
  <c r="S34" i="5" s="1"/>
  <c r="S35" i="5" s="1"/>
  <c r="S36" i="5" s="1"/>
  <c r="S37" i="5" s="1"/>
  <c r="S38" i="5" s="1"/>
  <c r="S39" i="5" s="1"/>
  <c r="S40" i="5" s="1"/>
  <c r="S41" i="5" s="1"/>
  <c r="S42" i="5" s="1"/>
  <c r="S43" i="5" s="1"/>
  <c r="S44" i="5" s="1"/>
  <c r="S45" i="5" s="1"/>
  <c r="S46" i="5" s="1"/>
  <c r="S47" i="5" s="1"/>
  <c r="S48" i="5" s="1"/>
  <c r="S49" i="5" s="1"/>
  <c r="S50" i="5" s="1"/>
  <c r="S51" i="5" s="1"/>
  <c r="S52" i="5" s="1"/>
  <c r="S53" i="5" s="1"/>
  <c r="S54" i="5" s="1"/>
  <c r="S55" i="5" s="1"/>
  <c r="S56" i="5" s="1"/>
  <c r="S57" i="5" s="1"/>
  <c r="S58" i="5" s="1"/>
  <c r="S59" i="5" s="1"/>
  <c r="S60" i="5" s="1"/>
  <c r="S61" i="5" s="1"/>
  <c r="S62" i="5" s="1"/>
  <c r="S63" i="5" s="1"/>
  <c r="S64" i="5" s="1"/>
  <c r="S65" i="5" s="1"/>
  <c r="S66" i="5" s="1"/>
  <c r="S67" i="5" s="1"/>
  <c r="S68" i="5" s="1"/>
  <c r="S69" i="5" s="1"/>
  <c r="S70" i="5" s="1"/>
  <c r="S71" i="5" s="1"/>
  <c r="S72" i="5" s="1"/>
  <c r="S73" i="5" s="1"/>
  <c r="S74" i="5" s="1"/>
  <c r="S75" i="5" s="1"/>
  <c r="S76" i="5" s="1"/>
  <c r="S77" i="5" s="1"/>
  <c r="S78" i="5" s="1"/>
  <c r="S79" i="5" s="1"/>
  <c r="S80" i="5" s="1"/>
  <c r="S81" i="5" s="1"/>
  <c r="S82" i="5" s="1"/>
  <c r="S83" i="5" s="1"/>
  <c r="S84" i="5" s="1"/>
  <c r="S85" i="5" s="1"/>
  <c r="S86" i="5" s="1"/>
  <c r="S87" i="5" s="1"/>
  <c r="S88" i="5" s="1"/>
  <c r="S89" i="5" s="1"/>
  <c r="S90" i="5" s="1"/>
  <c r="S91" i="5" s="1"/>
  <c r="S92" i="5" s="1"/>
  <c r="S93" i="5" s="1"/>
  <c r="S94" i="5" s="1"/>
  <c r="S95" i="5" s="1"/>
  <c r="S96" i="5" s="1"/>
  <c r="S97" i="5" s="1"/>
  <c r="S98" i="5" s="1"/>
  <c r="S99" i="5" s="1"/>
  <c r="S100" i="5" s="1"/>
  <c r="S101" i="5" s="1"/>
  <c r="S102" i="5" s="1"/>
  <c r="S103" i="5" s="1"/>
  <c r="S104" i="5" s="1"/>
  <c r="S105" i="5" s="1"/>
  <c r="S106" i="5" s="1"/>
  <c r="S107" i="5" s="1"/>
  <c r="S108" i="5" s="1"/>
  <c r="S109" i="5" s="1"/>
  <c r="S110" i="5" s="1"/>
  <c r="S111" i="5" s="1"/>
  <c r="S112" i="5" s="1"/>
  <c r="S113" i="5" s="1"/>
  <c r="S114" i="5" s="1"/>
  <c r="S115" i="5" s="1"/>
  <c r="S116" i="5" s="1"/>
  <c r="S117" i="5" s="1"/>
  <c r="S118" i="5" s="1"/>
  <c r="S119" i="5" s="1"/>
  <c r="S120" i="5" s="1"/>
  <c r="S121" i="5" s="1"/>
  <c r="S122" i="5" s="1"/>
  <c r="S123" i="5" s="1"/>
  <c r="S124" i="5" s="1"/>
  <c r="H22" i="6" l="1"/>
  <c r="J27" i="6"/>
  <c r="M14" i="6"/>
  <c r="C11" i="2" s="1"/>
  <c r="M10" i="6"/>
  <c r="C7" i="2" s="1"/>
  <c r="M6" i="6"/>
  <c r="C3" i="2" s="1"/>
  <c r="D6" i="5" s="1"/>
  <c r="M96" i="6"/>
  <c r="C93" i="2" s="1"/>
  <c r="M80" i="6"/>
  <c r="C77" i="2" s="1"/>
  <c r="M64" i="6"/>
  <c r="C61" i="2" s="1"/>
  <c r="M48" i="6"/>
  <c r="C45" i="2" s="1"/>
  <c r="M43" i="6"/>
  <c r="C40" i="2" s="1"/>
  <c r="M30" i="6"/>
  <c r="C27" i="2" s="1"/>
  <c r="M9" i="6"/>
  <c r="C6" i="2" s="1"/>
  <c r="M5" i="6"/>
  <c r="C2" i="2" s="1"/>
  <c r="M113" i="6"/>
  <c r="C110" i="2" s="1"/>
  <c r="M97" i="6"/>
  <c r="C94" i="2" s="1"/>
  <c r="M81" i="6"/>
  <c r="C78" i="2" s="1"/>
  <c r="M65" i="6"/>
  <c r="C62" i="2" s="1"/>
  <c r="M49" i="6"/>
  <c r="C46" i="2" s="1"/>
  <c r="M16" i="6"/>
  <c r="C13" i="2" s="1"/>
  <c r="M12" i="6"/>
  <c r="C9" i="2" s="1"/>
  <c r="M32" i="6"/>
  <c r="C29" i="2" s="1"/>
  <c r="M15" i="6"/>
  <c r="C12" i="2" s="1"/>
  <c r="M11" i="6"/>
  <c r="C8" i="2" s="1"/>
  <c r="M7" i="6"/>
  <c r="C4" i="2" s="1"/>
  <c r="M13" i="6"/>
  <c r="C10" i="2" s="1"/>
  <c r="J34" i="6"/>
  <c r="J111" i="6"/>
  <c r="L112" i="6"/>
  <c r="L96" i="6"/>
  <c r="L80" i="6"/>
  <c r="L64" i="6"/>
  <c r="L48" i="6"/>
  <c r="L32" i="6"/>
  <c r="L16" i="6"/>
  <c r="J47" i="6"/>
  <c r="J48" i="6" s="1"/>
  <c r="J77" i="6"/>
  <c r="J61" i="6"/>
  <c r="J45" i="6"/>
  <c r="L15" i="6"/>
  <c r="L97" i="6"/>
  <c r="J28" i="6"/>
  <c r="L30" i="6"/>
  <c r="L14" i="6"/>
  <c r="L81" i="6"/>
  <c r="J123" i="6"/>
  <c r="J107" i="6"/>
  <c r="J91" i="6"/>
  <c r="J75" i="6"/>
  <c r="J59" i="6"/>
  <c r="L5" i="6"/>
  <c r="L13" i="6"/>
  <c r="J63" i="6"/>
  <c r="J106" i="6"/>
  <c r="J90" i="6"/>
  <c r="J26" i="6"/>
  <c r="L12" i="6"/>
  <c r="J79" i="6"/>
  <c r="L113" i="6"/>
  <c r="L43" i="6"/>
  <c r="L11" i="6"/>
  <c r="L49" i="6"/>
  <c r="L10" i="6"/>
  <c r="L9" i="6"/>
  <c r="J95" i="6"/>
  <c r="L8" i="6"/>
  <c r="L65" i="6"/>
  <c r="L7" i="6"/>
  <c r="L6" i="6"/>
  <c r="J121" i="6"/>
  <c r="J105" i="6"/>
  <c r="J89" i="6"/>
  <c r="J73" i="6"/>
  <c r="J57" i="6"/>
  <c r="J41" i="6"/>
  <c r="J25" i="6"/>
  <c r="J120" i="6"/>
  <c r="J104" i="6"/>
  <c r="J88" i="6"/>
  <c r="J72" i="6"/>
  <c r="J56" i="6"/>
  <c r="J40" i="6"/>
  <c r="J118" i="6"/>
  <c r="J102" i="6"/>
  <c r="J86" i="6"/>
  <c r="J70" i="6"/>
  <c r="J54" i="6"/>
  <c r="J38" i="6"/>
  <c r="J22" i="6"/>
  <c r="J33" i="6"/>
  <c r="J116" i="6"/>
  <c r="J100" i="6"/>
  <c r="J84" i="6"/>
  <c r="J68" i="6"/>
  <c r="J52" i="6"/>
  <c r="J20" i="6"/>
  <c r="J114" i="6"/>
  <c r="J98" i="6"/>
  <c r="J122" i="6"/>
  <c r="J74" i="6"/>
  <c r="J58" i="6"/>
  <c r="J43" i="6"/>
  <c r="J119" i="6"/>
  <c r="J103" i="6"/>
  <c r="J87" i="6"/>
  <c r="J71" i="6"/>
  <c r="J55" i="6"/>
  <c r="J39" i="6"/>
  <c r="J23" i="6"/>
  <c r="J24" i="6" s="1"/>
  <c r="J117" i="6"/>
  <c r="J101" i="6"/>
  <c r="J85" i="6"/>
  <c r="J69" i="6"/>
  <c r="J53" i="6"/>
  <c r="J37" i="6"/>
  <c r="J21" i="6"/>
  <c r="J115" i="6"/>
  <c r="J99" i="6"/>
  <c r="J83" i="6"/>
  <c r="J67" i="6"/>
  <c r="J51" i="6"/>
  <c r="J35" i="6"/>
  <c r="J36" i="6" s="1"/>
  <c r="J19" i="6"/>
  <c r="J82" i="6"/>
  <c r="J66" i="6"/>
  <c r="J50" i="6"/>
  <c r="J18" i="6"/>
  <c r="J17" i="6"/>
  <c r="J109" i="6"/>
  <c r="J93" i="6"/>
  <c r="J124" i="6"/>
  <c r="J108" i="6"/>
  <c r="J92" i="6"/>
  <c r="J76" i="6"/>
  <c r="J60" i="6"/>
  <c r="E5" i="2"/>
  <c r="K111" i="6"/>
  <c r="M111" i="6" s="1"/>
  <c r="C108" i="2" s="1"/>
  <c r="K95" i="6"/>
  <c r="M95" i="6" s="1"/>
  <c r="C92" i="2" s="1"/>
  <c r="K79" i="6"/>
  <c r="M79" i="6" s="1"/>
  <c r="C76" i="2" s="1"/>
  <c r="K63" i="6"/>
  <c r="M63" i="6" s="1"/>
  <c r="C60" i="2" s="1"/>
  <c r="K47" i="6"/>
  <c r="M47" i="6" s="1"/>
  <c r="C44" i="2" s="1"/>
  <c r="K29" i="6"/>
  <c r="M29" i="6" s="1"/>
  <c r="C26" i="2" s="1"/>
  <c r="J113" i="6"/>
  <c r="J97" i="6"/>
  <c r="J81" i="6"/>
  <c r="J65" i="6"/>
  <c r="J49" i="6"/>
  <c r="J32" i="6"/>
  <c r="K110" i="6"/>
  <c r="M110" i="6" s="1"/>
  <c r="C107" i="2" s="1"/>
  <c r="K94" i="6"/>
  <c r="M94" i="6" s="1"/>
  <c r="C91" i="2" s="1"/>
  <c r="K78" i="6"/>
  <c r="M78" i="6" s="1"/>
  <c r="C75" i="2" s="1"/>
  <c r="K62" i="6"/>
  <c r="M62" i="6" s="1"/>
  <c r="C59" i="2" s="1"/>
  <c r="K46" i="6"/>
  <c r="M46" i="6" s="1"/>
  <c r="C43" i="2" s="1"/>
  <c r="K28" i="6"/>
  <c r="M28" i="6" s="1"/>
  <c r="C25" i="2" s="1"/>
  <c r="J112" i="6"/>
  <c r="J96" i="6"/>
  <c r="J80" i="6"/>
  <c r="J64" i="6"/>
  <c r="K17" i="6"/>
  <c r="M17" i="6" s="1"/>
  <c r="C14" i="2" s="1"/>
  <c r="K109" i="6"/>
  <c r="M109" i="6" s="1"/>
  <c r="C106" i="2" s="1"/>
  <c r="K93" i="6"/>
  <c r="M93" i="6" s="1"/>
  <c r="C90" i="2" s="1"/>
  <c r="K77" i="6"/>
  <c r="M77" i="6" s="1"/>
  <c r="C74" i="2" s="1"/>
  <c r="K61" i="6"/>
  <c r="M61" i="6" s="1"/>
  <c r="C58" i="2" s="1"/>
  <c r="K45" i="6"/>
  <c r="M45" i="6" s="1"/>
  <c r="C42" i="2" s="1"/>
  <c r="K27" i="6"/>
  <c r="M27" i="6" s="1"/>
  <c r="C24" i="2" s="1"/>
  <c r="J30" i="6"/>
  <c r="J31" i="6" s="1"/>
  <c r="K124" i="6"/>
  <c r="M124" i="6" s="1"/>
  <c r="C121" i="2" s="1"/>
  <c r="K108" i="6"/>
  <c r="M108" i="6" s="1"/>
  <c r="C105" i="2" s="1"/>
  <c r="K92" i="6"/>
  <c r="M92" i="6" s="1"/>
  <c r="C89" i="2" s="1"/>
  <c r="K76" i="6"/>
  <c r="M76" i="6" s="1"/>
  <c r="C73" i="2" s="1"/>
  <c r="K60" i="6"/>
  <c r="M60" i="6" s="1"/>
  <c r="C57" i="2" s="1"/>
  <c r="K44" i="6"/>
  <c r="M44" i="6" s="1"/>
  <c r="C41" i="2" s="1"/>
  <c r="K26" i="6"/>
  <c r="M26" i="6" s="1"/>
  <c r="C23" i="2" s="1"/>
  <c r="K123" i="6"/>
  <c r="M123" i="6" s="1"/>
  <c r="C120" i="2" s="1"/>
  <c r="K107" i="6"/>
  <c r="M107" i="6" s="1"/>
  <c r="C104" i="2" s="1"/>
  <c r="K91" i="6"/>
  <c r="M91" i="6" s="1"/>
  <c r="C88" i="2" s="1"/>
  <c r="K75" i="6"/>
  <c r="M75" i="6" s="1"/>
  <c r="C72" i="2" s="1"/>
  <c r="K59" i="6"/>
  <c r="M59" i="6" s="1"/>
  <c r="C56" i="2" s="1"/>
  <c r="K25" i="6"/>
  <c r="M25" i="6" s="1"/>
  <c r="C22" i="2" s="1"/>
  <c r="K122" i="6"/>
  <c r="M122" i="6" s="1"/>
  <c r="C119" i="2" s="1"/>
  <c r="K106" i="6"/>
  <c r="M106" i="6" s="1"/>
  <c r="C103" i="2" s="1"/>
  <c r="K90" i="6"/>
  <c r="M90" i="6" s="1"/>
  <c r="C87" i="2" s="1"/>
  <c r="K74" i="6"/>
  <c r="M74" i="6" s="1"/>
  <c r="C71" i="2" s="1"/>
  <c r="K58" i="6"/>
  <c r="M58" i="6" s="1"/>
  <c r="C55" i="2" s="1"/>
  <c r="K42" i="6"/>
  <c r="M42" i="6" s="1"/>
  <c r="C39" i="2" s="1"/>
  <c r="K23" i="6"/>
  <c r="M23" i="6" s="1"/>
  <c r="C20" i="2" s="1"/>
  <c r="K121" i="6"/>
  <c r="M121" i="6" s="1"/>
  <c r="C118" i="2" s="1"/>
  <c r="K105" i="6"/>
  <c r="M105" i="6" s="1"/>
  <c r="C102" i="2" s="1"/>
  <c r="K89" i="6"/>
  <c r="M89" i="6" s="1"/>
  <c r="C86" i="2" s="1"/>
  <c r="K73" i="6"/>
  <c r="M73" i="6" s="1"/>
  <c r="C70" i="2" s="1"/>
  <c r="K57" i="6"/>
  <c r="M57" i="6" s="1"/>
  <c r="C54" i="2" s="1"/>
  <c r="K41" i="6"/>
  <c r="M41" i="6" s="1"/>
  <c r="C38" i="2" s="1"/>
  <c r="K22" i="6"/>
  <c r="M22" i="6" s="1"/>
  <c r="C19" i="2" s="1"/>
  <c r="K120" i="6"/>
  <c r="M120" i="6" s="1"/>
  <c r="C117" i="2" s="1"/>
  <c r="K104" i="6"/>
  <c r="M104" i="6" s="1"/>
  <c r="C101" i="2" s="1"/>
  <c r="K88" i="6"/>
  <c r="M88" i="6" s="1"/>
  <c r="C85" i="2" s="1"/>
  <c r="K72" i="6"/>
  <c r="M72" i="6" s="1"/>
  <c r="C69" i="2" s="1"/>
  <c r="K56" i="6"/>
  <c r="M56" i="6" s="1"/>
  <c r="C53" i="2" s="1"/>
  <c r="K40" i="6"/>
  <c r="M40" i="6" s="1"/>
  <c r="C37" i="2" s="1"/>
  <c r="K21" i="6"/>
  <c r="M21" i="6" s="1"/>
  <c r="C18" i="2" s="1"/>
  <c r="K119" i="6"/>
  <c r="M119" i="6" s="1"/>
  <c r="C116" i="2" s="1"/>
  <c r="K103" i="6"/>
  <c r="M103" i="6" s="1"/>
  <c r="C100" i="2" s="1"/>
  <c r="K87" i="6"/>
  <c r="M87" i="6" s="1"/>
  <c r="C84" i="2" s="1"/>
  <c r="K71" i="6"/>
  <c r="M71" i="6" s="1"/>
  <c r="C68" i="2" s="1"/>
  <c r="K55" i="6"/>
  <c r="M55" i="6" s="1"/>
  <c r="C52" i="2" s="1"/>
  <c r="K39" i="6"/>
  <c r="M39" i="6" s="1"/>
  <c r="C36" i="2" s="1"/>
  <c r="K20" i="6"/>
  <c r="M20" i="6" s="1"/>
  <c r="C17" i="2" s="1"/>
  <c r="K118" i="6"/>
  <c r="M118" i="6" s="1"/>
  <c r="C115" i="2" s="1"/>
  <c r="K102" i="6"/>
  <c r="M102" i="6" s="1"/>
  <c r="C99" i="2" s="1"/>
  <c r="K86" i="6"/>
  <c r="M86" i="6" s="1"/>
  <c r="C83" i="2" s="1"/>
  <c r="K70" i="6"/>
  <c r="M70" i="6" s="1"/>
  <c r="C67" i="2" s="1"/>
  <c r="K54" i="6"/>
  <c r="M54" i="6" s="1"/>
  <c r="C51" i="2" s="1"/>
  <c r="K38" i="6"/>
  <c r="M38" i="6" s="1"/>
  <c r="C35" i="2" s="1"/>
  <c r="K19" i="6"/>
  <c r="M19" i="6" s="1"/>
  <c r="C16" i="2" s="1"/>
  <c r="K117" i="6"/>
  <c r="M117" i="6" s="1"/>
  <c r="C114" i="2" s="1"/>
  <c r="K101" i="6"/>
  <c r="M101" i="6" s="1"/>
  <c r="C98" i="2" s="1"/>
  <c r="K85" i="6"/>
  <c r="M85" i="6" s="1"/>
  <c r="C82" i="2" s="1"/>
  <c r="K69" i="6"/>
  <c r="M69" i="6" s="1"/>
  <c r="C66" i="2" s="1"/>
  <c r="K53" i="6"/>
  <c r="M53" i="6" s="1"/>
  <c r="C50" i="2" s="1"/>
  <c r="K37" i="6"/>
  <c r="M37" i="6" s="1"/>
  <c r="C34" i="2" s="1"/>
  <c r="K18" i="6"/>
  <c r="M18" i="6" s="1"/>
  <c r="C15" i="2" s="1"/>
  <c r="K116" i="6"/>
  <c r="M116" i="6" s="1"/>
  <c r="C113" i="2" s="1"/>
  <c r="K100" i="6"/>
  <c r="M100" i="6" s="1"/>
  <c r="C97" i="2" s="1"/>
  <c r="K84" i="6"/>
  <c r="M84" i="6" s="1"/>
  <c r="C81" i="2" s="1"/>
  <c r="K68" i="6"/>
  <c r="M68" i="6" s="1"/>
  <c r="C65" i="2" s="1"/>
  <c r="K52" i="6"/>
  <c r="M52" i="6" s="1"/>
  <c r="C49" i="2" s="1"/>
  <c r="K35" i="6"/>
  <c r="M35" i="6" s="1"/>
  <c r="C32" i="2" s="1"/>
  <c r="K115" i="6"/>
  <c r="M115" i="6" s="1"/>
  <c r="C112" i="2" s="1"/>
  <c r="K99" i="6"/>
  <c r="M99" i="6" s="1"/>
  <c r="C96" i="2" s="1"/>
  <c r="K83" i="6"/>
  <c r="M83" i="6" s="1"/>
  <c r="C80" i="2" s="1"/>
  <c r="K67" i="6"/>
  <c r="M67" i="6" s="1"/>
  <c r="C64" i="2" s="1"/>
  <c r="K51" i="6"/>
  <c r="M51" i="6" s="1"/>
  <c r="C48" i="2" s="1"/>
  <c r="K34" i="6"/>
  <c r="M34" i="6" s="1"/>
  <c r="C31" i="2" s="1"/>
  <c r="K114" i="6"/>
  <c r="M114" i="6" s="1"/>
  <c r="C111" i="2" s="1"/>
  <c r="K98" i="6"/>
  <c r="M98" i="6" s="1"/>
  <c r="C95" i="2" s="1"/>
  <c r="K82" i="6"/>
  <c r="M82" i="6" s="1"/>
  <c r="C79" i="2" s="1"/>
  <c r="K66" i="6"/>
  <c r="M66" i="6" s="1"/>
  <c r="C63" i="2" s="1"/>
  <c r="K50" i="6"/>
  <c r="M50" i="6" s="1"/>
  <c r="C47" i="2" s="1"/>
  <c r="K33" i="6"/>
  <c r="M33" i="6" s="1"/>
  <c r="C30" i="2" s="1"/>
  <c r="E2" i="2"/>
  <c r="E11" i="2"/>
  <c r="E7" i="2"/>
  <c r="D2" i="2"/>
  <c r="E13" i="2"/>
  <c r="E9" i="2"/>
  <c r="E12" i="2"/>
  <c r="B5" i="3"/>
  <c r="F5" i="3" s="1"/>
  <c r="J5" i="3" s="1"/>
  <c r="B4" i="3"/>
  <c r="F4" i="3" s="1"/>
  <c r="J4" i="3" s="1"/>
  <c r="F3" i="3"/>
  <c r="J3" i="3" s="1"/>
  <c r="R5" i="5"/>
  <c r="H5" i="5" l="1"/>
  <c r="T5" i="5"/>
  <c r="Q6" i="5" s="1"/>
  <c r="E4" i="2"/>
  <c r="E8" i="2"/>
  <c r="E6" i="2"/>
  <c r="E3" i="2"/>
  <c r="D94" i="7"/>
  <c r="D5" i="7"/>
  <c r="E46" i="7"/>
  <c r="D95" i="7"/>
  <c r="E5" i="5"/>
  <c r="D5" i="5"/>
  <c r="L114" i="6"/>
  <c r="L34" i="6"/>
  <c r="L117" i="6"/>
  <c r="L62" i="6"/>
  <c r="L83" i="6"/>
  <c r="L19" i="6"/>
  <c r="L56" i="6"/>
  <c r="L90" i="6"/>
  <c r="L78" i="6"/>
  <c r="L79" i="6"/>
  <c r="L46" i="6"/>
  <c r="L40" i="6"/>
  <c r="L99" i="6"/>
  <c r="L38" i="6"/>
  <c r="L72" i="6"/>
  <c r="L106" i="6"/>
  <c r="L27" i="6"/>
  <c r="L94" i="6"/>
  <c r="L103" i="6"/>
  <c r="L85" i="6"/>
  <c r="L124" i="6"/>
  <c r="L115" i="6"/>
  <c r="L54" i="6"/>
  <c r="L88" i="6"/>
  <c r="L122" i="6"/>
  <c r="L45" i="6"/>
  <c r="L110" i="6"/>
  <c r="L69" i="6"/>
  <c r="L95" i="6"/>
  <c r="L101" i="6"/>
  <c r="L67" i="6"/>
  <c r="L35" i="6"/>
  <c r="L70" i="6"/>
  <c r="L104" i="6"/>
  <c r="L25" i="6"/>
  <c r="L61" i="6"/>
  <c r="L23" i="6"/>
  <c r="L42" i="6"/>
  <c r="L111" i="6"/>
  <c r="L74" i="6"/>
  <c r="L52" i="6"/>
  <c r="L86" i="6"/>
  <c r="L120" i="6"/>
  <c r="L59" i="6"/>
  <c r="L77" i="6"/>
  <c r="L108" i="6"/>
  <c r="L93" i="6"/>
  <c r="L84" i="6"/>
  <c r="L118" i="6"/>
  <c r="L41" i="6"/>
  <c r="L91" i="6"/>
  <c r="L109" i="6"/>
  <c r="L92" i="6"/>
  <c r="L51" i="6"/>
  <c r="L102" i="6"/>
  <c r="L57" i="6"/>
  <c r="L50" i="6"/>
  <c r="L116" i="6"/>
  <c r="L39" i="6"/>
  <c r="L73" i="6"/>
  <c r="L123" i="6"/>
  <c r="L28" i="6"/>
  <c r="L68" i="6"/>
  <c r="L33" i="6"/>
  <c r="L100" i="6"/>
  <c r="L17" i="6"/>
  <c r="L66" i="6"/>
  <c r="L18" i="6"/>
  <c r="L55" i="6"/>
  <c r="L89" i="6"/>
  <c r="L26" i="6"/>
  <c r="L29" i="6"/>
  <c r="L58" i="6"/>
  <c r="L75" i="6"/>
  <c r="L107" i="6"/>
  <c r="L82" i="6"/>
  <c r="L37" i="6"/>
  <c r="L71" i="6"/>
  <c r="L105" i="6"/>
  <c r="L44" i="6"/>
  <c r="L47" i="6"/>
  <c r="L76" i="6"/>
  <c r="L119" i="6"/>
  <c r="L21" i="6"/>
  <c r="L22" i="6"/>
  <c r="L20" i="6"/>
  <c r="L98" i="6"/>
  <c r="L53" i="6"/>
  <c r="L87" i="6"/>
  <c r="L121" i="6"/>
  <c r="L60" i="6"/>
  <c r="L63" i="6"/>
  <c r="J2" i="6"/>
  <c r="K31" i="6" s="1"/>
  <c r="M31" i="6" s="1"/>
  <c r="C28" i="2" s="1"/>
  <c r="E14" i="2"/>
  <c r="E5" i="7"/>
  <c r="D14" i="7"/>
  <c r="E14" i="7"/>
  <c r="D111" i="7"/>
  <c r="E111" i="7"/>
  <c r="D30" i="7"/>
  <c r="E30" i="7"/>
  <c r="D41" i="7"/>
  <c r="E41" i="7"/>
  <c r="E3" i="7"/>
  <c r="D3" i="7"/>
  <c r="D46" i="7"/>
  <c r="D8" i="7"/>
  <c r="E8" i="7"/>
  <c r="D10" i="7"/>
  <c r="E10" i="7"/>
  <c r="D12" i="7"/>
  <c r="E12" i="7"/>
  <c r="D62" i="7"/>
  <c r="E62" i="7"/>
  <c r="D4" i="7"/>
  <c r="E4" i="7"/>
  <c r="D6" i="7"/>
  <c r="E6" i="7"/>
  <c r="D28" i="7"/>
  <c r="E28" i="7"/>
  <c r="D78" i="7"/>
  <c r="E78" i="7"/>
  <c r="D110" i="7"/>
  <c r="E110" i="7"/>
  <c r="D47" i="7"/>
  <c r="E47" i="7"/>
  <c r="D13" i="7"/>
  <c r="E13" i="7"/>
  <c r="D63" i="7"/>
  <c r="E63" i="7"/>
  <c r="D7" i="7"/>
  <c r="E7" i="7"/>
  <c r="D9" i="7"/>
  <c r="E9" i="7"/>
  <c r="D11" i="7"/>
  <c r="E11" i="7"/>
  <c r="D79" i="7"/>
  <c r="E79" i="7"/>
  <c r="D6" i="2"/>
  <c r="D16" i="5"/>
  <c r="C4" i="3"/>
  <c r="E4" i="3" s="1"/>
  <c r="E10" i="2"/>
  <c r="E17" i="2"/>
  <c r="C12" i="3"/>
  <c r="E12" i="3" s="1"/>
  <c r="E29" i="2"/>
  <c r="C7" i="3"/>
  <c r="D7" i="3" s="1"/>
  <c r="D3" i="2"/>
  <c r="C11" i="3"/>
  <c r="D11" i="3" s="1"/>
  <c r="D10" i="2"/>
  <c r="C8" i="3"/>
  <c r="D8" i="3" s="1"/>
  <c r="A5" i="3"/>
  <c r="A6" i="3" s="1"/>
  <c r="D7" i="2"/>
  <c r="E10" i="5"/>
  <c r="D13" i="5"/>
  <c r="D13" i="2"/>
  <c r="C14" i="3"/>
  <c r="D14" i="3" s="1"/>
  <c r="D11" i="2"/>
  <c r="C3" i="3"/>
  <c r="E3" i="3" s="1"/>
  <c r="D8" i="2"/>
  <c r="C9" i="3"/>
  <c r="D12" i="2"/>
  <c r="C13" i="3"/>
  <c r="C18" i="3"/>
  <c r="D18" i="3" s="1"/>
  <c r="C5" i="3"/>
  <c r="D4" i="2"/>
  <c r="D5" i="2"/>
  <c r="C10" i="3"/>
  <c r="E6" i="5"/>
  <c r="D9" i="2"/>
  <c r="D17" i="2"/>
  <c r="C6" i="3"/>
  <c r="E6" i="3" s="1"/>
  <c r="E12" i="5"/>
  <c r="E16" i="5"/>
  <c r="B6" i="3"/>
  <c r="F6" i="3" s="1"/>
  <c r="J6" i="3" s="1"/>
  <c r="G5" i="5" l="1"/>
  <c r="K5" i="5"/>
  <c r="E94" i="7"/>
  <c r="G94" i="7" s="1"/>
  <c r="R6" i="5"/>
  <c r="H6" i="5" s="1"/>
  <c r="K5" i="7"/>
  <c r="K3" i="7"/>
  <c r="E95" i="7"/>
  <c r="G95" i="7" s="1"/>
  <c r="K4" i="7"/>
  <c r="D91" i="7"/>
  <c r="D108" i="7"/>
  <c r="E113" i="7"/>
  <c r="D64" i="7"/>
  <c r="E87" i="7"/>
  <c r="D17" i="7"/>
  <c r="D118" i="7"/>
  <c r="E115" i="7"/>
  <c r="D109" i="7"/>
  <c r="D25" i="7"/>
  <c r="E65" i="7"/>
  <c r="E40" i="7"/>
  <c r="D93" i="7"/>
  <c r="D54" i="7"/>
  <c r="E36" i="7"/>
  <c r="K6" i="7"/>
  <c r="E37" i="7"/>
  <c r="D33" i="7"/>
  <c r="D103" i="7"/>
  <c r="D122" i="7"/>
  <c r="E96" i="7"/>
  <c r="E106" i="7"/>
  <c r="E99" i="7"/>
  <c r="D39" i="7"/>
  <c r="E89" i="7"/>
  <c r="D101" i="7"/>
  <c r="E75" i="7"/>
  <c r="D81" i="7"/>
  <c r="D44" i="7"/>
  <c r="D24" i="7"/>
  <c r="D52" i="7"/>
  <c r="D26" i="7"/>
  <c r="D70" i="7"/>
  <c r="E64" i="7"/>
  <c r="E17" i="7"/>
  <c r="E118" i="7"/>
  <c r="D36" i="7"/>
  <c r="E52" i="7"/>
  <c r="D113" i="7"/>
  <c r="D106" i="7"/>
  <c r="E39" i="7"/>
  <c r="D115" i="7"/>
  <c r="E26" i="2"/>
  <c r="E70" i="7"/>
  <c r="E25" i="7"/>
  <c r="E30" i="2"/>
  <c r="E19" i="2"/>
  <c r="E54" i="7"/>
  <c r="L31" i="6"/>
  <c r="E18" i="2"/>
  <c r="E20" i="5"/>
  <c r="D99" i="7"/>
  <c r="D40" i="7"/>
  <c r="E44" i="7"/>
  <c r="D87" i="7"/>
  <c r="K24" i="6"/>
  <c r="E122" i="7"/>
  <c r="E109" i="7"/>
  <c r="E26" i="7"/>
  <c r="G28" i="7"/>
  <c r="D89" i="7"/>
  <c r="E81" i="7"/>
  <c r="E108" i="7"/>
  <c r="G12" i="7"/>
  <c r="L12" i="7" s="1"/>
  <c r="E101" i="7"/>
  <c r="E93" i="7"/>
  <c r="D37" i="7"/>
  <c r="E24" i="7"/>
  <c r="E103" i="7"/>
  <c r="D75" i="7"/>
  <c r="D65" i="7"/>
  <c r="E33" i="7"/>
  <c r="D96" i="7"/>
  <c r="E91" i="7"/>
  <c r="D12" i="3"/>
  <c r="G12" i="3" s="1"/>
  <c r="G8" i="7"/>
  <c r="L8" i="7" s="1"/>
  <c r="G14" i="7"/>
  <c r="G110" i="7"/>
  <c r="G62" i="7"/>
  <c r="G46" i="7"/>
  <c r="G41" i="7"/>
  <c r="G30" i="7"/>
  <c r="G11" i="7"/>
  <c r="L11" i="7" s="1"/>
  <c r="G63" i="7"/>
  <c r="G6" i="7"/>
  <c r="G9" i="7"/>
  <c r="G7" i="7"/>
  <c r="L7" i="7" s="1"/>
  <c r="G4" i="7"/>
  <c r="G10" i="7"/>
  <c r="G13" i="7"/>
  <c r="G3" i="7"/>
  <c r="D4" i="3"/>
  <c r="G4" i="3" s="1"/>
  <c r="L4" i="3" s="1"/>
  <c r="G47" i="7"/>
  <c r="G78" i="7"/>
  <c r="G111" i="7"/>
  <c r="G79" i="7"/>
  <c r="E11" i="3"/>
  <c r="G11" i="3" s="1"/>
  <c r="G5" i="7"/>
  <c r="L5" i="7" s="1"/>
  <c r="G6" i="5"/>
  <c r="L6" i="5" s="1"/>
  <c r="K6" i="5"/>
  <c r="K16" i="5"/>
  <c r="G16" i="5"/>
  <c r="E7" i="3"/>
  <c r="G7" i="3" s="1"/>
  <c r="D18" i="5"/>
  <c r="E8" i="3"/>
  <c r="G8" i="3" s="1"/>
  <c r="E13" i="5"/>
  <c r="G13" i="5" s="1"/>
  <c r="D10" i="5"/>
  <c r="E31" i="2"/>
  <c r="A7" i="3"/>
  <c r="E27" i="2"/>
  <c r="E20" i="2"/>
  <c r="E42" i="2"/>
  <c r="E38" i="2"/>
  <c r="D9" i="5"/>
  <c r="E9" i="5"/>
  <c r="D18" i="2"/>
  <c r="C19" i="3"/>
  <c r="E14" i="3"/>
  <c r="D3" i="3"/>
  <c r="K3" i="3" s="1"/>
  <c r="D14" i="5"/>
  <c r="E14" i="5"/>
  <c r="E18" i="3"/>
  <c r="G18" i="3" s="1"/>
  <c r="E7" i="5"/>
  <c r="D7" i="5"/>
  <c r="D13" i="3"/>
  <c r="E13" i="3"/>
  <c r="E9" i="3"/>
  <c r="D9" i="3"/>
  <c r="D5" i="3"/>
  <c r="E5" i="3"/>
  <c r="D6" i="3"/>
  <c r="K6" i="3" s="1"/>
  <c r="E15" i="5"/>
  <c r="D15" i="5"/>
  <c r="D11" i="5"/>
  <c r="E11" i="5"/>
  <c r="D12" i="5"/>
  <c r="C30" i="3"/>
  <c r="D29" i="2"/>
  <c r="D8" i="5"/>
  <c r="E8" i="5"/>
  <c r="E10" i="3"/>
  <c r="D10" i="3"/>
  <c r="C15" i="3"/>
  <c r="D14" i="2"/>
  <c r="B7" i="3"/>
  <c r="G40" i="7" l="1"/>
  <c r="G91" i="7"/>
  <c r="G24" i="7"/>
  <c r="T6" i="5"/>
  <c r="Q7" i="5" s="1"/>
  <c r="G17" i="7"/>
  <c r="R7" i="5"/>
  <c r="H7" i="5" s="1"/>
  <c r="G33" i="7"/>
  <c r="G81" i="7"/>
  <c r="G36" i="7"/>
  <c r="G70" i="7"/>
  <c r="G65" i="7"/>
  <c r="G101" i="7"/>
  <c r="G113" i="7"/>
  <c r="G118" i="7"/>
  <c r="G122" i="7"/>
  <c r="G64" i="7"/>
  <c r="G87" i="7"/>
  <c r="G39" i="7"/>
  <c r="G26" i="7"/>
  <c r="G109" i="7"/>
  <c r="G25" i="7"/>
  <c r="D102" i="7"/>
  <c r="E114" i="7"/>
  <c r="E117" i="7"/>
  <c r="E20" i="7"/>
  <c r="D51" i="7"/>
  <c r="E97" i="7"/>
  <c r="D67" i="7"/>
  <c r="E35" i="7"/>
  <c r="D43" i="7"/>
  <c r="D35" i="7"/>
  <c r="G108" i="7"/>
  <c r="E57" i="7"/>
  <c r="D53" i="7"/>
  <c r="D80" i="7"/>
  <c r="E48" i="7"/>
  <c r="D90" i="7"/>
  <c r="E38" i="7"/>
  <c r="G52" i="7"/>
  <c r="D61" i="7"/>
  <c r="D69" i="7"/>
  <c r="E73" i="7"/>
  <c r="D86" i="7"/>
  <c r="E104" i="7"/>
  <c r="D85" i="7"/>
  <c r="E71" i="7"/>
  <c r="D104" i="7"/>
  <c r="G37" i="7"/>
  <c r="D112" i="7"/>
  <c r="D76" i="7"/>
  <c r="G103" i="7"/>
  <c r="D92" i="7"/>
  <c r="M24" i="6"/>
  <c r="C21" i="2" s="1"/>
  <c r="G44" i="7"/>
  <c r="D31" i="7"/>
  <c r="D119" i="7"/>
  <c r="E27" i="7"/>
  <c r="D32" i="7"/>
  <c r="G115" i="7"/>
  <c r="G89" i="7"/>
  <c r="D20" i="5"/>
  <c r="G20" i="5" s="1"/>
  <c r="E102" i="7"/>
  <c r="E69" i="7"/>
  <c r="G106" i="7"/>
  <c r="E32" i="7"/>
  <c r="E85" i="7"/>
  <c r="E53" i="7"/>
  <c r="E86" i="7"/>
  <c r="D117" i="7"/>
  <c r="D38" i="7"/>
  <c r="D27" i="7"/>
  <c r="D114" i="7"/>
  <c r="M5" i="7"/>
  <c r="N5" i="7" s="1"/>
  <c r="D73" i="7"/>
  <c r="E119" i="7"/>
  <c r="G93" i="7"/>
  <c r="E43" i="7"/>
  <c r="G54" i="7"/>
  <c r="D48" i="7"/>
  <c r="E51" i="7"/>
  <c r="D57" i="7"/>
  <c r="G57" i="7" s="1"/>
  <c r="E61" i="7"/>
  <c r="D97" i="7"/>
  <c r="D71" i="7"/>
  <c r="E112" i="7"/>
  <c r="E76" i="7"/>
  <c r="E80" i="7"/>
  <c r="E67" i="7"/>
  <c r="E120" i="7"/>
  <c r="D120" i="7"/>
  <c r="G75" i="7"/>
  <c r="E19" i="7"/>
  <c r="D19" i="7"/>
  <c r="D84" i="7"/>
  <c r="E84" i="7"/>
  <c r="D21" i="7"/>
  <c r="E21" i="7"/>
  <c r="E45" i="7"/>
  <c r="D45" i="7"/>
  <c r="D121" i="7"/>
  <c r="E121" i="7"/>
  <c r="D16" i="7"/>
  <c r="E16" i="7"/>
  <c r="E49" i="7"/>
  <c r="D49" i="7"/>
  <c r="D82" i="7"/>
  <c r="E82" i="7"/>
  <c r="E90" i="7"/>
  <c r="D50" i="7"/>
  <c r="E50" i="7"/>
  <c r="E31" i="7"/>
  <c r="D116" i="7"/>
  <c r="E116" i="7"/>
  <c r="D23" i="7"/>
  <c r="E23" i="7"/>
  <c r="E60" i="7"/>
  <c r="D60" i="7"/>
  <c r="D42" i="7"/>
  <c r="E42" i="7"/>
  <c r="E88" i="7"/>
  <c r="D88" i="7"/>
  <c r="D83" i="7"/>
  <c r="E83" i="7"/>
  <c r="D105" i="7"/>
  <c r="E105" i="7"/>
  <c r="E55" i="7"/>
  <c r="D55" i="7"/>
  <c r="D59" i="7"/>
  <c r="E59" i="7"/>
  <c r="E92" i="7"/>
  <c r="D77" i="7"/>
  <c r="E77" i="7"/>
  <c r="D58" i="7"/>
  <c r="E58" i="7"/>
  <c r="E72" i="7"/>
  <c r="D72" i="7"/>
  <c r="D56" i="7"/>
  <c r="E56" i="7"/>
  <c r="D100" i="7"/>
  <c r="E100" i="7"/>
  <c r="G99" i="7"/>
  <c r="D66" i="7"/>
  <c r="E66" i="7"/>
  <c r="D20" i="7"/>
  <c r="D15" i="7"/>
  <c r="E15" i="7"/>
  <c r="E68" i="7"/>
  <c r="D68" i="7"/>
  <c r="E107" i="7"/>
  <c r="D107" i="7"/>
  <c r="D98" i="7"/>
  <c r="E98" i="7"/>
  <c r="D74" i="7"/>
  <c r="E74" i="7"/>
  <c r="K36" i="6"/>
  <c r="M36" i="6" s="1"/>
  <c r="C33" i="2" s="1"/>
  <c r="L24" i="6"/>
  <c r="D18" i="7"/>
  <c r="E18" i="7"/>
  <c r="G96" i="7"/>
  <c r="K13" i="5"/>
  <c r="K4" i="3"/>
  <c r="M4" i="3" s="1"/>
  <c r="N4" i="3" s="1"/>
  <c r="D29" i="7"/>
  <c r="E29" i="7"/>
  <c r="M6" i="5"/>
  <c r="N6" i="5" s="1"/>
  <c r="K10" i="5"/>
  <c r="G10" i="5"/>
  <c r="K12" i="5"/>
  <c r="G12" i="5"/>
  <c r="G7" i="5"/>
  <c r="K7" i="5"/>
  <c r="K14" i="5"/>
  <c r="G14" i="5"/>
  <c r="G11" i="5"/>
  <c r="K11" i="5"/>
  <c r="K8" i="5"/>
  <c r="G8" i="5"/>
  <c r="K15" i="5"/>
  <c r="G15" i="5"/>
  <c r="K9" i="5"/>
  <c r="G9" i="5"/>
  <c r="L4" i="7"/>
  <c r="C42" i="3"/>
  <c r="D42" i="3" s="1"/>
  <c r="E41" i="2"/>
  <c r="D16" i="2"/>
  <c r="E16" i="2"/>
  <c r="E15" i="2"/>
  <c r="D15" i="2"/>
  <c r="C16" i="3"/>
  <c r="E16" i="3" s="1"/>
  <c r="E53" i="2"/>
  <c r="L6" i="7"/>
  <c r="E18" i="5"/>
  <c r="K18" i="5" s="1"/>
  <c r="C17" i="3"/>
  <c r="E17" i="3" s="1"/>
  <c r="E19" i="5"/>
  <c r="E43" i="2"/>
  <c r="C20" i="3"/>
  <c r="D19" i="2"/>
  <c r="E28" i="2"/>
  <c r="E32" i="2"/>
  <c r="E39" i="2"/>
  <c r="E21" i="2"/>
  <c r="G14" i="3"/>
  <c r="E50" i="2"/>
  <c r="E54" i="2"/>
  <c r="G3" i="3"/>
  <c r="L3" i="3" s="1"/>
  <c r="M3" i="3" s="1"/>
  <c r="N3" i="3" s="1"/>
  <c r="D19" i="3"/>
  <c r="E19" i="3"/>
  <c r="C31" i="3"/>
  <c r="D30" i="2"/>
  <c r="D21" i="5"/>
  <c r="E21" i="5"/>
  <c r="K5" i="3"/>
  <c r="L14" i="7"/>
  <c r="D41" i="2"/>
  <c r="D44" i="5"/>
  <c r="G5" i="3"/>
  <c r="L5" i="3" s="1"/>
  <c r="G10" i="3"/>
  <c r="L5" i="5"/>
  <c r="M5" i="5" s="1"/>
  <c r="G9" i="3"/>
  <c r="G6" i="3"/>
  <c r="L6" i="3" s="1"/>
  <c r="M6" i="3" s="1"/>
  <c r="L9" i="7"/>
  <c r="G13" i="3"/>
  <c r="L13" i="7"/>
  <c r="D32" i="5"/>
  <c r="E32" i="5"/>
  <c r="L10" i="7"/>
  <c r="E30" i="3"/>
  <c r="D30" i="3"/>
  <c r="L3" i="7"/>
  <c r="M3" i="7" s="1"/>
  <c r="E15" i="3"/>
  <c r="D15" i="3"/>
  <c r="D26" i="2"/>
  <c r="C27" i="3"/>
  <c r="E17" i="5"/>
  <c r="D17" i="5"/>
  <c r="F7" i="3"/>
  <c r="K7" i="7" s="1"/>
  <c r="M7" i="7" s="1"/>
  <c r="N7" i="7" s="1"/>
  <c r="A8" i="3"/>
  <c r="B8" i="3"/>
  <c r="F8" i="3" s="1"/>
  <c r="K8" i="7" s="1"/>
  <c r="M8" i="7" s="1"/>
  <c r="N8" i="7" s="1"/>
  <c r="G53" i="7" l="1"/>
  <c r="G69" i="7"/>
  <c r="G80" i="7"/>
  <c r="L7" i="5"/>
  <c r="T7" i="5"/>
  <c r="Q8" i="5" s="1"/>
  <c r="K20" i="5"/>
  <c r="G32" i="7"/>
  <c r="G90" i="7"/>
  <c r="G35" i="7"/>
  <c r="G61" i="7"/>
  <c r="G119" i="7"/>
  <c r="E22" i="7"/>
  <c r="D22" i="7"/>
  <c r="G67" i="7"/>
  <c r="G71" i="7"/>
  <c r="G43" i="7"/>
  <c r="G117" i="7"/>
  <c r="G104" i="7"/>
  <c r="G51" i="7"/>
  <c r="G73" i="7"/>
  <c r="G76" i="7"/>
  <c r="G66" i="7"/>
  <c r="G102" i="7"/>
  <c r="G16" i="7"/>
  <c r="L16" i="7" s="1"/>
  <c r="G85" i="7"/>
  <c r="G86" i="7"/>
  <c r="G21" i="7"/>
  <c r="G114" i="7"/>
  <c r="G27" i="7"/>
  <c r="G38" i="7"/>
  <c r="G100" i="7"/>
  <c r="G48" i="7"/>
  <c r="G31" i="7"/>
  <c r="G59" i="7"/>
  <c r="G74" i="7"/>
  <c r="G18" i="7"/>
  <c r="L18" i="7" s="1"/>
  <c r="G97" i="7"/>
  <c r="G112" i="7"/>
  <c r="G72" i="7"/>
  <c r="G58" i="7"/>
  <c r="G83" i="7"/>
  <c r="G50" i="7"/>
  <c r="G15" i="7"/>
  <c r="L15" i="7" s="1"/>
  <c r="G88" i="7"/>
  <c r="G84" i="7"/>
  <c r="G20" i="7"/>
  <c r="G77" i="7"/>
  <c r="G19" i="7"/>
  <c r="L19" i="7" s="1"/>
  <c r="G120" i="7"/>
  <c r="G92" i="7"/>
  <c r="G42" i="7"/>
  <c r="G82" i="7"/>
  <c r="G60" i="7"/>
  <c r="G49" i="7"/>
  <c r="G68" i="7"/>
  <c r="L36" i="6"/>
  <c r="G23" i="7"/>
  <c r="G55" i="7"/>
  <c r="G98" i="7"/>
  <c r="G116" i="7"/>
  <c r="G121" i="7"/>
  <c r="G45" i="7"/>
  <c r="G107" i="7"/>
  <c r="G56" i="7"/>
  <c r="G105" i="7"/>
  <c r="G29" i="7"/>
  <c r="G18" i="5"/>
  <c r="K21" i="5"/>
  <c r="G21" i="5"/>
  <c r="K32" i="5"/>
  <c r="G32" i="5"/>
  <c r="M7" i="5"/>
  <c r="N7" i="5" s="1"/>
  <c r="M4" i="7"/>
  <c r="N4" i="7" s="1"/>
  <c r="G17" i="5"/>
  <c r="K17" i="5"/>
  <c r="M6" i="7"/>
  <c r="N6" i="7" s="1"/>
  <c r="E42" i="3"/>
  <c r="G42" i="3" s="1"/>
  <c r="D16" i="3"/>
  <c r="G16" i="3" s="1"/>
  <c r="D53" i="2"/>
  <c r="E65" i="2"/>
  <c r="E56" i="5"/>
  <c r="C54" i="3"/>
  <c r="E54" i="3" s="1"/>
  <c r="D19" i="5"/>
  <c r="D17" i="3"/>
  <c r="G17" i="3" s="1"/>
  <c r="G19" i="3"/>
  <c r="E51" i="2"/>
  <c r="E40" i="2"/>
  <c r="D22" i="5"/>
  <c r="E22" i="5"/>
  <c r="C32" i="3"/>
  <c r="D31" i="2"/>
  <c r="D27" i="2"/>
  <c r="C28" i="3"/>
  <c r="J7" i="3"/>
  <c r="L7" i="3" s="1"/>
  <c r="K7" i="3"/>
  <c r="E44" i="5"/>
  <c r="K44" i="5" s="1"/>
  <c r="E55" i="2"/>
  <c r="E20" i="3"/>
  <c r="D20" i="3"/>
  <c r="E44" i="2"/>
  <c r="J8" i="3"/>
  <c r="L8" i="3" s="1"/>
  <c r="K8" i="3"/>
  <c r="C21" i="3"/>
  <c r="D20" i="2"/>
  <c r="E33" i="2"/>
  <c r="E66" i="2"/>
  <c r="E62" i="2"/>
  <c r="N5" i="5"/>
  <c r="M5" i="3"/>
  <c r="N5" i="3" s="1"/>
  <c r="D33" i="5"/>
  <c r="E33" i="5"/>
  <c r="C43" i="3"/>
  <c r="D42" i="2"/>
  <c r="D31" i="3"/>
  <c r="E31" i="3"/>
  <c r="L30" i="7"/>
  <c r="N6" i="3"/>
  <c r="N3" i="7"/>
  <c r="G30" i="3"/>
  <c r="G15" i="3"/>
  <c r="D38" i="2"/>
  <c r="C39" i="3"/>
  <c r="D29" i="5"/>
  <c r="E29" i="5"/>
  <c r="D27" i="3"/>
  <c r="E27" i="3"/>
  <c r="A9" i="3"/>
  <c r="B9" i="3"/>
  <c r="F9" i="3" s="1"/>
  <c r="K9" i="7" s="1"/>
  <c r="G22" i="7" l="1"/>
  <c r="R8" i="5"/>
  <c r="H8" i="5" s="1"/>
  <c r="L8" i="5" s="1"/>
  <c r="M8" i="5" s="1"/>
  <c r="N8" i="5" s="1"/>
  <c r="T8" i="5"/>
  <c r="Q9" i="5" s="1"/>
  <c r="M9" i="7"/>
  <c r="N9" i="7" s="1"/>
  <c r="K19" i="5"/>
  <c r="G19" i="5"/>
  <c r="G29" i="5"/>
  <c r="K29" i="5"/>
  <c r="G33" i="5"/>
  <c r="K33" i="5"/>
  <c r="G22" i="5"/>
  <c r="K22" i="5"/>
  <c r="G44" i="5"/>
  <c r="E22" i="2"/>
  <c r="C66" i="3"/>
  <c r="D66" i="3" s="1"/>
  <c r="D56" i="5"/>
  <c r="D54" i="3"/>
  <c r="G54" i="3" s="1"/>
  <c r="G20" i="3"/>
  <c r="L17" i="7"/>
  <c r="M7" i="3"/>
  <c r="N7" i="3" s="1"/>
  <c r="E68" i="5"/>
  <c r="M8" i="3"/>
  <c r="N8" i="3" s="1"/>
  <c r="D65" i="2"/>
  <c r="L42" i="7"/>
  <c r="E56" i="2"/>
  <c r="E32" i="3"/>
  <c r="D32" i="3"/>
  <c r="E63" i="2"/>
  <c r="L20" i="7"/>
  <c r="D23" i="5"/>
  <c r="E23" i="5"/>
  <c r="C44" i="3"/>
  <c r="D43" i="2"/>
  <c r="E28" i="3"/>
  <c r="D28" i="3"/>
  <c r="C22" i="3"/>
  <c r="D21" i="2"/>
  <c r="D30" i="5"/>
  <c r="E30" i="5"/>
  <c r="C33" i="3"/>
  <c r="D32" i="2"/>
  <c r="E45" i="2"/>
  <c r="D34" i="5"/>
  <c r="E34" i="5"/>
  <c r="C40" i="3"/>
  <c r="D39" i="2"/>
  <c r="E34" i="2"/>
  <c r="C29" i="3"/>
  <c r="D28" i="2"/>
  <c r="J9" i="3"/>
  <c r="L9" i="3" s="1"/>
  <c r="K9" i="3"/>
  <c r="E67" i="2"/>
  <c r="D21" i="3"/>
  <c r="E21" i="3"/>
  <c r="E23" i="2"/>
  <c r="E52" i="2"/>
  <c r="E74" i="2"/>
  <c r="E78" i="2"/>
  <c r="G31" i="3"/>
  <c r="L31" i="7"/>
  <c r="D45" i="5"/>
  <c r="E45" i="5"/>
  <c r="C55" i="3"/>
  <c r="D54" i="2"/>
  <c r="D43" i="3"/>
  <c r="E43" i="3"/>
  <c r="L54" i="7"/>
  <c r="G27" i="3"/>
  <c r="C51" i="3"/>
  <c r="D50" i="2"/>
  <c r="E39" i="3"/>
  <c r="D39" i="3"/>
  <c r="D41" i="5"/>
  <c r="E41" i="5"/>
  <c r="L27" i="7"/>
  <c r="B10" i="3"/>
  <c r="F10" i="3" s="1"/>
  <c r="K10" i="7" s="1"/>
  <c r="A10" i="3"/>
  <c r="R9" i="5" l="1"/>
  <c r="H9" i="5" s="1"/>
  <c r="L9" i="5" s="1"/>
  <c r="M9" i="5" s="1"/>
  <c r="N9" i="5" s="1"/>
  <c r="M10" i="7"/>
  <c r="N10" i="7" s="1"/>
  <c r="D34" i="7"/>
  <c r="E34" i="7"/>
  <c r="E66" i="3"/>
  <c r="G66" i="3" s="1"/>
  <c r="K41" i="5"/>
  <c r="G41" i="5"/>
  <c r="K30" i="5"/>
  <c r="G30" i="5"/>
  <c r="G23" i="5"/>
  <c r="K23" i="5"/>
  <c r="G34" i="5"/>
  <c r="K34" i="5"/>
  <c r="K56" i="5"/>
  <c r="G56" i="5"/>
  <c r="G45" i="5"/>
  <c r="K45" i="5"/>
  <c r="D80" i="5"/>
  <c r="E77" i="2"/>
  <c r="E101" i="2"/>
  <c r="E89" i="2"/>
  <c r="D68" i="5"/>
  <c r="L21" i="7"/>
  <c r="G21" i="3"/>
  <c r="M9" i="3"/>
  <c r="N9" i="3" s="1"/>
  <c r="C78" i="3"/>
  <c r="D78" i="3" s="1"/>
  <c r="D77" i="2"/>
  <c r="G32" i="3"/>
  <c r="C52" i="3"/>
  <c r="D51" i="2"/>
  <c r="E75" i="2"/>
  <c r="E68" i="2"/>
  <c r="D29" i="3"/>
  <c r="E29" i="3"/>
  <c r="E42" i="5"/>
  <c r="D42" i="5"/>
  <c r="L28" i="7"/>
  <c r="E46" i="2"/>
  <c r="E35" i="5"/>
  <c r="D35" i="5"/>
  <c r="D22" i="3"/>
  <c r="E22" i="3"/>
  <c r="E64" i="2"/>
  <c r="C56" i="3"/>
  <c r="D55" i="2"/>
  <c r="E79" i="2"/>
  <c r="C34" i="3"/>
  <c r="D33" i="2"/>
  <c r="E40" i="3"/>
  <c r="D40" i="3"/>
  <c r="D33" i="3"/>
  <c r="E33" i="3"/>
  <c r="D89" i="2"/>
  <c r="D22" i="2"/>
  <c r="C23" i="3"/>
  <c r="L32" i="7"/>
  <c r="D40" i="2"/>
  <c r="C41" i="3"/>
  <c r="D31" i="5"/>
  <c r="E31" i="5"/>
  <c r="E35" i="2"/>
  <c r="D24" i="5"/>
  <c r="E24" i="5"/>
  <c r="E46" i="5"/>
  <c r="D46" i="5"/>
  <c r="E24" i="2"/>
  <c r="J10" i="3"/>
  <c r="L10" i="3" s="1"/>
  <c r="K10" i="3"/>
  <c r="D44" i="2"/>
  <c r="C45" i="3"/>
  <c r="G28" i="3"/>
  <c r="E44" i="3"/>
  <c r="D44" i="3"/>
  <c r="E57" i="2"/>
  <c r="E90" i="2"/>
  <c r="E86" i="2"/>
  <c r="G43" i="3"/>
  <c r="E55" i="3"/>
  <c r="D55" i="3"/>
  <c r="L43" i="7"/>
  <c r="D57" i="5"/>
  <c r="E57" i="5"/>
  <c r="C67" i="3"/>
  <c r="D66" i="2"/>
  <c r="L39" i="7"/>
  <c r="G39" i="3"/>
  <c r="E51" i="3"/>
  <c r="D51" i="3"/>
  <c r="D53" i="5"/>
  <c r="E53" i="5"/>
  <c r="D62" i="2"/>
  <c r="C63" i="3"/>
  <c r="A11" i="3"/>
  <c r="B11" i="3"/>
  <c r="F11" i="3" s="1"/>
  <c r="K11" i="7" s="1"/>
  <c r="M11" i="7" s="1"/>
  <c r="N11" i="7" s="1"/>
  <c r="T9" i="5" l="1"/>
  <c r="Q10" i="5" s="1"/>
  <c r="G34" i="7"/>
  <c r="K42" i="5"/>
  <c r="G42" i="5"/>
  <c r="K57" i="5"/>
  <c r="G57" i="5"/>
  <c r="K35" i="5"/>
  <c r="G35" i="5"/>
  <c r="K53" i="5"/>
  <c r="G53" i="5"/>
  <c r="K24" i="5"/>
  <c r="G24" i="5"/>
  <c r="K31" i="5"/>
  <c r="G31" i="5"/>
  <c r="K46" i="5"/>
  <c r="G46" i="5"/>
  <c r="K68" i="5"/>
  <c r="G68" i="5"/>
  <c r="E80" i="5"/>
  <c r="K80" i="5" s="1"/>
  <c r="E78" i="3"/>
  <c r="G78" i="3" s="1"/>
  <c r="E113" i="2"/>
  <c r="L44" i="7"/>
  <c r="G33" i="3"/>
  <c r="L66" i="7"/>
  <c r="E92" i="5"/>
  <c r="C90" i="3"/>
  <c r="D90" i="3" s="1"/>
  <c r="G22" i="3"/>
  <c r="L22" i="7"/>
  <c r="G40" i="3"/>
  <c r="E47" i="2"/>
  <c r="J11" i="3"/>
  <c r="L11" i="3" s="1"/>
  <c r="K11" i="3"/>
  <c r="M10" i="3"/>
  <c r="N10" i="3" s="1"/>
  <c r="E91" i="2"/>
  <c r="C24" i="3"/>
  <c r="D23" i="2"/>
  <c r="D41" i="3"/>
  <c r="E41" i="3"/>
  <c r="D25" i="5"/>
  <c r="E25" i="5"/>
  <c r="E69" i="2"/>
  <c r="E87" i="2"/>
  <c r="D56" i="2"/>
  <c r="C57" i="3"/>
  <c r="C68" i="3"/>
  <c r="D67" i="2"/>
  <c r="E58" i="2"/>
  <c r="L33" i="7"/>
  <c r="D45" i="3"/>
  <c r="E45" i="3"/>
  <c r="L40" i="7"/>
  <c r="E36" i="2"/>
  <c r="E36" i="5"/>
  <c r="D36" i="5"/>
  <c r="E80" i="2"/>
  <c r="D56" i="3"/>
  <c r="E56" i="3"/>
  <c r="D45" i="2"/>
  <c r="C46" i="3"/>
  <c r="G29" i="3"/>
  <c r="D52" i="3"/>
  <c r="E52" i="3"/>
  <c r="D47" i="5"/>
  <c r="E47" i="5"/>
  <c r="C35" i="3"/>
  <c r="D34" i="2"/>
  <c r="E43" i="5"/>
  <c r="D43" i="5"/>
  <c r="E58" i="5"/>
  <c r="D58" i="5"/>
  <c r="C102" i="3"/>
  <c r="G44" i="3"/>
  <c r="L29" i="7"/>
  <c r="E25" i="2"/>
  <c r="E23" i="3"/>
  <c r="D23" i="3"/>
  <c r="D34" i="3"/>
  <c r="E34" i="3"/>
  <c r="D63" i="2"/>
  <c r="C64" i="3"/>
  <c r="C53" i="3"/>
  <c r="D52" i="2"/>
  <c r="E76" i="2"/>
  <c r="D54" i="5"/>
  <c r="E54" i="5"/>
  <c r="E102" i="2"/>
  <c r="E98" i="2"/>
  <c r="G55" i="3"/>
  <c r="E69" i="5"/>
  <c r="D69" i="5"/>
  <c r="D78" i="2"/>
  <c r="C79" i="3"/>
  <c r="L55" i="7"/>
  <c r="E67" i="3"/>
  <c r="D67" i="3"/>
  <c r="L78" i="7"/>
  <c r="G51" i="3"/>
  <c r="L51" i="7"/>
  <c r="E65" i="5"/>
  <c r="D65" i="5"/>
  <c r="C75" i="3"/>
  <c r="D74" i="2"/>
  <c r="E63" i="3"/>
  <c r="D63" i="3"/>
  <c r="A12" i="3"/>
  <c r="B12" i="3"/>
  <c r="F12" i="3" s="1"/>
  <c r="K12" i="7" s="1"/>
  <c r="M12" i="7" s="1"/>
  <c r="N12" i="7" s="1"/>
  <c r="R10" i="5" l="1"/>
  <c r="H10" i="5" s="1"/>
  <c r="L10" i="5" s="1"/>
  <c r="T10" i="5"/>
  <c r="Q11" i="5" s="1"/>
  <c r="G80" i="5"/>
  <c r="K69" i="5"/>
  <c r="G69" i="5"/>
  <c r="K47" i="5"/>
  <c r="G47" i="5"/>
  <c r="K25" i="5"/>
  <c r="G25" i="5"/>
  <c r="G54" i="5"/>
  <c r="K54" i="5"/>
  <c r="G43" i="5"/>
  <c r="K43" i="5"/>
  <c r="G65" i="5"/>
  <c r="K65" i="5"/>
  <c r="K58" i="5"/>
  <c r="G58" i="5"/>
  <c r="K36" i="5"/>
  <c r="G36" i="5"/>
  <c r="E90" i="3"/>
  <c r="G90" i="3" s="1"/>
  <c r="M11" i="3"/>
  <c r="N11" i="3" s="1"/>
  <c r="D92" i="5"/>
  <c r="D101" i="2"/>
  <c r="G34" i="3"/>
  <c r="G23" i="3"/>
  <c r="D104" i="5"/>
  <c r="G45" i="3"/>
  <c r="L34" i="7"/>
  <c r="L23" i="7"/>
  <c r="L45" i="7"/>
  <c r="J12" i="3"/>
  <c r="L12" i="3" s="1"/>
  <c r="K12" i="3"/>
  <c r="E81" i="2"/>
  <c r="C36" i="3"/>
  <c r="D35" i="2"/>
  <c r="D57" i="3"/>
  <c r="E57" i="3"/>
  <c r="E103" i="2"/>
  <c r="D75" i="2"/>
  <c r="C76" i="3"/>
  <c r="E53" i="3"/>
  <c r="D53" i="3"/>
  <c r="E64" i="3"/>
  <c r="D64" i="3"/>
  <c r="D24" i="2"/>
  <c r="C25" i="3"/>
  <c r="D35" i="3"/>
  <c r="E35" i="3"/>
  <c r="G52" i="3"/>
  <c r="G56" i="3"/>
  <c r="L41" i="7"/>
  <c r="E37" i="2"/>
  <c r="C58" i="3"/>
  <c r="D57" i="2"/>
  <c r="D68" i="2"/>
  <c r="C69" i="3"/>
  <c r="C65" i="3"/>
  <c r="D64" i="2"/>
  <c r="G41" i="3"/>
  <c r="D24" i="3"/>
  <c r="E24" i="3"/>
  <c r="E48" i="2"/>
  <c r="E70" i="5"/>
  <c r="D70" i="5"/>
  <c r="D66" i="5"/>
  <c r="E66" i="5"/>
  <c r="L56" i="7"/>
  <c r="D48" i="5"/>
  <c r="E48" i="5"/>
  <c r="D79" i="2"/>
  <c r="C80" i="3"/>
  <c r="E88" i="2"/>
  <c r="E92" i="2"/>
  <c r="E99" i="2"/>
  <c r="D113" i="2"/>
  <c r="E55" i="5"/>
  <c r="D55" i="5"/>
  <c r="E37" i="5"/>
  <c r="D37" i="5"/>
  <c r="E46" i="3"/>
  <c r="D46" i="3"/>
  <c r="E59" i="2"/>
  <c r="E68" i="3"/>
  <c r="D68" i="3"/>
  <c r="E59" i="5"/>
  <c r="D59" i="5"/>
  <c r="L52" i="7"/>
  <c r="E70" i="2"/>
  <c r="E26" i="5"/>
  <c r="D26" i="5"/>
  <c r="C47" i="3"/>
  <c r="D46" i="2"/>
  <c r="E114" i="2"/>
  <c r="E110" i="2"/>
  <c r="D81" i="5"/>
  <c r="E81" i="5"/>
  <c r="E79" i="3"/>
  <c r="D79" i="3"/>
  <c r="C91" i="3"/>
  <c r="D90" i="2"/>
  <c r="G67" i="3"/>
  <c r="L67" i="7"/>
  <c r="L63" i="7"/>
  <c r="E102" i="3"/>
  <c r="D102" i="3"/>
  <c r="D86" i="2"/>
  <c r="C87" i="3"/>
  <c r="G63" i="3"/>
  <c r="D75" i="3"/>
  <c r="E75" i="3"/>
  <c r="E77" i="5"/>
  <c r="D77" i="5"/>
  <c r="B13" i="3"/>
  <c r="F13" i="3" s="1"/>
  <c r="K13" i="7" s="1"/>
  <c r="A13" i="3"/>
  <c r="R11" i="5" l="1"/>
  <c r="H11" i="5" s="1"/>
  <c r="L11" i="5" s="1"/>
  <c r="M10" i="5"/>
  <c r="N10" i="5" s="1"/>
  <c r="M13" i="7"/>
  <c r="N13" i="7" s="1"/>
  <c r="G66" i="5"/>
  <c r="K66" i="5"/>
  <c r="K48" i="5"/>
  <c r="G48" i="5"/>
  <c r="K26" i="5"/>
  <c r="G26" i="5"/>
  <c r="G59" i="5"/>
  <c r="K59" i="5"/>
  <c r="K37" i="5"/>
  <c r="G37" i="5"/>
  <c r="K92" i="5"/>
  <c r="G92" i="5"/>
  <c r="G81" i="5"/>
  <c r="K81" i="5"/>
  <c r="G55" i="5"/>
  <c r="K55" i="5"/>
  <c r="G77" i="5"/>
  <c r="K77" i="5"/>
  <c r="G70" i="5"/>
  <c r="K70" i="5"/>
  <c r="E104" i="5"/>
  <c r="K104" i="5" s="1"/>
  <c r="L35" i="7"/>
  <c r="L90" i="7"/>
  <c r="G68" i="3"/>
  <c r="M12" i="3"/>
  <c r="N12" i="3" s="1"/>
  <c r="L57" i="7"/>
  <c r="C114" i="3"/>
  <c r="E114" i="3" s="1"/>
  <c r="G35" i="3"/>
  <c r="L53" i="7"/>
  <c r="G64" i="3"/>
  <c r="G46" i="3"/>
  <c r="G24" i="3"/>
  <c r="L24" i="7"/>
  <c r="G57" i="3"/>
  <c r="E111" i="2"/>
  <c r="E71" i="2"/>
  <c r="E93" i="2"/>
  <c r="L68" i="7"/>
  <c r="D82" i="5"/>
  <c r="E82" i="5"/>
  <c r="E49" i="2"/>
  <c r="D65" i="3"/>
  <c r="E65" i="3"/>
  <c r="E27" i="5"/>
  <c r="D27" i="5"/>
  <c r="E76" i="3"/>
  <c r="D76" i="3"/>
  <c r="E115" i="2"/>
  <c r="E49" i="5"/>
  <c r="D49" i="5"/>
  <c r="D58" i="2"/>
  <c r="C59" i="3"/>
  <c r="L64" i="7"/>
  <c r="E100" i="2"/>
  <c r="D87" i="2"/>
  <c r="C88" i="3"/>
  <c r="D76" i="2"/>
  <c r="C77" i="3"/>
  <c r="L46" i="7"/>
  <c r="E71" i="5"/>
  <c r="D71" i="5"/>
  <c r="E58" i="3"/>
  <c r="D58" i="3"/>
  <c r="D80" i="2"/>
  <c r="C81" i="3"/>
  <c r="J13" i="3"/>
  <c r="L13" i="3" s="1"/>
  <c r="K13" i="3"/>
  <c r="C70" i="3"/>
  <c r="D69" i="2"/>
  <c r="D25" i="2"/>
  <c r="C26" i="3"/>
  <c r="D80" i="3"/>
  <c r="E80" i="3"/>
  <c r="D67" i="5"/>
  <c r="E67" i="5"/>
  <c r="D69" i="3"/>
  <c r="E69" i="3"/>
  <c r="D60" i="5"/>
  <c r="E60" i="5"/>
  <c r="D36" i="2"/>
  <c r="C37" i="3"/>
  <c r="D25" i="3"/>
  <c r="E25" i="3"/>
  <c r="G53" i="3"/>
  <c r="E78" i="5"/>
  <c r="D78" i="5"/>
  <c r="E104" i="2"/>
  <c r="E36" i="3"/>
  <c r="D36" i="3"/>
  <c r="D47" i="3"/>
  <c r="E47" i="3"/>
  <c r="E60" i="2"/>
  <c r="D91" i="2"/>
  <c r="C92" i="3"/>
  <c r="D47" i="2"/>
  <c r="C48" i="3"/>
  <c r="D38" i="5"/>
  <c r="E38" i="5"/>
  <c r="E82" i="2"/>
  <c r="G79" i="3"/>
  <c r="D93" i="5"/>
  <c r="E93" i="5"/>
  <c r="L79" i="7"/>
  <c r="D102" i="2"/>
  <c r="C103" i="3"/>
  <c r="D91" i="3"/>
  <c r="E91" i="3"/>
  <c r="L75" i="7"/>
  <c r="G75" i="3"/>
  <c r="E116" i="5"/>
  <c r="D116" i="5"/>
  <c r="G102" i="3"/>
  <c r="E87" i="3"/>
  <c r="D87" i="3"/>
  <c r="E89" i="5"/>
  <c r="D89" i="5"/>
  <c r="C99" i="3"/>
  <c r="D98" i="2"/>
  <c r="A14" i="3"/>
  <c r="B14" i="3"/>
  <c r="F14" i="3" s="1"/>
  <c r="K14" i="7" s="1"/>
  <c r="T11" i="5" l="1"/>
  <c r="Q12" i="5" s="1"/>
  <c r="R12" i="5" s="1"/>
  <c r="H12" i="5" s="1"/>
  <c r="L12" i="5" s="1"/>
  <c r="M11" i="5"/>
  <c r="N11" i="5" s="1"/>
  <c r="M14" i="7"/>
  <c r="N14" i="7" s="1"/>
  <c r="G104" i="5"/>
  <c r="G82" i="5"/>
  <c r="K82" i="5"/>
  <c r="K89" i="5"/>
  <c r="G89" i="5"/>
  <c r="G93" i="5"/>
  <c r="K93" i="5"/>
  <c r="K78" i="5"/>
  <c r="G78" i="5"/>
  <c r="K60" i="5"/>
  <c r="G60" i="5"/>
  <c r="K67" i="5"/>
  <c r="G67" i="5"/>
  <c r="G49" i="5"/>
  <c r="K49" i="5"/>
  <c r="K116" i="5"/>
  <c r="G116" i="5"/>
  <c r="G38" i="5"/>
  <c r="K38" i="5"/>
  <c r="G71" i="5"/>
  <c r="K71" i="5"/>
  <c r="G27" i="5"/>
  <c r="K27" i="5"/>
  <c r="G36" i="3"/>
  <c r="L102" i="7"/>
  <c r="L25" i="7"/>
  <c r="M13" i="3"/>
  <c r="N13" i="3" s="1"/>
  <c r="G25" i="3"/>
  <c r="D114" i="3"/>
  <c r="G114" i="3" s="1"/>
  <c r="L114" i="7"/>
  <c r="G47" i="3"/>
  <c r="G58" i="3"/>
  <c r="L47" i="7"/>
  <c r="L58" i="7"/>
  <c r="L69" i="7"/>
  <c r="G69" i="3"/>
  <c r="E83" i="2"/>
  <c r="L80" i="7"/>
  <c r="E92" i="3"/>
  <c r="D92" i="3"/>
  <c r="D26" i="3"/>
  <c r="E26" i="3"/>
  <c r="E116" i="2"/>
  <c r="C38" i="3"/>
  <c r="D37" i="2"/>
  <c r="D48" i="2"/>
  <c r="C49" i="3"/>
  <c r="C93" i="3"/>
  <c r="D92" i="2"/>
  <c r="E112" i="2"/>
  <c r="J14" i="3"/>
  <c r="L14" i="3" s="1"/>
  <c r="K14" i="3"/>
  <c r="D50" i="5"/>
  <c r="E50" i="5"/>
  <c r="D94" i="5"/>
  <c r="E94" i="5"/>
  <c r="C60" i="3"/>
  <c r="D59" i="2"/>
  <c r="E105" i="2"/>
  <c r="E37" i="3"/>
  <c r="D37" i="3"/>
  <c r="G80" i="3"/>
  <c r="E28" i="5"/>
  <c r="D28" i="5"/>
  <c r="E88" i="3"/>
  <c r="D88" i="3"/>
  <c r="C100" i="3"/>
  <c r="D99" i="2"/>
  <c r="D61" i="5"/>
  <c r="E61" i="5"/>
  <c r="L36" i="7"/>
  <c r="G76" i="3"/>
  <c r="E72" i="2"/>
  <c r="C82" i="3"/>
  <c r="D81" i="2"/>
  <c r="L76" i="7"/>
  <c r="D88" i="2"/>
  <c r="C89" i="3"/>
  <c r="E61" i="2"/>
  <c r="E39" i="5"/>
  <c r="D39" i="5"/>
  <c r="E70" i="3"/>
  <c r="D70" i="3"/>
  <c r="E81" i="3"/>
  <c r="D81" i="3"/>
  <c r="D79" i="5"/>
  <c r="E79" i="5"/>
  <c r="E94" i="2"/>
  <c r="E48" i="3"/>
  <c r="D48" i="3"/>
  <c r="C104" i="3"/>
  <c r="D103" i="2"/>
  <c r="D72" i="5"/>
  <c r="E72" i="5"/>
  <c r="D83" i="5"/>
  <c r="E83" i="5"/>
  <c r="L65" i="7"/>
  <c r="E77" i="3"/>
  <c r="D77" i="3"/>
  <c r="D90" i="5"/>
  <c r="E90" i="5"/>
  <c r="E59" i="3"/>
  <c r="D59" i="3"/>
  <c r="G65" i="3"/>
  <c r="C71" i="3"/>
  <c r="D70" i="2"/>
  <c r="L91" i="7"/>
  <c r="D114" i="2"/>
  <c r="C115" i="3"/>
  <c r="E103" i="3"/>
  <c r="D103" i="3"/>
  <c r="G91" i="3"/>
  <c r="E105" i="5"/>
  <c r="D105" i="5"/>
  <c r="L87" i="7"/>
  <c r="G87" i="3"/>
  <c r="D99" i="3"/>
  <c r="E99" i="3"/>
  <c r="C111" i="3"/>
  <c r="D110" i="2"/>
  <c r="D101" i="5"/>
  <c r="E101" i="5"/>
  <c r="B15" i="3"/>
  <c r="F15" i="3" s="1"/>
  <c r="K15" i="7" s="1"/>
  <c r="M15" i="7" s="1"/>
  <c r="N15" i="7" s="1"/>
  <c r="A15" i="3"/>
  <c r="T12" i="5" l="1"/>
  <c r="Q13" i="5" s="1"/>
  <c r="M12" i="5"/>
  <c r="N12" i="5" s="1"/>
  <c r="K101" i="5"/>
  <c r="G101" i="5"/>
  <c r="K105" i="5"/>
  <c r="G105" i="5"/>
  <c r="K83" i="5"/>
  <c r="G83" i="5"/>
  <c r="K28" i="5"/>
  <c r="G28" i="5"/>
  <c r="K79" i="5"/>
  <c r="G79" i="5"/>
  <c r="K94" i="5"/>
  <c r="G94" i="5"/>
  <c r="K72" i="5"/>
  <c r="G72" i="5"/>
  <c r="G39" i="5"/>
  <c r="K39" i="5"/>
  <c r="K90" i="5"/>
  <c r="G90" i="5"/>
  <c r="G61" i="5"/>
  <c r="K61" i="5"/>
  <c r="G50" i="5"/>
  <c r="K50" i="5"/>
  <c r="G59" i="3"/>
  <c r="G70" i="3"/>
  <c r="L26" i="7"/>
  <c r="G77" i="3"/>
  <c r="M14" i="3"/>
  <c r="N14" i="3" s="1"/>
  <c r="G48" i="3"/>
  <c r="L59" i="7"/>
  <c r="G81" i="3"/>
  <c r="L48" i="7"/>
  <c r="L81" i="7"/>
  <c r="L70" i="7"/>
  <c r="G37" i="3"/>
  <c r="G26" i="3"/>
  <c r="D71" i="3"/>
  <c r="E71" i="3"/>
  <c r="E95" i="2"/>
  <c r="D84" i="5"/>
  <c r="E84" i="5"/>
  <c r="E100" i="3"/>
  <c r="D100" i="3"/>
  <c r="L77" i="7"/>
  <c r="E106" i="2"/>
  <c r="D62" i="5"/>
  <c r="E62" i="5"/>
  <c r="D40" i="5"/>
  <c r="E40" i="5"/>
  <c r="E117" i="2"/>
  <c r="L37" i="7"/>
  <c r="L92" i="7"/>
  <c r="C101" i="3"/>
  <c r="D100" i="2"/>
  <c r="D91" i="5"/>
  <c r="E91" i="5"/>
  <c r="E82" i="3"/>
  <c r="D82" i="3"/>
  <c r="E73" i="2"/>
  <c r="E102" i="5"/>
  <c r="D102" i="5"/>
  <c r="G88" i="3"/>
  <c r="D111" i="2"/>
  <c r="C112" i="3"/>
  <c r="L88" i="7"/>
  <c r="E84" i="2"/>
  <c r="D73" i="5"/>
  <c r="E73" i="5"/>
  <c r="E106" i="5"/>
  <c r="D106" i="5"/>
  <c r="D93" i="2"/>
  <c r="C94" i="3"/>
  <c r="D49" i="2"/>
  <c r="C50" i="3"/>
  <c r="D60" i="2"/>
  <c r="C61" i="3"/>
  <c r="E89" i="3"/>
  <c r="D89" i="3"/>
  <c r="C105" i="3"/>
  <c r="D104" i="2"/>
  <c r="D95" i="5"/>
  <c r="E95" i="5"/>
  <c r="D49" i="3"/>
  <c r="E49" i="3"/>
  <c r="J15" i="3"/>
  <c r="L15" i="3" s="1"/>
  <c r="K15" i="3"/>
  <c r="D104" i="3"/>
  <c r="E104" i="3"/>
  <c r="C72" i="3"/>
  <c r="D71" i="2"/>
  <c r="D60" i="3"/>
  <c r="E60" i="3"/>
  <c r="E93" i="3"/>
  <c r="D93" i="3"/>
  <c r="D51" i="5"/>
  <c r="E51" i="5"/>
  <c r="D38" i="3"/>
  <c r="E38" i="3"/>
  <c r="C116" i="3"/>
  <c r="D115" i="2"/>
  <c r="G92" i="3"/>
  <c r="C83" i="3"/>
  <c r="D82" i="2"/>
  <c r="L103" i="7"/>
  <c r="G103" i="3"/>
  <c r="E115" i="3"/>
  <c r="D115" i="3"/>
  <c r="E117" i="5"/>
  <c r="D117" i="5"/>
  <c r="G99" i="3"/>
  <c r="L99" i="7"/>
  <c r="D113" i="5"/>
  <c r="E113" i="5"/>
  <c r="E111" i="3"/>
  <c r="D111" i="3"/>
  <c r="A16" i="3"/>
  <c r="B16" i="3"/>
  <c r="F16" i="3" s="1"/>
  <c r="K16" i="7" s="1"/>
  <c r="M16" i="7" s="1"/>
  <c r="N16" i="7" s="1"/>
  <c r="R13" i="5" l="1"/>
  <c r="H13" i="5" s="1"/>
  <c r="L13" i="5" s="1"/>
  <c r="G113" i="5"/>
  <c r="K113" i="5"/>
  <c r="K117" i="5"/>
  <c r="G117" i="5"/>
  <c r="G91" i="5"/>
  <c r="K91" i="5"/>
  <c r="K73" i="5"/>
  <c r="G73" i="5"/>
  <c r="K95" i="5"/>
  <c r="G95" i="5"/>
  <c r="K106" i="5"/>
  <c r="G106" i="5"/>
  <c r="K62" i="5"/>
  <c r="G62" i="5"/>
  <c r="G102" i="5"/>
  <c r="K102" i="5"/>
  <c r="K51" i="5"/>
  <c r="G51" i="5"/>
  <c r="K40" i="5"/>
  <c r="G40" i="5"/>
  <c r="K84" i="5"/>
  <c r="G84" i="5"/>
  <c r="G49" i="3"/>
  <c r="L60" i="7"/>
  <c r="G71" i="3"/>
  <c r="G82" i="3"/>
  <c r="G100" i="3"/>
  <c r="G38" i="3"/>
  <c r="G93" i="3"/>
  <c r="G60" i="3"/>
  <c r="L82" i="7"/>
  <c r="L38" i="7"/>
  <c r="L93" i="7"/>
  <c r="C113" i="3"/>
  <c r="D112" i="2"/>
  <c r="E85" i="5"/>
  <c r="D85" i="5"/>
  <c r="G104" i="3"/>
  <c r="E107" i="5"/>
  <c r="D107" i="5"/>
  <c r="D63" i="5"/>
  <c r="E63" i="5"/>
  <c r="D50" i="3"/>
  <c r="E50" i="3"/>
  <c r="E96" i="5"/>
  <c r="D96" i="5"/>
  <c r="E85" i="2"/>
  <c r="E103" i="5"/>
  <c r="D103" i="5"/>
  <c r="L71" i="7"/>
  <c r="L49" i="7"/>
  <c r="L89" i="7"/>
  <c r="D74" i="5"/>
  <c r="E74" i="5"/>
  <c r="M15" i="3"/>
  <c r="N15" i="3" s="1"/>
  <c r="E116" i="3"/>
  <c r="D116" i="3"/>
  <c r="L100" i="7"/>
  <c r="D72" i="3"/>
  <c r="E72" i="3"/>
  <c r="E105" i="3"/>
  <c r="D105" i="3"/>
  <c r="E52" i="5"/>
  <c r="D52" i="5"/>
  <c r="E94" i="3"/>
  <c r="D94" i="3"/>
  <c r="D112" i="3"/>
  <c r="E112" i="3"/>
  <c r="C117" i="3"/>
  <c r="D116" i="2"/>
  <c r="D105" i="2"/>
  <c r="C106" i="3"/>
  <c r="D94" i="2"/>
  <c r="C95" i="3"/>
  <c r="J16" i="3"/>
  <c r="L16" i="3" s="1"/>
  <c r="K16" i="3"/>
  <c r="E118" i="5"/>
  <c r="D118" i="5"/>
  <c r="G89" i="3"/>
  <c r="D61" i="3"/>
  <c r="E61" i="3"/>
  <c r="C73" i="3"/>
  <c r="D72" i="2"/>
  <c r="E101" i="3"/>
  <c r="D101" i="3"/>
  <c r="L104" i="7"/>
  <c r="D83" i="3"/>
  <c r="E83" i="3"/>
  <c r="C84" i="3"/>
  <c r="D83" i="2"/>
  <c r="E114" i="5"/>
  <c r="D114" i="5"/>
  <c r="E118" i="2"/>
  <c r="E107" i="2"/>
  <c r="C62" i="3"/>
  <c r="D61" i="2"/>
  <c r="E96" i="2"/>
  <c r="G115" i="3"/>
  <c r="L115" i="7"/>
  <c r="G111" i="3"/>
  <c r="L111" i="7"/>
  <c r="A17" i="3"/>
  <c r="B17" i="3"/>
  <c r="F17" i="3" s="1"/>
  <c r="K17" i="7" s="1"/>
  <c r="M17" i="7" s="1"/>
  <c r="N17" i="7" s="1"/>
  <c r="T13" i="5" l="1"/>
  <c r="Q14" i="5" s="1"/>
  <c r="R14" i="5" s="1"/>
  <c r="H14" i="5" s="1"/>
  <c r="L14" i="5" s="1"/>
  <c r="M13" i="5"/>
  <c r="N13" i="5" s="1"/>
  <c r="K74" i="5"/>
  <c r="G74" i="5"/>
  <c r="K96" i="5"/>
  <c r="G96" i="5"/>
  <c r="K85" i="5"/>
  <c r="G85" i="5"/>
  <c r="G107" i="5"/>
  <c r="K107" i="5"/>
  <c r="G118" i="5"/>
  <c r="K118" i="5"/>
  <c r="K52" i="5"/>
  <c r="G52" i="5"/>
  <c r="G103" i="5"/>
  <c r="K103" i="5"/>
  <c r="K63" i="5"/>
  <c r="G63" i="5"/>
  <c r="G114" i="5"/>
  <c r="K114" i="5"/>
  <c r="L50" i="7"/>
  <c r="M16" i="3"/>
  <c r="N16" i="3" s="1"/>
  <c r="G50" i="3"/>
  <c r="G72" i="3"/>
  <c r="L83" i="7"/>
  <c r="L116" i="7"/>
  <c r="G94" i="3"/>
  <c r="G61" i="3"/>
  <c r="G105" i="3"/>
  <c r="G101" i="3"/>
  <c r="L94" i="7"/>
  <c r="L61" i="7"/>
  <c r="G83" i="3"/>
  <c r="L72" i="7"/>
  <c r="E75" i="5"/>
  <c r="D75" i="5"/>
  <c r="E106" i="3"/>
  <c r="D106" i="3"/>
  <c r="D73" i="2"/>
  <c r="C74" i="3"/>
  <c r="E64" i="5"/>
  <c r="D64" i="5"/>
  <c r="D106" i="2"/>
  <c r="C107" i="3"/>
  <c r="L105" i="7"/>
  <c r="D117" i="3"/>
  <c r="E117" i="3"/>
  <c r="L112" i="7"/>
  <c r="D115" i="5"/>
  <c r="E115" i="5"/>
  <c r="D117" i="2"/>
  <c r="C118" i="3"/>
  <c r="J17" i="3"/>
  <c r="L17" i="3" s="1"/>
  <c r="K17" i="3"/>
  <c r="E119" i="2"/>
  <c r="E84" i="3"/>
  <c r="D84" i="3"/>
  <c r="D95" i="3"/>
  <c r="E95" i="3"/>
  <c r="E119" i="5"/>
  <c r="D119" i="5"/>
  <c r="G112" i="3"/>
  <c r="G116" i="3"/>
  <c r="C85" i="3"/>
  <c r="D84" i="2"/>
  <c r="E97" i="2"/>
  <c r="D95" i="2"/>
  <c r="C96" i="3"/>
  <c r="D62" i="3"/>
  <c r="E62" i="3"/>
  <c r="E108" i="2"/>
  <c r="E86" i="5"/>
  <c r="D86" i="5"/>
  <c r="D73" i="3"/>
  <c r="E73" i="3"/>
  <c r="E97" i="5"/>
  <c r="D97" i="5"/>
  <c r="E108" i="5"/>
  <c r="D108" i="5"/>
  <c r="L101" i="7"/>
  <c r="E113" i="3"/>
  <c r="D113" i="3"/>
  <c r="A18" i="3"/>
  <c r="B18" i="3"/>
  <c r="F18" i="3" s="1"/>
  <c r="K18" i="7" s="1"/>
  <c r="M18" i="7" s="1"/>
  <c r="N18" i="7" s="1"/>
  <c r="T14" i="5" l="1"/>
  <c r="Q15" i="5" s="1"/>
  <c r="R15" i="5" s="1"/>
  <c r="H15" i="5" s="1"/>
  <c r="L15" i="5" s="1"/>
  <c r="M14" i="5"/>
  <c r="N14" i="5" s="1"/>
  <c r="G97" i="5"/>
  <c r="K97" i="5"/>
  <c r="G86" i="5"/>
  <c r="K86" i="5"/>
  <c r="K64" i="5"/>
  <c r="G64" i="5"/>
  <c r="G75" i="5"/>
  <c r="K75" i="5"/>
  <c r="K108" i="5"/>
  <c r="G108" i="5"/>
  <c r="G119" i="5"/>
  <c r="K119" i="5"/>
  <c r="K115" i="5"/>
  <c r="G115" i="5"/>
  <c r="M17" i="3"/>
  <c r="N17" i="3" s="1"/>
  <c r="G106" i="3"/>
  <c r="L106" i="7"/>
  <c r="G84" i="3"/>
  <c r="G117" i="3"/>
  <c r="G73" i="3"/>
  <c r="L62" i="7"/>
  <c r="G62" i="3"/>
  <c r="G95" i="3"/>
  <c r="L84" i="7"/>
  <c r="L117" i="7"/>
  <c r="L73" i="7"/>
  <c r="J18" i="3"/>
  <c r="L18" i="3" s="1"/>
  <c r="K18" i="3"/>
  <c r="G113" i="3"/>
  <c r="D107" i="2"/>
  <c r="C108" i="3"/>
  <c r="D96" i="3"/>
  <c r="E96" i="3"/>
  <c r="D120" i="5"/>
  <c r="E120" i="5"/>
  <c r="L95" i="7"/>
  <c r="E107" i="3"/>
  <c r="D107" i="3"/>
  <c r="L113" i="7"/>
  <c r="E74" i="3"/>
  <c r="D74" i="3"/>
  <c r="E109" i="2"/>
  <c r="D118" i="2"/>
  <c r="C119" i="3"/>
  <c r="D96" i="2"/>
  <c r="C97" i="3"/>
  <c r="E87" i="5"/>
  <c r="D87" i="5"/>
  <c r="E109" i="5"/>
  <c r="D109" i="5"/>
  <c r="D85" i="2"/>
  <c r="C86" i="3"/>
  <c r="D76" i="5"/>
  <c r="E76" i="5"/>
  <c r="D98" i="5"/>
  <c r="E98" i="5"/>
  <c r="D85" i="3"/>
  <c r="E85" i="3"/>
  <c r="E120" i="2"/>
  <c r="D118" i="3"/>
  <c r="E118" i="3"/>
  <c r="B19" i="3"/>
  <c r="F19" i="3" s="1"/>
  <c r="K19" i="7" s="1"/>
  <c r="M19" i="7" s="1"/>
  <c r="N19" i="7" s="1"/>
  <c r="A19" i="3"/>
  <c r="T15" i="5" l="1"/>
  <c r="Q16" i="5" s="1"/>
  <c r="R16" i="5" s="1"/>
  <c r="M15" i="5"/>
  <c r="N15" i="5" s="1"/>
  <c r="G87" i="5"/>
  <c r="K87" i="5"/>
  <c r="G109" i="5"/>
  <c r="K109" i="5"/>
  <c r="K76" i="5"/>
  <c r="G76" i="5"/>
  <c r="K120" i="5"/>
  <c r="G120" i="5"/>
  <c r="G98" i="5"/>
  <c r="K98" i="5"/>
  <c r="L118" i="7"/>
  <c r="G107" i="3"/>
  <c r="L96" i="7"/>
  <c r="G118" i="3"/>
  <c r="G85" i="3"/>
  <c r="G74" i="3"/>
  <c r="M18" i="3"/>
  <c r="N18" i="3" s="1"/>
  <c r="G96" i="3"/>
  <c r="E86" i="3"/>
  <c r="D86" i="3"/>
  <c r="L74" i="7"/>
  <c r="L107" i="7"/>
  <c r="D119" i="3"/>
  <c r="E119" i="3"/>
  <c r="L85" i="7"/>
  <c r="D97" i="2"/>
  <c r="C98" i="3"/>
  <c r="E99" i="5"/>
  <c r="D99" i="5"/>
  <c r="E88" i="5"/>
  <c r="D88" i="5"/>
  <c r="D121" i="5"/>
  <c r="E121" i="5"/>
  <c r="C109" i="3"/>
  <c r="D108" i="2"/>
  <c r="E97" i="3"/>
  <c r="D97" i="3"/>
  <c r="D110" i="5"/>
  <c r="E110" i="5"/>
  <c r="C120" i="3"/>
  <c r="D119" i="2"/>
  <c r="J19" i="3"/>
  <c r="L19" i="3" s="1"/>
  <c r="K19" i="3"/>
  <c r="E108" i="3"/>
  <c r="D108" i="3"/>
  <c r="A20" i="3"/>
  <c r="B20" i="3"/>
  <c r="F20" i="3" s="1"/>
  <c r="K20" i="7" s="1"/>
  <c r="H16" i="5" l="1"/>
  <c r="L16" i="5" s="1"/>
  <c r="M16" i="5" s="1"/>
  <c r="N16" i="5" s="1"/>
  <c r="T16" i="5"/>
  <c r="Q17" i="5" s="1"/>
  <c r="R17" i="5" s="1"/>
  <c r="H17" i="5" s="1"/>
  <c r="L17" i="5" s="1"/>
  <c r="M20" i="7"/>
  <c r="N20" i="7" s="1"/>
  <c r="K88" i="5"/>
  <c r="G88" i="5"/>
  <c r="K121" i="5"/>
  <c r="G121" i="5"/>
  <c r="K110" i="5"/>
  <c r="G110" i="5"/>
  <c r="K99" i="5"/>
  <c r="G99" i="5"/>
  <c r="E121" i="2"/>
  <c r="J5" i="2"/>
  <c r="L119" i="7"/>
  <c r="G119" i="3"/>
  <c r="M19" i="3"/>
  <c r="N19" i="3" s="1"/>
  <c r="G86" i="3"/>
  <c r="G108" i="3"/>
  <c r="G97" i="3"/>
  <c r="L97" i="7"/>
  <c r="L86" i="7"/>
  <c r="D109" i="2"/>
  <c r="C110" i="3"/>
  <c r="E122" i="5"/>
  <c r="D122" i="5"/>
  <c r="E111" i="5"/>
  <c r="D111" i="5"/>
  <c r="L108" i="7"/>
  <c r="D100" i="5"/>
  <c r="E100" i="5"/>
  <c r="J20" i="3"/>
  <c r="L20" i="3" s="1"/>
  <c r="K20" i="3"/>
  <c r="D120" i="3"/>
  <c r="E120" i="3"/>
  <c r="D98" i="3"/>
  <c r="E98" i="3"/>
  <c r="D120" i="2"/>
  <c r="C121" i="3"/>
  <c r="D109" i="3"/>
  <c r="E109" i="3"/>
  <c r="A21" i="3"/>
  <c r="B21" i="3"/>
  <c r="F21" i="3" s="1"/>
  <c r="K21" i="7" s="1"/>
  <c r="M21" i="7" s="1"/>
  <c r="N21" i="7" s="1"/>
  <c r="T17" i="5" l="1"/>
  <c r="Q18" i="5" s="1"/>
  <c r="R18" i="5" s="1"/>
  <c r="H18" i="5" s="1"/>
  <c r="L18" i="5" s="1"/>
  <c r="M17" i="5"/>
  <c r="N17" i="5" s="1"/>
  <c r="K122" i="5"/>
  <c r="G122" i="5"/>
  <c r="K100" i="5"/>
  <c r="G100" i="5"/>
  <c r="K111" i="5"/>
  <c r="G111" i="5"/>
  <c r="M20" i="3"/>
  <c r="N20" i="3" s="1"/>
  <c r="L109" i="7"/>
  <c r="G98" i="3"/>
  <c r="L98" i="7"/>
  <c r="G120" i="3"/>
  <c r="L120" i="7"/>
  <c r="G109" i="3"/>
  <c r="E110" i="3"/>
  <c r="D110" i="3"/>
  <c r="E121" i="3"/>
  <c r="D121" i="3"/>
  <c r="D121" i="2"/>
  <c r="C122" i="3"/>
  <c r="D123" i="5"/>
  <c r="E123" i="5"/>
  <c r="J21" i="3"/>
  <c r="L21" i="3" s="1"/>
  <c r="K21" i="3"/>
  <c r="D112" i="5"/>
  <c r="E112" i="5"/>
  <c r="B22" i="3"/>
  <c r="F22" i="3" s="1"/>
  <c r="K22" i="7" s="1"/>
  <c r="A22" i="3"/>
  <c r="M18" i="5" l="1"/>
  <c r="N18" i="5" s="1"/>
  <c r="T18" i="5"/>
  <c r="Q19" i="5" s="1"/>
  <c r="M22" i="7"/>
  <c r="N22" i="7" s="1"/>
  <c r="K112" i="5"/>
  <c r="G112" i="5"/>
  <c r="G123" i="5"/>
  <c r="K123" i="5"/>
  <c r="L110" i="7"/>
  <c r="G110" i="3"/>
  <c r="G121" i="3"/>
  <c r="M21" i="3"/>
  <c r="N21" i="3" s="1"/>
  <c r="D124" i="5"/>
  <c r="E124" i="5"/>
  <c r="L121" i="7"/>
  <c r="E122" i="3"/>
  <c r="D122" i="3"/>
  <c r="J22" i="3"/>
  <c r="L22" i="3" s="1"/>
  <c r="K22" i="3"/>
  <c r="A23" i="3"/>
  <c r="B23" i="3"/>
  <c r="F23" i="3" s="1"/>
  <c r="K23" i="7" s="1"/>
  <c r="R19" i="5" l="1"/>
  <c r="H19" i="5" s="1"/>
  <c r="L19" i="5" s="1"/>
  <c r="T19" i="5"/>
  <c r="Q20" i="5" s="1"/>
  <c r="M23" i="7"/>
  <c r="N23" i="7" s="1"/>
  <c r="K124" i="5"/>
  <c r="X5" i="5" s="1"/>
  <c r="G124" i="5"/>
  <c r="G122" i="3"/>
  <c r="L122" i="7"/>
  <c r="M22" i="3"/>
  <c r="N22" i="3" s="1"/>
  <c r="J23" i="3"/>
  <c r="L23" i="3" s="1"/>
  <c r="K23" i="3"/>
  <c r="B24" i="3"/>
  <c r="F24" i="3" s="1"/>
  <c r="K24" i="7" s="1"/>
  <c r="A24" i="3"/>
  <c r="R20" i="5" l="1"/>
  <c r="H20" i="5" s="1"/>
  <c r="L20" i="5" s="1"/>
  <c r="M19" i="5"/>
  <c r="N19" i="5" s="1"/>
  <c r="M24" i="7"/>
  <c r="N24" i="7" s="1"/>
  <c r="M23" i="3"/>
  <c r="N23" i="3" s="1"/>
  <c r="J24" i="3"/>
  <c r="L24" i="3" s="1"/>
  <c r="K24" i="3"/>
  <c r="B25" i="3"/>
  <c r="F25" i="3" s="1"/>
  <c r="K25" i="7" s="1"/>
  <c r="A25" i="3"/>
  <c r="T20" i="5" l="1"/>
  <c r="Q21" i="5" s="1"/>
  <c r="M20" i="5"/>
  <c r="N20" i="5" s="1"/>
  <c r="M25" i="7"/>
  <c r="N25" i="7" s="1"/>
  <c r="M24" i="3"/>
  <c r="N24" i="3" s="1"/>
  <c r="J25" i="3"/>
  <c r="L25" i="3" s="1"/>
  <c r="K25" i="3"/>
  <c r="B26" i="3"/>
  <c r="F26" i="3" s="1"/>
  <c r="K26" i="7" s="1"/>
  <c r="A26" i="3"/>
  <c r="A27" i="3" s="1"/>
  <c r="R21" i="5" l="1"/>
  <c r="H21" i="5" s="1"/>
  <c r="L21" i="5" s="1"/>
  <c r="M26" i="7"/>
  <c r="N26" i="7" s="1"/>
  <c r="C4" i="8" s="1"/>
  <c r="M25" i="3"/>
  <c r="N25" i="3" s="1"/>
  <c r="J26" i="3"/>
  <c r="L26" i="3" s="1"/>
  <c r="K26" i="3"/>
  <c r="B27" i="3"/>
  <c r="F27" i="3" s="1"/>
  <c r="K27" i="7" s="1"/>
  <c r="T21" i="5" l="1"/>
  <c r="Q22" i="5" s="1"/>
  <c r="R22" i="5" s="1"/>
  <c r="H22" i="5" s="1"/>
  <c r="L22" i="5" s="1"/>
  <c r="M21" i="5"/>
  <c r="N21" i="5" s="1"/>
  <c r="M27" i="7"/>
  <c r="N27" i="7" s="1"/>
  <c r="M26" i="3"/>
  <c r="N26" i="3" s="1"/>
  <c r="J27" i="3"/>
  <c r="L27" i="3" s="1"/>
  <c r="K27" i="3"/>
  <c r="B28" i="3"/>
  <c r="F28" i="3" s="1"/>
  <c r="K28" i="7" s="1"/>
  <c r="A28" i="3"/>
  <c r="T22" i="5" l="1"/>
  <c r="Q23" i="5" s="1"/>
  <c r="R23" i="5" s="1"/>
  <c r="H23" i="5" s="1"/>
  <c r="L23" i="5" s="1"/>
  <c r="M22" i="5"/>
  <c r="N22" i="5" s="1"/>
  <c r="M28" i="7"/>
  <c r="N28" i="7" s="1"/>
  <c r="J28" i="3"/>
  <c r="L28" i="3" s="1"/>
  <c r="K28" i="3"/>
  <c r="M27" i="3"/>
  <c r="N27" i="3" s="1"/>
  <c r="B29" i="3"/>
  <c r="F29" i="3" s="1"/>
  <c r="K29" i="7" s="1"/>
  <c r="A29" i="3"/>
  <c r="T23" i="5" l="1"/>
  <c r="Q24" i="5" s="1"/>
  <c r="R24" i="5" s="1"/>
  <c r="H24" i="5" s="1"/>
  <c r="L24" i="5" s="1"/>
  <c r="M23" i="5"/>
  <c r="N23" i="5" s="1"/>
  <c r="M29" i="7"/>
  <c r="N29" i="7" s="1"/>
  <c r="M28" i="3"/>
  <c r="N28" i="3" s="1"/>
  <c r="A30" i="3"/>
  <c r="J29" i="3"/>
  <c r="L29" i="3" s="1"/>
  <c r="K29" i="3"/>
  <c r="B30" i="3"/>
  <c r="F30" i="3" s="1"/>
  <c r="K30" i="7" s="1"/>
  <c r="M30" i="7" s="1"/>
  <c r="N30" i="7" s="1"/>
  <c r="M24" i="5" l="1"/>
  <c r="N24" i="5" s="1"/>
  <c r="T24" i="5"/>
  <c r="Q25" i="5" s="1"/>
  <c r="M29" i="3"/>
  <c r="N29" i="3" s="1"/>
  <c r="J30" i="3"/>
  <c r="L30" i="3" s="1"/>
  <c r="K30" i="3"/>
  <c r="B31" i="3"/>
  <c r="F31" i="3" s="1"/>
  <c r="K31" i="7" s="1"/>
  <c r="A31" i="3"/>
  <c r="R25" i="5" l="1"/>
  <c r="H25" i="5" s="1"/>
  <c r="L25" i="5" s="1"/>
  <c r="M31" i="7"/>
  <c r="N31" i="7" s="1"/>
  <c r="A32" i="3"/>
  <c r="M30" i="3"/>
  <c r="N30" i="3" s="1"/>
  <c r="J31" i="3"/>
  <c r="L31" i="3" s="1"/>
  <c r="K31" i="3"/>
  <c r="B32" i="3"/>
  <c r="F32" i="3" s="1"/>
  <c r="K32" i="7" s="1"/>
  <c r="T25" i="5" l="1"/>
  <c r="Q26" i="5" s="1"/>
  <c r="R26" i="5" s="1"/>
  <c r="H26" i="5" s="1"/>
  <c r="L26" i="5" s="1"/>
  <c r="M25" i="5"/>
  <c r="N25" i="5" s="1"/>
  <c r="M32" i="7"/>
  <c r="N32" i="7" s="1"/>
  <c r="M31" i="3"/>
  <c r="N31" i="3" s="1"/>
  <c r="J32" i="3"/>
  <c r="L32" i="3" s="1"/>
  <c r="K32" i="3"/>
  <c r="A33" i="3"/>
  <c r="B33" i="3"/>
  <c r="F33" i="3" s="1"/>
  <c r="K33" i="7" s="1"/>
  <c r="T26" i="5" l="1"/>
  <c r="Q27" i="5" s="1"/>
  <c r="R27" i="5" s="1"/>
  <c r="H27" i="5" s="1"/>
  <c r="L27" i="5" s="1"/>
  <c r="M26" i="5"/>
  <c r="N26" i="5" s="1"/>
  <c r="M33" i="7"/>
  <c r="N33" i="7" s="1"/>
  <c r="M32" i="3"/>
  <c r="N32" i="3" s="1"/>
  <c r="J33" i="3"/>
  <c r="L33" i="3" s="1"/>
  <c r="K33" i="3"/>
  <c r="B34" i="3"/>
  <c r="F34" i="3" s="1"/>
  <c r="K34" i="7" s="1"/>
  <c r="A34" i="3"/>
  <c r="T27" i="5" l="1"/>
  <c r="Q28" i="5" s="1"/>
  <c r="M27" i="5"/>
  <c r="N27" i="5" s="1"/>
  <c r="M34" i="7"/>
  <c r="N34" i="7" s="1"/>
  <c r="A35" i="3"/>
  <c r="M33" i="3"/>
  <c r="N33" i="3" s="1"/>
  <c r="J34" i="3"/>
  <c r="L34" i="3" s="1"/>
  <c r="K34" i="3"/>
  <c r="B35" i="3"/>
  <c r="F35" i="3" s="1"/>
  <c r="K35" i="7" s="1"/>
  <c r="R28" i="5" l="1"/>
  <c r="H28" i="5" s="1"/>
  <c r="L28" i="5" s="1"/>
  <c r="M35" i="7"/>
  <c r="N35" i="7" s="1"/>
  <c r="M34" i="3"/>
  <c r="N34" i="3" s="1"/>
  <c r="J35" i="3"/>
  <c r="L35" i="3" s="1"/>
  <c r="K35" i="3"/>
  <c r="A36" i="3"/>
  <c r="B36" i="3"/>
  <c r="F36" i="3" s="1"/>
  <c r="K36" i="7" s="1"/>
  <c r="M28" i="5" l="1"/>
  <c r="N28" i="5" s="1"/>
  <c r="T28" i="5"/>
  <c r="Q29" i="5" s="1"/>
  <c r="M36" i="7"/>
  <c r="N36" i="7" s="1"/>
  <c r="M35" i="3"/>
  <c r="N35" i="3" s="1"/>
  <c r="A37" i="3"/>
  <c r="J36" i="3"/>
  <c r="L36" i="3" s="1"/>
  <c r="K36" i="3"/>
  <c r="B37" i="3"/>
  <c r="F37" i="3" s="1"/>
  <c r="K37" i="7" s="1"/>
  <c r="R29" i="5" l="1"/>
  <c r="H29" i="5" s="1"/>
  <c r="L29" i="5" s="1"/>
  <c r="M37" i="7"/>
  <c r="N37" i="7" s="1"/>
  <c r="M36" i="3"/>
  <c r="N36" i="3" s="1"/>
  <c r="J37" i="3"/>
  <c r="L37" i="3" s="1"/>
  <c r="K37" i="3"/>
  <c r="B38" i="3"/>
  <c r="F38" i="3" s="1"/>
  <c r="K38" i="7" s="1"/>
  <c r="M38" i="7" s="1"/>
  <c r="N38" i="7" s="1"/>
  <c r="A38" i="3"/>
  <c r="T29" i="5" l="1"/>
  <c r="Q30" i="5" s="1"/>
  <c r="R30" i="5" s="1"/>
  <c r="H30" i="5" s="1"/>
  <c r="L30" i="5" s="1"/>
  <c r="M29" i="5"/>
  <c r="N29" i="5" s="1"/>
  <c r="J38" i="3"/>
  <c r="K38" i="3"/>
  <c r="M37" i="3"/>
  <c r="N37" i="3" s="1"/>
  <c r="L38" i="3"/>
  <c r="A39" i="3"/>
  <c r="B39" i="3"/>
  <c r="F39" i="3" s="1"/>
  <c r="K39" i="7" s="1"/>
  <c r="T30" i="5" l="1"/>
  <c r="Q31" i="5" s="1"/>
  <c r="M30" i="5"/>
  <c r="N30" i="5" s="1"/>
  <c r="M39" i="7"/>
  <c r="N39" i="7" s="1"/>
  <c r="M38" i="3"/>
  <c r="N38" i="3" s="1"/>
  <c r="J39" i="3"/>
  <c r="L39" i="3" s="1"/>
  <c r="K39" i="3"/>
  <c r="A40" i="3"/>
  <c r="B40" i="3"/>
  <c r="F40" i="3" s="1"/>
  <c r="K40" i="7" s="1"/>
  <c r="R31" i="5" l="1"/>
  <c r="H31" i="5" s="1"/>
  <c r="L31" i="5" s="1"/>
  <c r="M40" i="7"/>
  <c r="N40" i="7" s="1"/>
  <c r="M39" i="3"/>
  <c r="N39" i="3" s="1"/>
  <c r="J40" i="3"/>
  <c r="L40" i="3" s="1"/>
  <c r="K40" i="3"/>
  <c r="A41" i="3"/>
  <c r="B41" i="3"/>
  <c r="F41" i="3" s="1"/>
  <c r="K41" i="7" s="1"/>
  <c r="T31" i="5" l="1"/>
  <c r="Q32" i="5" s="1"/>
  <c r="R32" i="5" s="1"/>
  <c r="H32" i="5" s="1"/>
  <c r="L32" i="5" s="1"/>
  <c r="M31" i="5"/>
  <c r="N31" i="5" s="1"/>
  <c r="M41" i="7"/>
  <c r="N41" i="7" s="1"/>
  <c r="M40" i="3"/>
  <c r="N40" i="3" s="1"/>
  <c r="J41" i="3"/>
  <c r="L41" i="3" s="1"/>
  <c r="K41" i="3"/>
  <c r="B42" i="3"/>
  <c r="F42" i="3" s="1"/>
  <c r="K42" i="7" s="1"/>
  <c r="M42" i="7" s="1"/>
  <c r="N42" i="7" s="1"/>
  <c r="A42" i="3"/>
  <c r="T32" i="5" l="1"/>
  <c r="Q33" i="5" s="1"/>
  <c r="R33" i="5" s="1"/>
  <c r="H33" i="5" s="1"/>
  <c r="L33" i="5" s="1"/>
  <c r="M32" i="5"/>
  <c r="N32" i="5" s="1"/>
  <c r="A43" i="3"/>
  <c r="M41" i="3"/>
  <c r="N41" i="3" s="1"/>
  <c r="J42" i="3"/>
  <c r="L42" i="3" s="1"/>
  <c r="K42" i="3"/>
  <c r="B43" i="3"/>
  <c r="F43" i="3" s="1"/>
  <c r="K43" i="7" s="1"/>
  <c r="T33" i="5" l="1"/>
  <c r="Q34" i="5" s="1"/>
  <c r="M33" i="5"/>
  <c r="N33" i="5" s="1"/>
  <c r="M43" i="7"/>
  <c r="N43" i="7" s="1"/>
  <c r="M42" i="3"/>
  <c r="N42" i="3" s="1"/>
  <c r="J43" i="3"/>
  <c r="L43" i="3" s="1"/>
  <c r="K43" i="3"/>
  <c r="A44" i="3"/>
  <c r="B44" i="3"/>
  <c r="F44" i="3" s="1"/>
  <c r="K44" i="7" s="1"/>
  <c r="R34" i="5" l="1"/>
  <c r="H34" i="5" s="1"/>
  <c r="L34" i="5" s="1"/>
  <c r="M34" i="5" s="1"/>
  <c r="N34" i="5" s="1"/>
  <c r="M44" i="7"/>
  <c r="N44" i="7" s="1"/>
  <c r="M43" i="3"/>
  <c r="N43" i="3" s="1"/>
  <c r="J44" i="3"/>
  <c r="L44" i="3" s="1"/>
  <c r="K44" i="3"/>
  <c r="B45" i="3"/>
  <c r="F45" i="3" s="1"/>
  <c r="K45" i="7" s="1"/>
  <c r="M45" i="7" s="1"/>
  <c r="N45" i="7" s="1"/>
  <c r="A45" i="3"/>
  <c r="T34" i="5" l="1"/>
  <c r="Q35" i="5" s="1"/>
  <c r="R35" i="5" s="1"/>
  <c r="H35" i="5" s="1"/>
  <c r="L35" i="5" s="1"/>
  <c r="M35" i="5" s="1"/>
  <c r="N35" i="5" s="1"/>
  <c r="M44" i="3"/>
  <c r="N44" i="3" s="1"/>
  <c r="J45" i="3"/>
  <c r="L45" i="3" s="1"/>
  <c r="K45" i="3"/>
  <c r="A46" i="3"/>
  <c r="B46" i="3"/>
  <c r="F46" i="3" s="1"/>
  <c r="K46" i="7" s="1"/>
  <c r="T35" i="5" l="1"/>
  <c r="Q36" i="5" s="1"/>
  <c r="R36" i="5" s="1"/>
  <c r="H36" i="5" s="1"/>
  <c r="L36" i="5" s="1"/>
  <c r="M36" i="5" s="1"/>
  <c r="N36" i="5" s="1"/>
  <c r="M46" i="7"/>
  <c r="N46" i="7" s="1"/>
  <c r="M45" i="3"/>
  <c r="N45" i="3" s="1"/>
  <c r="J46" i="3"/>
  <c r="L46" i="3" s="1"/>
  <c r="K46" i="3"/>
  <c r="B47" i="3"/>
  <c r="F47" i="3" s="1"/>
  <c r="K47" i="7" s="1"/>
  <c r="A47" i="3"/>
  <c r="T36" i="5" l="1"/>
  <c r="Q37" i="5" s="1"/>
  <c r="R37" i="5" s="1"/>
  <c r="H37" i="5" s="1"/>
  <c r="L37" i="5" s="1"/>
  <c r="M37" i="5" s="1"/>
  <c r="N37" i="5" s="1"/>
  <c r="M47" i="7"/>
  <c r="N47" i="7" s="1"/>
  <c r="J47" i="3"/>
  <c r="L47" i="3" s="1"/>
  <c r="K47" i="3"/>
  <c r="A48" i="3"/>
  <c r="M46" i="3"/>
  <c r="N46" i="3" s="1"/>
  <c r="B48" i="3"/>
  <c r="F48" i="3" s="1"/>
  <c r="K48" i="7" s="1"/>
  <c r="T37" i="5" l="1"/>
  <c r="Q38" i="5" s="1"/>
  <c r="R38" i="5" s="1"/>
  <c r="H38" i="5" s="1"/>
  <c r="L38" i="5" s="1"/>
  <c r="M38" i="5" s="1"/>
  <c r="N38" i="5" s="1"/>
  <c r="M48" i="7"/>
  <c r="N48" i="7" s="1"/>
  <c r="J48" i="3"/>
  <c r="L48" i="3" s="1"/>
  <c r="K48" i="3"/>
  <c r="M47" i="3"/>
  <c r="N47" i="3" s="1"/>
  <c r="B49" i="3"/>
  <c r="F49" i="3" s="1"/>
  <c r="K49" i="7" s="1"/>
  <c r="A49" i="3"/>
  <c r="T38" i="5" l="1"/>
  <c r="Q39" i="5" s="1"/>
  <c r="R39" i="5" s="1"/>
  <c r="H39" i="5" s="1"/>
  <c r="L39" i="5" s="1"/>
  <c r="M39" i="5" s="1"/>
  <c r="N39" i="5" s="1"/>
  <c r="T39" i="5"/>
  <c r="Q40" i="5" s="1"/>
  <c r="R40" i="5" s="1"/>
  <c r="H40" i="5" s="1"/>
  <c r="L40" i="5" s="1"/>
  <c r="M49" i="7"/>
  <c r="N49" i="7" s="1"/>
  <c r="M48" i="3"/>
  <c r="N48" i="3" s="1"/>
  <c r="A50" i="3"/>
  <c r="J49" i="3"/>
  <c r="L49" i="3" s="1"/>
  <c r="K49" i="3"/>
  <c r="B50" i="3"/>
  <c r="F50" i="3" s="1"/>
  <c r="K50" i="7" s="1"/>
  <c r="T40" i="5" l="1"/>
  <c r="Q41" i="5" s="1"/>
  <c r="R41" i="5" s="1"/>
  <c r="H41" i="5" s="1"/>
  <c r="L41" i="5" s="1"/>
  <c r="M40" i="5"/>
  <c r="N40" i="5" s="1"/>
  <c r="M50" i="7"/>
  <c r="N50" i="7" s="1"/>
  <c r="C6" i="8" s="1"/>
  <c r="M49" i="3"/>
  <c r="N49" i="3" s="1"/>
  <c r="J50" i="3"/>
  <c r="L50" i="3" s="1"/>
  <c r="K50" i="3"/>
  <c r="B51" i="3"/>
  <c r="F51" i="3" s="1"/>
  <c r="K51" i="7" s="1"/>
  <c r="A51" i="3"/>
  <c r="T41" i="5" l="1"/>
  <c r="Q42" i="5" s="1"/>
  <c r="R42" i="5"/>
  <c r="H42" i="5" s="1"/>
  <c r="L42" i="5" s="1"/>
  <c r="M41" i="5"/>
  <c r="N41" i="5" s="1"/>
  <c r="M51" i="7"/>
  <c r="N51" i="7" s="1"/>
  <c r="J51" i="3"/>
  <c r="L51" i="3" s="1"/>
  <c r="K51" i="3"/>
  <c r="M50" i="3"/>
  <c r="N50" i="3" s="1"/>
  <c r="B52" i="3"/>
  <c r="F52" i="3" s="1"/>
  <c r="K52" i="7" s="1"/>
  <c r="A52" i="3"/>
  <c r="T42" i="5" l="1"/>
  <c r="Q43" i="5" s="1"/>
  <c r="R43" i="5" s="1"/>
  <c r="H43" i="5" s="1"/>
  <c r="L43" i="5" s="1"/>
  <c r="M42" i="5"/>
  <c r="N42" i="5" s="1"/>
  <c r="M52" i="7"/>
  <c r="N52" i="7" s="1"/>
  <c r="M51" i="3"/>
  <c r="N51" i="3" s="1"/>
  <c r="A53" i="3"/>
  <c r="J52" i="3"/>
  <c r="L52" i="3" s="1"/>
  <c r="K52" i="3"/>
  <c r="B53" i="3"/>
  <c r="F53" i="3" s="1"/>
  <c r="K53" i="7" s="1"/>
  <c r="T43" i="5" l="1"/>
  <c r="Q44" i="5" s="1"/>
  <c r="R44" i="5" s="1"/>
  <c r="M43" i="5"/>
  <c r="N43" i="5" s="1"/>
  <c r="M53" i="7"/>
  <c r="N53" i="7" s="1"/>
  <c r="M52" i="3"/>
  <c r="N52" i="3" s="1"/>
  <c r="J53" i="3"/>
  <c r="L53" i="3" s="1"/>
  <c r="K53" i="3"/>
  <c r="B54" i="3"/>
  <c r="F54" i="3" s="1"/>
  <c r="K54" i="7" s="1"/>
  <c r="A54" i="3"/>
  <c r="H44" i="5" l="1"/>
  <c r="L44" i="5" s="1"/>
  <c r="M44" i="5" s="1"/>
  <c r="N44" i="5" s="1"/>
  <c r="T44" i="5"/>
  <c r="Q45" i="5" s="1"/>
  <c r="R45" i="5"/>
  <c r="H45" i="5" s="1"/>
  <c r="L45" i="5" s="1"/>
  <c r="M54" i="7"/>
  <c r="N54" i="7" s="1"/>
  <c r="J54" i="3"/>
  <c r="L54" i="3" s="1"/>
  <c r="K54" i="3"/>
  <c r="A55" i="3"/>
  <c r="M53" i="3"/>
  <c r="N53" i="3" s="1"/>
  <c r="B55" i="3"/>
  <c r="F55" i="3" s="1"/>
  <c r="K55" i="7" s="1"/>
  <c r="T45" i="5" l="1"/>
  <c r="Q46" i="5" s="1"/>
  <c r="R46" i="5" s="1"/>
  <c r="H46" i="5" s="1"/>
  <c r="L46" i="5" s="1"/>
  <c r="M45" i="5"/>
  <c r="N45" i="5" s="1"/>
  <c r="M55" i="7"/>
  <c r="N55" i="7" s="1"/>
  <c r="M54" i="3"/>
  <c r="N54" i="3" s="1"/>
  <c r="J55" i="3"/>
  <c r="L55" i="3" s="1"/>
  <c r="K55" i="3"/>
  <c r="A56" i="3"/>
  <c r="B56" i="3"/>
  <c r="F56" i="3" s="1"/>
  <c r="K56" i="7" s="1"/>
  <c r="T46" i="5" l="1"/>
  <c r="Q47" i="5" s="1"/>
  <c r="R47" i="5" s="1"/>
  <c r="H47" i="5" s="1"/>
  <c r="L47" i="5" s="1"/>
  <c r="M46" i="5"/>
  <c r="N46" i="5" s="1"/>
  <c r="M56" i="7"/>
  <c r="N56" i="7" s="1"/>
  <c r="M55" i="3"/>
  <c r="N55" i="3" s="1"/>
  <c r="J56" i="3"/>
  <c r="L56" i="3" s="1"/>
  <c r="K56" i="3"/>
  <c r="A57" i="3"/>
  <c r="B57" i="3"/>
  <c r="F57" i="3" s="1"/>
  <c r="K57" i="7" s="1"/>
  <c r="T47" i="5" l="1"/>
  <c r="Q48" i="5" s="1"/>
  <c r="M47" i="5"/>
  <c r="N47" i="5" s="1"/>
  <c r="M57" i="7"/>
  <c r="N57" i="7" s="1"/>
  <c r="A58" i="3"/>
  <c r="M56" i="3"/>
  <c r="N56" i="3" s="1"/>
  <c r="J57" i="3"/>
  <c r="L57" i="3" s="1"/>
  <c r="K57" i="3"/>
  <c r="B58" i="3"/>
  <c r="F58" i="3" s="1"/>
  <c r="K58" i="7" s="1"/>
  <c r="R48" i="5" l="1"/>
  <c r="H48" i="5" s="1"/>
  <c r="L48" i="5" s="1"/>
  <c r="M58" i="7"/>
  <c r="N58" i="7" s="1"/>
  <c r="M57" i="3"/>
  <c r="N57" i="3" s="1"/>
  <c r="J58" i="3"/>
  <c r="L58" i="3" s="1"/>
  <c r="K58" i="3"/>
  <c r="B59" i="3"/>
  <c r="F59" i="3" s="1"/>
  <c r="K59" i="7" s="1"/>
  <c r="A59" i="3"/>
  <c r="T48" i="5" l="1"/>
  <c r="Q49" i="5" s="1"/>
  <c r="R49" i="5" s="1"/>
  <c r="M48" i="5"/>
  <c r="N48" i="5" s="1"/>
  <c r="M59" i="7"/>
  <c r="N59" i="7" s="1"/>
  <c r="M58" i="3"/>
  <c r="N58" i="3" s="1"/>
  <c r="A60" i="3"/>
  <c r="J59" i="3"/>
  <c r="L59" i="3" s="1"/>
  <c r="K59" i="3"/>
  <c r="B60" i="3"/>
  <c r="F60" i="3" s="1"/>
  <c r="K60" i="7" s="1"/>
  <c r="H49" i="5" l="1"/>
  <c r="L49" i="5" s="1"/>
  <c r="M49" i="5" s="1"/>
  <c r="N49" i="5" s="1"/>
  <c r="T49" i="5"/>
  <c r="Q50" i="5" s="1"/>
  <c r="R50" i="5"/>
  <c r="H50" i="5" s="1"/>
  <c r="L50" i="5" s="1"/>
  <c r="M60" i="7"/>
  <c r="N60" i="7" s="1"/>
  <c r="M59" i="3"/>
  <c r="N59" i="3" s="1"/>
  <c r="J60" i="3"/>
  <c r="L60" i="3" s="1"/>
  <c r="K60" i="3"/>
  <c r="A61" i="3"/>
  <c r="B61" i="3"/>
  <c r="F61" i="3" s="1"/>
  <c r="K61" i="7" s="1"/>
  <c r="T50" i="5" l="1"/>
  <c r="Q51" i="5" s="1"/>
  <c r="R51" i="5" s="1"/>
  <c r="H51" i="5" s="1"/>
  <c r="L51" i="5" s="1"/>
  <c r="M50" i="5"/>
  <c r="N50" i="5" s="1"/>
  <c r="M61" i="7"/>
  <c r="N61" i="7" s="1"/>
  <c r="A62" i="3"/>
  <c r="M60" i="3"/>
  <c r="N60" i="3" s="1"/>
  <c r="J61" i="3"/>
  <c r="L61" i="3" s="1"/>
  <c r="K61" i="3"/>
  <c r="B62" i="3"/>
  <c r="F62" i="3" s="1"/>
  <c r="K62" i="7" s="1"/>
  <c r="T51" i="5" l="1"/>
  <c r="Q52" i="5" s="1"/>
  <c r="R52" i="5" s="1"/>
  <c r="H52" i="5" s="1"/>
  <c r="L52" i="5" s="1"/>
  <c r="M51" i="5"/>
  <c r="N51" i="5" s="1"/>
  <c r="M62" i="7"/>
  <c r="N62" i="7" s="1"/>
  <c r="M61" i="3"/>
  <c r="N61" i="3" s="1"/>
  <c r="J62" i="3"/>
  <c r="L62" i="3" s="1"/>
  <c r="K62" i="3"/>
  <c r="A63" i="3"/>
  <c r="B63" i="3"/>
  <c r="F63" i="3" s="1"/>
  <c r="K63" i="7" s="1"/>
  <c r="T52" i="5" l="1"/>
  <c r="Q53" i="5" s="1"/>
  <c r="R53" i="5" s="1"/>
  <c r="H53" i="5" s="1"/>
  <c r="L53" i="5" s="1"/>
  <c r="M52" i="5"/>
  <c r="N52" i="5" s="1"/>
  <c r="D6" i="8" s="1"/>
  <c r="M63" i="7"/>
  <c r="N63" i="7" s="1"/>
  <c r="M62" i="3"/>
  <c r="N62" i="3" s="1"/>
  <c r="J63" i="3"/>
  <c r="L63" i="3" s="1"/>
  <c r="K63" i="3"/>
  <c r="B64" i="3"/>
  <c r="F64" i="3" s="1"/>
  <c r="K64" i="7" s="1"/>
  <c r="A64" i="3"/>
  <c r="T53" i="5" l="1"/>
  <c r="Q54" i="5" s="1"/>
  <c r="R54" i="5" s="1"/>
  <c r="M53" i="5"/>
  <c r="N53" i="5" s="1"/>
  <c r="M64" i="7"/>
  <c r="N64" i="7" s="1"/>
  <c r="M63" i="3"/>
  <c r="N63" i="3" s="1"/>
  <c r="J64" i="3"/>
  <c r="L64" i="3" s="1"/>
  <c r="K64" i="3"/>
  <c r="B65" i="3"/>
  <c r="F65" i="3" s="1"/>
  <c r="K65" i="7" s="1"/>
  <c r="A65" i="3"/>
  <c r="H54" i="5" l="1"/>
  <c r="L54" i="5" s="1"/>
  <c r="M54" i="5" s="1"/>
  <c r="N54" i="5" s="1"/>
  <c r="T54" i="5"/>
  <c r="Q55" i="5" s="1"/>
  <c r="M65" i="7"/>
  <c r="N65" i="7" s="1"/>
  <c r="A66" i="3"/>
  <c r="M64" i="3"/>
  <c r="N64" i="3" s="1"/>
  <c r="J65" i="3"/>
  <c r="L65" i="3" s="1"/>
  <c r="K65" i="3"/>
  <c r="B66" i="3"/>
  <c r="F66" i="3" s="1"/>
  <c r="K66" i="7" s="1"/>
  <c r="M66" i="7" s="1"/>
  <c r="N66" i="7" s="1"/>
  <c r="R55" i="5" l="1"/>
  <c r="H55" i="5" s="1"/>
  <c r="L55" i="5" s="1"/>
  <c r="M55" i="5" s="1"/>
  <c r="N55" i="5" s="1"/>
  <c r="M65" i="3"/>
  <c r="J66" i="3"/>
  <c r="L66" i="3" s="1"/>
  <c r="K66" i="3"/>
  <c r="B67" i="3"/>
  <c r="F67" i="3" s="1"/>
  <c r="K67" i="7" s="1"/>
  <c r="N65" i="3"/>
  <c r="A67" i="3"/>
  <c r="T55" i="5" l="1"/>
  <c r="Q56" i="5" s="1"/>
  <c r="R56" i="5" s="1"/>
  <c r="H56" i="5" s="1"/>
  <c r="L56" i="5" s="1"/>
  <c r="M56" i="5" s="1"/>
  <c r="N56" i="5" s="1"/>
  <c r="M67" i="7"/>
  <c r="N67" i="7" s="1"/>
  <c r="M66" i="3"/>
  <c r="N66" i="3" s="1"/>
  <c r="J67" i="3"/>
  <c r="L67" i="3" s="1"/>
  <c r="K67" i="3"/>
  <c r="A68" i="3"/>
  <c r="B68" i="3"/>
  <c r="F68" i="3" s="1"/>
  <c r="K68" i="7" s="1"/>
  <c r="T56" i="5" l="1"/>
  <c r="Q57" i="5" s="1"/>
  <c r="M68" i="7"/>
  <c r="N68" i="7" s="1"/>
  <c r="M67" i="3"/>
  <c r="N67" i="3" s="1"/>
  <c r="J68" i="3"/>
  <c r="L68" i="3" s="1"/>
  <c r="K68" i="3"/>
  <c r="A69" i="3"/>
  <c r="B69" i="3"/>
  <c r="F69" i="3" s="1"/>
  <c r="K69" i="7" s="1"/>
  <c r="R57" i="5" l="1"/>
  <c r="H57" i="5" s="1"/>
  <c r="L57" i="5" s="1"/>
  <c r="M57" i="5" s="1"/>
  <c r="N57" i="5" s="1"/>
  <c r="M69" i="7"/>
  <c r="N69" i="7" s="1"/>
  <c r="A70" i="3"/>
  <c r="M68" i="3"/>
  <c r="N68" i="3" s="1"/>
  <c r="J69" i="3"/>
  <c r="L69" i="3" s="1"/>
  <c r="K69" i="3"/>
  <c r="B70" i="3"/>
  <c r="F70" i="3" s="1"/>
  <c r="K70" i="7" s="1"/>
  <c r="T57" i="5" l="1"/>
  <c r="Q58" i="5" s="1"/>
  <c r="M70" i="7"/>
  <c r="N70" i="7" s="1"/>
  <c r="M69" i="3"/>
  <c r="N69" i="3" s="1"/>
  <c r="J70" i="3"/>
  <c r="L70" i="3" s="1"/>
  <c r="K70" i="3"/>
  <c r="A71" i="3"/>
  <c r="B71" i="3"/>
  <c r="F71" i="3" s="1"/>
  <c r="K71" i="7" s="1"/>
  <c r="R58" i="5" l="1"/>
  <c r="H58" i="5" s="1"/>
  <c r="L58" i="5" s="1"/>
  <c r="M58" i="5" s="1"/>
  <c r="N58" i="5" s="1"/>
  <c r="M71" i="7"/>
  <c r="N71" i="7" s="1"/>
  <c r="A72" i="3"/>
  <c r="M70" i="3"/>
  <c r="N70" i="3" s="1"/>
  <c r="J71" i="3"/>
  <c r="L71" i="3" s="1"/>
  <c r="K71" i="3"/>
  <c r="B72" i="3"/>
  <c r="F72" i="3" s="1"/>
  <c r="K72" i="7" s="1"/>
  <c r="T58" i="5" l="1"/>
  <c r="Q59" i="5" s="1"/>
  <c r="M72" i="7"/>
  <c r="N72" i="7" s="1"/>
  <c r="M71" i="3"/>
  <c r="N71" i="3" s="1"/>
  <c r="J72" i="3"/>
  <c r="L72" i="3" s="1"/>
  <c r="K72" i="3"/>
  <c r="B73" i="3"/>
  <c r="F73" i="3" s="1"/>
  <c r="K73" i="7" s="1"/>
  <c r="A73" i="3"/>
  <c r="R59" i="5" l="1"/>
  <c r="H59" i="5" s="1"/>
  <c r="L59" i="5" s="1"/>
  <c r="M59" i="5" s="1"/>
  <c r="N59" i="5" s="1"/>
  <c r="M73" i="7"/>
  <c r="N73" i="7" s="1"/>
  <c r="M72" i="3"/>
  <c r="N72" i="3" s="1"/>
  <c r="J73" i="3"/>
  <c r="L73" i="3" s="1"/>
  <c r="K73" i="3"/>
  <c r="A74" i="3"/>
  <c r="B74" i="3"/>
  <c r="F74" i="3" s="1"/>
  <c r="K74" i="7" s="1"/>
  <c r="T59" i="5" l="1"/>
  <c r="Q60" i="5" s="1"/>
  <c r="M74" i="7"/>
  <c r="N74" i="7" s="1"/>
  <c r="M73" i="3"/>
  <c r="N73" i="3" s="1"/>
  <c r="J74" i="3"/>
  <c r="L74" i="3" s="1"/>
  <c r="K74" i="3"/>
  <c r="B75" i="3"/>
  <c r="F75" i="3" s="1"/>
  <c r="K75" i="7" s="1"/>
  <c r="A75" i="3"/>
  <c r="R60" i="5" l="1"/>
  <c r="H60" i="5" s="1"/>
  <c r="L60" i="5" s="1"/>
  <c r="M60" i="5" s="1"/>
  <c r="N60" i="5" s="1"/>
  <c r="M75" i="7"/>
  <c r="N75" i="7" s="1"/>
  <c r="M74" i="3"/>
  <c r="N74" i="3" s="1"/>
  <c r="J75" i="3"/>
  <c r="L75" i="3" s="1"/>
  <c r="K75" i="3"/>
  <c r="B76" i="3"/>
  <c r="F76" i="3" s="1"/>
  <c r="K76" i="7" s="1"/>
  <c r="A76" i="3"/>
  <c r="T60" i="5" l="1"/>
  <c r="Q61" i="5" s="1"/>
  <c r="M76" i="7"/>
  <c r="N76" i="7" s="1"/>
  <c r="A77" i="3"/>
  <c r="M75" i="3"/>
  <c r="N75" i="3" s="1"/>
  <c r="J76" i="3"/>
  <c r="L76" i="3" s="1"/>
  <c r="K76" i="3"/>
  <c r="B77" i="3"/>
  <c r="F77" i="3" s="1"/>
  <c r="K77" i="7" s="1"/>
  <c r="R61" i="5" l="1"/>
  <c r="H61" i="5" s="1"/>
  <c r="L61" i="5" s="1"/>
  <c r="M61" i="5" s="1"/>
  <c r="N61" i="5" s="1"/>
  <c r="M77" i="7"/>
  <c r="N77" i="7" s="1"/>
  <c r="M76" i="3"/>
  <c r="N76" i="3" s="1"/>
  <c r="J77" i="3"/>
  <c r="L77" i="3" s="1"/>
  <c r="K77" i="3"/>
  <c r="A78" i="3"/>
  <c r="B78" i="3"/>
  <c r="F78" i="3" s="1"/>
  <c r="K78" i="7" s="1"/>
  <c r="T61" i="5" l="1"/>
  <c r="Q62" i="5" s="1"/>
  <c r="M78" i="7"/>
  <c r="N78" i="7" s="1"/>
  <c r="M77" i="3"/>
  <c r="N77" i="3" s="1"/>
  <c r="A79" i="3"/>
  <c r="J78" i="3"/>
  <c r="L78" i="3" s="1"/>
  <c r="K78" i="3"/>
  <c r="B79" i="3"/>
  <c r="F79" i="3" s="1"/>
  <c r="K79" i="7" s="1"/>
  <c r="R62" i="5" l="1"/>
  <c r="H62" i="5" s="1"/>
  <c r="L62" i="5" s="1"/>
  <c r="M62" i="5" s="1"/>
  <c r="N62" i="5" s="1"/>
  <c r="M79" i="7"/>
  <c r="N79" i="7" s="1"/>
  <c r="A80" i="3"/>
  <c r="M78" i="3"/>
  <c r="N78" i="3" s="1"/>
  <c r="J79" i="3"/>
  <c r="L79" i="3" s="1"/>
  <c r="K79" i="3"/>
  <c r="B80" i="3"/>
  <c r="F80" i="3" s="1"/>
  <c r="K80" i="7" s="1"/>
  <c r="T62" i="5" l="1"/>
  <c r="Q63" i="5" s="1"/>
  <c r="M80" i="7"/>
  <c r="N80" i="7" s="1"/>
  <c r="A81" i="3"/>
  <c r="M79" i="3"/>
  <c r="N79" i="3" s="1"/>
  <c r="J80" i="3"/>
  <c r="L80" i="3" s="1"/>
  <c r="K80" i="3"/>
  <c r="B81" i="3"/>
  <c r="F81" i="3" s="1"/>
  <c r="K81" i="7" s="1"/>
  <c r="R63" i="5" l="1"/>
  <c r="H63" i="5" s="1"/>
  <c r="L63" i="5" s="1"/>
  <c r="M63" i="5" s="1"/>
  <c r="N63" i="5" s="1"/>
  <c r="M81" i="7"/>
  <c r="N81" i="7" s="1"/>
  <c r="M80" i="3"/>
  <c r="N80" i="3" s="1"/>
  <c r="J81" i="3"/>
  <c r="L81" i="3" s="1"/>
  <c r="K81" i="3"/>
  <c r="B82" i="3"/>
  <c r="F82" i="3" s="1"/>
  <c r="K82" i="7" s="1"/>
  <c r="A82" i="3"/>
  <c r="T63" i="5" l="1"/>
  <c r="Q64" i="5" s="1"/>
  <c r="M82" i="7"/>
  <c r="N82" i="7" s="1"/>
  <c r="M81" i="3"/>
  <c r="N81" i="3" s="1"/>
  <c r="J82" i="3"/>
  <c r="L82" i="3" s="1"/>
  <c r="K82" i="3"/>
  <c r="B83" i="3"/>
  <c r="F83" i="3" s="1"/>
  <c r="K83" i="7" s="1"/>
  <c r="A83" i="3"/>
  <c r="R64" i="5" l="1"/>
  <c r="H64" i="5" s="1"/>
  <c r="L64" i="5" s="1"/>
  <c r="M64" i="5" s="1"/>
  <c r="N64" i="5" s="1"/>
  <c r="M83" i="7"/>
  <c r="N83" i="7" s="1"/>
  <c r="M82" i="3"/>
  <c r="N82" i="3" s="1"/>
  <c r="J83" i="3"/>
  <c r="L83" i="3" s="1"/>
  <c r="K83" i="3"/>
  <c r="B84" i="3"/>
  <c r="F84" i="3" s="1"/>
  <c r="K84" i="7" s="1"/>
  <c r="A84" i="3"/>
  <c r="T64" i="5" l="1"/>
  <c r="Q65" i="5" s="1"/>
  <c r="M84" i="7"/>
  <c r="N84" i="7" s="1"/>
  <c r="A85" i="3"/>
  <c r="M83" i="3"/>
  <c r="N83" i="3" s="1"/>
  <c r="J84" i="3"/>
  <c r="L84" i="3" s="1"/>
  <c r="K84" i="3"/>
  <c r="B85" i="3"/>
  <c r="F85" i="3" s="1"/>
  <c r="K85" i="7" s="1"/>
  <c r="R65" i="5" l="1"/>
  <c r="H65" i="5" s="1"/>
  <c r="L65" i="5" s="1"/>
  <c r="M65" i="5" s="1"/>
  <c r="N65" i="5" s="1"/>
  <c r="T65" i="5"/>
  <c r="Q66" i="5" s="1"/>
  <c r="M85" i="7"/>
  <c r="N85" i="7" s="1"/>
  <c r="M84" i="3"/>
  <c r="N84" i="3" s="1"/>
  <c r="A86" i="3"/>
  <c r="J85" i="3"/>
  <c r="L85" i="3" s="1"/>
  <c r="K85" i="3"/>
  <c r="B86" i="3"/>
  <c r="F86" i="3" s="1"/>
  <c r="K86" i="7" s="1"/>
  <c r="R66" i="5" l="1"/>
  <c r="H66" i="5" s="1"/>
  <c r="L66" i="5" s="1"/>
  <c r="M66" i="5" s="1"/>
  <c r="N66" i="5" s="1"/>
  <c r="T66" i="5"/>
  <c r="Q67" i="5" s="1"/>
  <c r="M86" i="7"/>
  <c r="N86" i="7" s="1"/>
  <c r="M85" i="3"/>
  <c r="N85" i="3" s="1"/>
  <c r="J86" i="3"/>
  <c r="L86" i="3" s="1"/>
  <c r="K86" i="3"/>
  <c r="A87" i="3"/>
  <c r="B87" i="3"/>
  <c r="F87" i="3" s="1"/>
  <c r="K87" i="7" s="1"/>
  <c r="R67" i="5" l="1"/>
  <c r="H67" i="5" s="1"/>
  <c r="L67" i="5" s="1"/>
  <c r="M67" i="5" s="1"/>
  <c r="N67" i="5" s="1"/>
  <c r="M87" i="7"/>
  <c r="N87" i="7" s="1"/>
  <c r="M86" i="3"/>
  <c r="N86" i="3" s="1"/>
  <c r="J87" i="3"/>
  <c r="L87" i="3" s="1"/>
  <c r="K87" i="3"/>
  <c r="A88" i="3"/>
  <c r="B88" i="3"/>
  <c r="F88" i="3" s="1"/>
  <c r="K88" i="7" s="1"/>
  <c r="T67" i="5" l="1"/>
  <c r="Q68" i="5" s="1"/>
  <c r="R68" i="5"/>
  <c r="H68" i="5" s="1"/>
  <c r="L68" i="5" s="1"/>
  <c r="M68" i="5" s="1"/>
  <c r="N68" i="5" s="1"/>
  <c r="M88" i="7"/>
  <c r="N88" i="7" s="1"/>
  <c r="M87" i="3"/>
  <c r="N87" i="3" s="1"/>
  <c r="J88" i="3"/>
  <c r="L88" i="3" s="1"/>
  <c r="K88" i="3"/>
  <c r="B89" i="3"/>
  <c r="F89" i="3" s="1"/>
  <c r="K89" i="7" s="1"/>
  <c r="A89" i="3"/>
  <c r="T68" i="5" l="1"/>
  <c r="Q69" i="5" s="1"/>
  <c r="M89" i="7"/>
  <c r="N89" i="7" s="1"/>
  <c r="M88" i="3"/>
  <c r="N88" i="3" s="1"/>
  <c r="J89" i="3"/>
  <c r="L89" i="3" s="1"/>
  <c r="K89" i="3"/>
  <c r="B90" i="3"/>
  <c r="F90" i="3" s="1"/>
  <c r="K90" i="7" s="1"/>
  <c r="M90" i="7" s="1"/>
  <c r="N90" i="7" s="1"/>
  <c r="A90" i="3"/>
  <c r="R69" i="5" l="1"/>
  <c r="H69" i="5" s="1"/>
  <c r="L69" i="5" s="1"/>
  <c r="M69" i="5" s="1"/>
  <c r="N69" i="5" s="1"/>
  <c r="T69" i="5"/>
  <c r="Q70" i="5" s="1"/>
  <c r="M89" i="3"/>
  <c r="N89" i="3" s="1"/>
  <c r="J90" i="3"/>
  <c r="L90" i="3" s="1"/>
  <c r="K90" i="3"/>
  <c r="A91" i="3"/>
  <c r="A92" i="3" s="1"/>
  <c r="B91" i="3"/>
  <c r="F91" i="3" s="1"/>
  <c r="K91" i="7" s="1"/>
  <c r="R70" i="5" l="1"/>
  <c r="H70" i="5" s="1"/>
  <c r="L70" i="5" s="1"/>
  <c r="M70" i="5" s="1"/>
  <c r="N70" i="5" s="1"/>
  <c r="M91" i="7"/>
  <c r="N91" i="7" s="1"/>
  <c r="M90" i="3"/>
  <c r="N90" i="3" s="1"/>
  <c r="J91" i="3"/>
  <c r="L91" i="3" s="1"/>
  <c r="K91" i="3"/>
  <c r="B92" i="3"/>
  <c r="F92" i="3" s="1"/>
  <c r="K92" i="7" s="1"/>
  <c r="T70" i="5" l="1"/>
  <c r="Q71" i="5" s="1"/>
  <c r="R71" i="5" s="1"/>
  <c r="H71" i="5" s="1"/>
  <c r="L71" i="5" s="1"/>
  <c r="M71" i="5" s="1"/>
  <c r="N71" i="5" s="1"/>
  <c r="M92" i="7"/>
  <c r="N92" i="7" s="1"/>
  <c r="M91" i="3"/>
  <c r="N91" i="3" s="1"/>
  <c r="J92" i="3"/>
  <c r="L92" i="3" s="1"/>
  <c r="K92" i="3"/>
  <c r="A93" i="3"/>
  <c r="B93" i="3"/>
  <c r="F93" i="3" s="1"/>
  <c r="K93" i="7" s="1"/>
  <c r="T71" i="5" l="1"/>
  <c r="Q72" i="5" s="1"/>
  <c r="M93" i="7"/>
  <c r="N93" i="7" s="1"/>
  <c r="A94" i="3"/>
  <c r="M92" i="3"/>
  <c r="N92" i="3" s="1"/>
  <c r="J93" i="3"/>
  <c r="L93" i="3" s="1"/>
  <c r="K93" i="3"/>
  <c r="B94" i="3"/>
  <c r="F94" i="3" s="1"/>
  <c r="K94" i="7" s="1"/>
  <c r="R72" i="5" l="1"/>
  <c r="H72" i="5" s="1"/>
  <c r="L72" i="5" s="1"/>
  <c r="M72" i="5" s="1"/>
  <c r="N72" i="5" s="1"/>
  <c r="M94" i="7"/>
  <c r="N94" i="7" s="1"/>
  <c r="M93" i="3"/>
  <c r="N93" i="3" s="1"/>
  <c r="J94" i="3"/>
  <c r="L94" i="3" s="1"/>
  <c r="K94" i="3"/>
  <c r="B95" i="3"/>
  <c r="F95" i="3" s="1"/>
  <c r="K95" i="7" s="1"/>
  <c r="A95" i="3"/>
  <c r="T72" i="5" l="1"/>
  <c r="Q73" i="5" s="1"/>
  <c r="R73" i="5"/>
  <c r="H73" i="5" s="1"/>
  <c r="L73" i="5" s="1"/>
  <c r="M73" i="5" s="1"/>
  <c r="N73" i="5" s="1"/>
  <c r="M95" i="7"/>
  <c r="N95" i="7" s="1"/>
  <c r="M94" i="3"/>
  <c r="N94" i="3" s="1"/>
  <c r="J95" i="3"/>
  <c r="L95" i="3" s="1"/>
  <c r="K95" i="3"/>
  <c r="A96" i="3"/>
  <c r="B96" i="3"/>
  <c r="F96" i="3" s="1"/>
  <c r="K96" i="7" s="1"/>
  <c r="T73" i="5" l="1"/>
  <c r="Q74" i="5" s="1"/>
  <c r="R74" i="5"/>
  <c r="H74" i="5" s="1"/>
  <c r="L74" i="5" s="1"/>
  <c r="M74" i="5" s="1"/>
  <c r="N74" i="5" s="1"/>
  <c r="M96" i="7"/>
  <c r="N96" i="7" s="1"/>
  <c r="M95" i="3"/>
  <c r="N95" i="3" s="1"/>
  <c r="J96" i="3"/>
  <c r="L96" i="3" s="1"/>
  <c r="K96" i="3"/>
  <c r="B97" i="3"/>
  <c r="F97" i="3" s="1"/>
  <c r="K97" i="7" s="1"/>
  <c r="M97" i="7" s="1"/>
  <c r="N97" i="7" s="1"/>
  <c r="A97" i="3"/>
  <c r="T74" i="5" l="1"/>
  <c r="Q75" i="5" s="1"/>
  <c r="R75" i="5"/>
  <c r="H75" i="5" s="1"/>
  <c r="L75" i="5" s="1"/>
  <c r="M75" i="5" s="1"/>
  <c r="N75" i="5" s="1"/>
  <c r="J97" i="3"/>
  <c r="L97" i="3" s="1"/>
  <c r="K97" i="3"/>
  <c r="M96" i="3"/>
  <c r="N96" i="3" s="1"/>
  <c r="A98" i="3"/>
  <c r="B98" i="3"/>
  <c r="F98" i="3" s="1"/>
  <c r="K98" i="7" s="1"/>
  <c r="T75" i="5" l="1"/>
  <c r="Q76" i="5" s="1"/>
  <c r="R76" i="5" s="1"/>
  <c r="H76" i="5" s="1"/>
  <c r="L76" i="5" s="1"/>
  <c r="M76" i="5" s="1"/>
  <c r="N76" i="5" s="1"/>
  <c r="D8" i="8" s="1"/>
  <c r="M98" i="7"/>
  <c r="N98" i="7" s="1"/>
  <c r="C10" i="8" s="1"/>
  <c r="J98" i="3"/>
  <c r="L98" i="3" s="1"/>
  <c r="K98" i="3"/>
  <c r="M97" i="3"/>
  <c r="N97" i="3" s="1"/>
  <c r="A99" i="3"/>
  <c r="B99" i="3"/>
  <c r="F99" i="3" s="1"/>
  <c r="K99" i="7" s="1"/>
  <c r="T76" i="5" l="1"/>
  <c r="Q77" i="5" s="1"/>
  <c r="M99" i="7"/>
  <c r="N99" i="7" s="1"/>
  <c r="J99" i="3"/>
  <c r="L99" i="3" s="1"/>
  <c r="K99" i="3"/>
  <c r="M98" i="3"/>
  <c r="N98" i="3" s="1"/>
  <c r="B100" i="3"/>
  <c r="F100" i="3" s="1"/>
  <c r="K100" i="7" s="1"/>
  <c r="A100" i="3"/>
  <c r="R77" i="5" l="1"/>
  <c r="H77" i="5" s="1"/>
  <c r="L77" i="5" s="1"/>
  <c r="M77" i="5" s="1"/>
  <c r="N77" i="5" s="1"/>
  <c r="M100" i="7"/>
  <c r="N100" i="7" s="1"/>
  <c r="M99" i="3"/>
  <c r="N99" i="3" s="1"/>
  <c r="J100" i="3"/>
  <c r="L100" i="3" s="1"/>
  <c r="K100" i="3"/>
  <c r="A101" i="3"/>
  <c r="B101" i="3"/>
  <c r="F101" i="3" s="1"/>
  <c r="K101" i="7" s="1"/>
  <c r="T77" i="5" l="1"/>
  <c r="Q78" i="5" s="1"/>
  <c r="M101" i="7"/>
  <c r="N101" i="7" s="1"/>
  <c r="M100" i="3"/>
  <c r="N100" i="3" s="1"/>
  <c r="J101" i="3"/>
  <c r="L101" i="3" s="1"/>
  <c r="K101" i="3"/>
  <c r="B102" i="3"/>
  <c r="F102" i="3" s="1"/>
  <c r="K102" i="7" s="1"/>
  <c r="M102" i="7" s="1"/>
  <c r="N102" i="7" s="1"/>
  <c r="A102" i="3"/>
  <c r="R78" i="5" l="1"/>
  <c r="H78" i="5" s="1"/>
  <c r="L78" i="5" s="1"/>
  <c r="M78" i="5" s="1"/>
  <c r="N78" i="5" s="1"/>
  <c r="T78" i="5"/>
  <c r="Q79" i="5" s="1"/>
  <c r="A103" i="3"/>
  <c r="M101" i="3"/>
  <c r="N101" i="3" s="1"/>
  <c r="J102" i="3"/>
  <c r="L102" i="3" s="1"/>
  <c r="K102" i="3"/>
  <c r="B103" i="3"/>
  <c r="F103" i="3" s="1"/>
  <c r="K103" i="7" s="1"/>
  <c r="R79" i="5" l="1"/>
  <c r="H79" i="5" s="1"/>
  <c r="L79" i="5" s="1"/>
  <c r="M79" i="5" s="1"/>
  <c r="N79" i="5" s="1"/>
  <c r="M103" i="7"/>
  <c r="N103" i="7" s="1"/>
  <c r="M102" i="3"/>
  <c r="N102" i="3" s="1"/>
  <c r="J103" i="3"/>
  <c r="L103" i="3" s="1"/>
  <c r="K103" i="3"/>
  <c r="B104" i="3"/>
  <c r="F104" i="3" s="1"/>
  <c r="K104" i="7" s="1"/>
  <c r="A104" i="3"/>
  <c r="T79" i="5" l="1"/>
  <c r="Q80" i="5" s="1"/>
  <c r="R80" i="5"/>
  <c r="H80" i="5" s="1"/>
  <c r="L80" i="5" s="1"/>
  <c r="M80" i="5" s="1"/>
  <c r="N80" i="5" s="1"/>
  <c r="M104" i="7"/>
  <c r="N104" i="7" s="1"/>
  <c r="A105" i="3"/>
  <c r="M103" i="3"/>
  <c r="N103" i="3" s="1"/>
  <c r="J104" i="3"/>
  <c r="L104" i="3" s="1"/>
  <c r="K104" i="3"/>
  <c r="B105" i="3"/>
  <c r="F105" i="3" s="1"/>
  <c r="K105" i="7" s="1"/>
  <c r="T80" i="5" l="1"/>
  <c r="Q81" i="5" s="1"/>
  <c r="R81" i="5"/>
  <c r="H81" i="5" s="1"/>
  <c r="L81" i="5" s="1"/>
  <c r="M81" i="5" s="1"/>
  <c r="N81" i="5" s="1"/>
  <c r="M105" i="7"/>
  <c r="N105" i="7" s="1"/>
  <c r="M104" i="3"/>
  <c r="N104" i="3" s="1"/>
  <c r="J105" i="3"/>
  <c r="L105" i="3" s="1"/>
  <c r="K105" i="3"/>
  <c r="A106" i="3"/>
  <c r="B106" i="3"/>
  <c r="F106" i="3" s="1"/>
  <c r="K106" i="7" s="1"/>
  <c r="T81" i="5" l="1"/>
  <c r="Q82" i="5" s="1"/>
  <c r="R82" i="5"/>
  <c r="H82" i="5" s="1"/>
  <c r="L82" i="5" s="1"/>
  <c r="M82" i="5" s="1"/>
  <c r="N82" i="5" s="1"/>
  <c r="M106" i="7"/>
  <c r="N106" i="7" s="1"/>
  <c r="A107" i="3"/>
  <c r="M105" i="3"/>
  <c r="N105" i="3" s="1"/>
  <c r="J106" i="3"/>
  <c r="L106" i="3" s="1"/>
  <c r="K106" i="3"/>
  <c r="B107" i="3"/>
  <c r="F107" i="3" s="1"/>
  <c r="K107" i="7" s="1"/>
  <c r="T82" i="5" l="1"/>
  <c r="Q83" i="5" s="1"/>
  <c r="M107" i="7"/>
  <c r="N107" i="7" s="1"/>
  <c r="M106" i="3"/>
  <c r="N106" i="3" s="1"/>
  <c r="J107" i="3"/>
  <c r="L107" i="3" s="1"/>
  <c r="K107" i="3"/>
  <c r="B108" i="3"/>
  <c r="F108" i="3" s="1"/>
  <c r="K108" i="7" s="1"/>
  <c r="A108" i="3"/>
  <c r="R83" i="5" l="1"/>
  <c r="H83" i="5" s="1"/>
  <c r="L83" i="5" s="1"/>
  <c r="M83" i="5" s="1"/>
  <c r="N83" i="5" s="1"/>
  <c r="M108" i="7"/>
  <c r="N108" i="7" s="1"/>
  <c r="J108" i="3"/>
  <c r="L108" i="3" s="1"/>
  <c r="K108" i="3"/>
  <c r="M107" i="3"/>
  <c r="N107" i="3" s="1"/>
  <c r="B109" i="3"/>
  <c r="F109" i="3" s="1"/>
  <c r="K109" i="7" s="1"/>
  <c r="A109" i="3"/>
  <c r="T83" i="5" l="1"/>
  <c r="Q84" i="5" s="1"/>
  <c r="R84" i="5" s="1"/>
  <c r="H84" i="5" s="1"/>
  <c r="L84" i="5" s="1"/>
  <c r="M84" i="5" s="1"/>
  <c r="N84" i="5" s="1"/>
  <c r="M109" i="7"/>
  <c r="N109" i="7" s="1"/>
  <c r="M108" i="3"/>
  <c r="N108" i="3" s="1"/>
  <c r="J109" i="3"/>
  <c r="L109" i="3" s="1"/>
  <c r="K109" i="3"/>
  <c r="B110" i="3"/>
  <c r="F110" i="3" s="1"/>
  <c r="K110" i="7" s="1"/>
  <c r="A110" i="3"/>
  <c r="T84" i="5" l="1"/>
  <c r="Q85" i="5" s="1"/>
  <c r="R85" i="5" s="1"/>
  <c r="H85" i="5" s="1"/>
  <c r="L85" i="5" s="1"/>
  <c r="M85" i="5" s="1"/>
  <c r="N85" i="5" s="1"/>
  <c r="M110" i="7"/>
  <c r="N110" i="7" s="1"/>
  <c r="M109" i="3"/>
  <c r="N109" i="3" s="1"/>
  <c r="J110" i="3"/>
  <c r="L110" i="3" s="1"/>
  <c r="K110" i="3"/>
  <c r="B111" i="3"/>
  <c r="F111" i="3" s="1"/>
  <c r="K111" i="7" s="1"/>
  <c r="A111" i="3"/>
  <c r="T85" i="5" l="1"/>
  <c r="Q86" i="5" s="1"/>
  <c r="R86" i="5" s="1"/>
  <c r="H86" i="5" s="1"/>
  <c r="L86" i="5" s="1"/>
  <c r="M86" i="5" s="1"/>
  <c r="N86" i="5" s="1"/>
  <c r="M111" i="7"/>
  <c r="N111" i="7" s="1"/>
  <c r="M110" i="3"/>
  <c r="N110" i="3" s="1"/>
  <c r="J111" i="3"/>
  <c r="L111" i="3" s="1"/>
  <c r="K111" i="3"/>
  <c r="B112" i="3"/>
  <c r="F112" i="3" s="1"/>
  <c r="K112" i="7" s="1"/>
  <c r="A112" i="3"/>
  <c r="T86" i="5" l="1"/>
  <c r="Q87" i="5" s="1"/>
  <c r="M112" i="7"/>
  <c r="N112" i="7" s="1"/>
  <c r="A113" i="3"/>
  <c r="M111" i="3"/>
  <c r="N111" i="3" s="1"/>
  <c r="J112" i="3"/>
  <c r="L112" i="3" s="1"/>
  <c r="K112" i="3"/>
  <c r="B113" i="3"/>
  <c r="F113" i="3" s="1"/>
  <c r="K113" i="7" s="1"/>
  <c r="R87" i="5" l="1"/>
  <c r="H87" i="5" s="1"/>
  <c r="L87" i="5" s="1"/>
  <c r="M87" i="5" s="1"/>
  <c r="N87" i="5" s="1"/>
  <c r="T87" i="5"/>
  <c r="Q88" i="5" s="1"/>
  <c r="R88" i="5" s="1"/>
  <c r="H88" i="5" s="1"/>
  <c r="L88" i="5" s="1"/>
  <c r="M88" i="5" s="1"/>
  <c r="N88" i="5" s="1"/>
  <c r="T88" i="5"/>
  <c r="Q89" i="5" s="1"/>
  <c r="M113" i="7"/>
  <c r="N113" i="7" s="1"/>
  <c r="M112" i="3"/>
  <c r="N112" i="3" s="1"/>
  <c r="J113" i="3"/>
  <c r="L113" i="3" s="1"/>
  <c r="K113" i="3"/>
  <c r="B114" i="3"/>
  <c r="F114" i="3" s="1"/>
  <c r="K114" i="7" s="1"/>
  <c r="A114" i="3"/>
  <c r="R89" i="5" l="1"/>
  <c r="H89" i="5" s="1"/>
  <c r="L89" i="5" s="1"/>
  <c r="M89" i="5" s="1"/>
  <c r="N89" i="5" s="1"/>
  <c r="T89" i="5"/>
  <c r="Q90" i="5" s="1"/>
  <c r="M114" i="7"/>
  <c r="N114" i="7" s="1"/>
  <c r="A115" i="3"/>
  <c r="M113" i="3"/>
  <c r="N113" i="3" s="1"/>
  <c r="J114" i="3"/>
  <c r="L114" i="3" s="1"/>
  <c r="K114" i="3"/>
  <c r="B115" i="3"/>
  <c r="F115" i="3" s="1"/>
  <c r="K115" i="7" s="1"/>
  <c r="R90" i="5" l="1"/>
  <c r="H90" i="5" s="1"/>
  <c r="L90" i="5" s="1"/>
  <c r="M90" i="5" s="1"/>
  <c r="N90" i="5" s="1"/>
  <c r="M115" i="7"/>
  <c r="N115" i="7" s="1"/>
  <c r="M114" i="3"/>
  <c r="N114" i="3" s="1"/>
  <c r="J115" i="3"/>
  <c r="L115" i="3" s="1"/>
  <c r="K115" i="3"/>
  <c r="B116" i="3"/>
  <c r="F116" i="3" s="1"/>
  <c r="K116" i="7" s="1"/>
  <c r="A116" i="3"/>
  <c r="T90" i="5" l="1"/>
  <c r="Q91" i="5" s="1"/>
  <c r="M116" i="7"/>
  <c r="N116" i="7" s="1"/>
  <c r="M115" i="3"/>
  <c r="N115" i="3" s="1"/>
  <c r="J116" i="3"/>
  <c r="L116" i="3" s="1"/>
  <c r="K116" i="3"/>
  <c r="A117" i="3"/>
  <c r="B117" i="3"/>
  <c r="F117" i="3" s="1"/>
  <c r="K117" i="7" s="1"/>
  <c r="R91" i="5" l="1"/>
  <c r="H91" i="5" s="1"/>
  <c r="L91" i="5" s="1"/>
  <c r="M91" i="5" s="1"/>
  <c r="N91" i="5" s="1"/>
  <c r="M117" i="7"/>
  <c r="N117" i="7" s="1"/>
  <c r="M116" i="3"/>
  <c r="N116" i="3" s="1"/>
  <c r="J117" i="3"/>
  <c r="L117" i="3" s="1"/>
  <c r="K117" i="3"/>
  <c r="A118" i="3"/>
  <c r="B118" i="3"/>
  <c r="F118" i="3" s="1"/>
  <c r="K118" i="7" s="1"/>
  <c r="T91" i="5" l="1"/>
  <c r="Q92" i="5" s="1"/>
  <c r="M118" i="7"/>
  <c r="N118" i="7" s="1"/>
  <c r="J118" i="3"/>
  <c r="L118" i="3" s="1"/>
  <c r="K118" i="3"/>
  <c r="M117" i="3"/>
  <c r="N117" i="3" s="1"/>
  <c r="B119" i="3"/>
  <c r="F119" i="3" s="1"/>
  <c r="K119" i="7" s="1"/>
  <c r="A119" i="3"/>
  <c r="R92" i="5" l="1"/>
  <c r="H92" i="5" s="1"/>
  <c r="L92" i="5" s="1"/>
  <c r="M92" i="5" s="1"/>
  <c r="N92" i="5" s="1"/>
  <c r="M119" i="7"/>
  <c r="N119" i="7" s="1"/>
  <c r="M118" i="3"/>
  <c r="N118" i="3" s="1"/>
  <c r="A120" i="3"/>
  <c r="J119" i="3"/>
  <c r="L119" i="3" s="1"/>
  <c r="K119" i="3"/>
  <c r="B120" i="3"/>
  <c r="F120" i="3" s="1"/>
  <c r="K120" i="7" s="1"/>
  <c r="T92" i="5" l="1"/>
  <c r="Q93" i="5" s="1"/>
  <c r="M120" i="7"/>
  <c r="N120" i="7" s="1"/>
  <c r="J120" i="3"/>
  <c r="L120" i="3" s="1"/>
  <c r="K120" i="3"/>
  <c r="M119" i="3"/>
  <c r="N119" i="3" s="1"/>
  <c r="B122" i="3"/>
  <c r="F122" i="3" s="1"/>
  <c r="K122" i="7" s="1"/>
  <c r="Q3" i="7" s="1"/>
  <c r="B121" i="3"/>
  <c r="F121" i="3" s="1"/>
  <c r="K121" i="7" s="1"/>
  <c r="M121" i="7" s="1"/>
  <c r="N121" i="7" s="1"/>
  <c r="A121" i="3"/>
  <c r="R93" i="5" l="1"/>
  <c r="H93" i="5" s="1"/>
  <c r="L93" i="5" s="1"/>
  <c r="M93" i="5" s="1"/>
  <c r="N93" i="5" s="1"/>
  <c r="M122" i="7"/>
  <c r="N122" i="7" s="1"/>
  <c r="Q2" i="7" s="1"/>
  <c r="Q4" i="7" s="1"/>
  <c r="M120" i="3"/>
  <c r="N120" i="3" s="1"/>
  <c r="A122" i="3"/>
  <c r="B4" i="8" s="1"/>
  <c r="J121" i="3"/>
  <c r="L121" i="3" s="1"/>
  <c r="K121" i="3"/>
  <c r="J122" i="3"/>
  <c r="L122" i="3" s="1"/>
  <c r="K122" i="3"/>
  <c r="B9" i="8"/>
  <c r="Q3" i="3" l="1"/>
  <c r="T93" i="5"/>
  <c r="Q94" i="5" s="1"/>
  <c r="C12" i="8"/>
  <c r="C3" i="8"/>
  <c r="C5" i="8"/>
  <c r="C7" i="8"/>
  <c r="C8" i="8"/>
  <c r="C9" i="8"/>
  <c r="C11" i="8"/>
  <c r="M121" i="3"/>
  <c r="N121" i="3" s="1"/>
  <c r="B5" i="8"/>
  <c r="B11" i="8"/>
  <c r="B6" i="8"/>
  <c r="B10" i="8"/>
  <c r="M122" i="3"/>
  <c r="N122" i="3" s="1"/>
  <c r="Q2" i="3" l="1"/>
  <c r="Q4" i="3" s="1"/>
  <c r="R94" i="5"/>
  <c r="H94" i="5" s="1"/>
  <c r="L94" i="5" s="1"/>
  <c r="M94" i="5" s="1"/>
  <c r="N94" i="5" s="1"/>
  <c r="C14" i="8"/>
  <c r="B12" i="8"/>
  <c r="B3" i="8"/>
  <c r="B7" i="8"/>
  <c r="B8" i="8"/>
  <c r="T94" i="5" l="1"/>
  <c r="Q95" i="5" s="1"/>
  <c r="R95" i="5"/>
  <c r="H95" i="5" s="1"/>
  <c r="L95" i="5" s="1"/>
  <c r="M95" i="5" s="1"/>
  <c r="N95" i="5" s="1"/>
  <c r="T95" i="5"/>
  <c r="Q96" i="5" s="1"/>
  <c r="B14" i="8"/>
  <c r="D3" i="8"/>
  <c r="D4" i="8"/>
  <c r="D5" i="8"/>
  <c r="D7" i="8"/>
  <c r="D9" i="8"/>
  <c r="R96" i="5" l="1"/>
  <c r="H96" i="5" s="1"/>
  <c r="L96" i="5" s="1"/>
  <c r="M96" i="5" s="1"/>
  <c r="N96" i="5" s="1"/>
  <c r="T96" i="5" l="1"/>
  <c r="Q97" i="5" s="1"/>
  <c r="R97" i="5" s="1"/>
  <c r="H97" i="5" s="1"/>
  <c r="L97" i="5" s="1"/>
  <c r="M97" i="5" s="1"/>
  <c r="N97" i="5" s="1"/>
  <c r="T97" i="5" l="1"/>
  <c r="Q98" i="5" s="1"/>
  <c r="R98" i="5" s="1"/>
  <c r="H98" i="5" s="1"/>
  <c r="L98" i="5" s="1"/>
  <c r="M98" i="5" s="1"/>
  <c r="N98" i="5" s="1"/>
  <c r="T98" i="5" l="1"/>
  <c r="Q99" i="5" s="1"/>
  <c r="R99" i="5" s="1"/>
  <c r="H99" i="5" s="1"/>
  <c r="L99" i="5" s="1"/>
  <c r="M99" i="5" s="1"/>
  <c r="N99" i="5" s="1"/>
  <c r="T99" i="5" l="1"/>
  <c r="Q100" i="5" s="1"/>
  <c r="R100" i="5" s="1"/>
  <c r="H100" i="5" s="1"/>
  <c r="L100" i="5" s="1"/>
  <c r="M100" i="5" s="1"/>
  <c r="N100" i="5" s="1"/>
  <c r="D10" i="8" s="1"/>
  <c r="T100" i="5" l="1"/>
  <c r="Q101" i="5" s="1"/>
  <c r="R101" i="5" l="1"/>
  <c r="H101" i="5" s="1"/>
  <c r="L101" i="5" s="1"/>
  <c r="M101" i="5" s="1"/>
  <c r="N101" i="5" s="1"/>
  <c r="T101" i="5" l="1"/>
  <c r="Q102" i="5" s="1"/>
  <c r="R102" i="5" s="1"/>
  <c r="H102" i="5" l="1"/>
  <c r="L102" i="5" s="1"/>
  <c r="M102" i="5" s="1"/>
  <c r="N102" i="5" s="1"/>
  <c r="T102" i="5"/>
  <c r="Q103" i="5" s="1"/>
  <c r="R103" i="5" s="1"/>
  <c r="H103" i="5" s="1"/>
  <c r="L103" i="5" s="1"/>
  <c r="M103" i="5" s="1"/>
  <c r="N103" i="5" s="1"/>
  <c r="T103" i="5" l="1"/>
  <c r="Q104" i="5" s="1"/>
  <c r="R104" i="5"/>
  <c r="H104" i="5" s="1"/>
  <c r="L104" i="5" s="1"/>
  <c r="M104" i="5" s="1"/>
  <c r="N104" i="5" s="1"/>
  <c r="T104" i="5" l="1"/>
  <c r="Q105" i="5" s="1"/>
  <c r="R105" i="5" l="1"/>
  <c r="H105" i="5" s="1"/>
  <c r="L105" i="5" s="1"/>
  <c r="M105" i="5" s="1"/>
  <c r="N105" i="5" s="1"/>
  <c r="T105" i="5" l="1"/>
  <c r="Q106" i="5" s="1"/>
  <c r="R106" i="5"/>
  <c r="H106" i="5" s="1"/>
  <c r="L106" i="5" s="1"/>
  <c r="M106" i="5" s="1"/>
  <c r="N106" i="5" s="1"/>
  <c r="T106" i="5" l="1"/>
  <c r="Q107" i="5" s="1"/>
  <c r="R107" i="5" s="1"/>
  <c r="H107" i="5" s="1"/>
  <c r="L107" i="5" s="1"/>
  <c r="M107" i="5" s="1"/>
  <c r="N107" i="5" s="1"/>
  <c r="T107" i="5" l="1"/>
  <c r="Q108" i="5" s="1"/>
  <c r="R108" i="5"/>
  <c r="H108" i="5" s="1"/>
  <c r="L108" i="5" s="1"/>
  <c r="M108" i="5" s="1"/>
  <c r="N108" i="5" s="1"/>
  <c r="T108" i="5" l="1"/>
  <c r="Q109" i="5" s="1"/>
  <c r="R109" i="5"/>
  <c r="H109" i="5" s="1"/>
  <c r="L109" i="5" s="1"/>
  <c r="M109" i="5" s="1"/>
  <c r="N109" i="5" s="1"/>
  <c r="T109" i="5" l="1"/>
  <c r="Q110" i="5" s="1"/>
  <c r="R110" i="5"/>
  <c r="H110" i="5" s="1"/>
  <c r="L110" i="5" s="1"/>
  <c r="M110" i="5" s="1"/>
  <c r="N110" i="5" s="1"/>
  <c r="T110" i="5"/>
  <c r="Q111" i="5" s="1"/>
  <c r="R111" i="5" l="1"/>
  <c r="H111" i="5" s="1"/>
  <c r="L111" i="5" s="1"/>
  <c r="M111" i="5" s="1"/>
  <c r="N111" i="5" s="1"/>
  <c r="T111" i="5"/>
  <c r="Q112" i="5" s="1"/>
  <c r="R112" i="5" l="1"/>
  <c r="H112" i="5" s="1"/>
  <c r="L112" i="5" s="1"/>
  <c r="M112" i="5" s="1"/>
  <c r="N112" i="5" s="1"/>
  <c r="T112" i="5"/>
  <c r="Q113" i="5" s="1"/>
  <c r="R113" i="5" l="1"/>
  <c r="H113" i="5" s="1"/>
  <c r="L113" i="5" s="1"/>
  <c r="M113" i="5" l="1"/>
  <c r="N113" i="5" s="1"/>
  <c r="T113" i="5"/>
  <c r="Q114" i="5" s="1"/>
  <c r="R114" i="5" l="1"/>
  <c r="H114" i="5" s="1"/>
  <c r="L114" i="5" s="1"/>
  <c r="M114" i="5" s="1"/>
  <c r="N114" i="5" s="1"/>
  <c r="T114" i="5" l="1"/>
  <c r="Q115" i="5" s="1"/>
  <c r="R115" i="5"/>
  <c r="H115" i="5" s="1"/>
  <c r="L115" i="5" s="1"/>
  <c r="M115" i="5" s="1"/>
  <c r="N115" i="5" s="1"/>
  <c r="T115" i="5" l="1"/>
  <c r="Q116" i="5" s="1"/>
  <c r="R116" i="5"/>
  <c r="H116" i="5" s="1"/>
  <c r="L116" i="5" s="1"/>
  <c r="M116" i="5" s="1"/>
  <c r="N116" i="5" s="1"/>
  <c r="T116" i="5" l="1"/>
  <c r="Q117" i="5" s="1"/>
  <c r="R117" i="5"/>
  <c r="H117" i="5" s="1"/>
  <c r="L117" i="5" s="1"/>
  <c r="M117" i="5" s="1"/>
  <c r="N117" i="5" s="1"/>
  <c r="T117" i="5"/>
  <c r="Q118" i="5" s="1"/>
  <c r="R118" i="5" l="1"/>
  <c r="H118" i="5" s="1"/>
  <c r="L118" i="5" s="1"/>
  <c r="T118" i="5"/>
  <c r="Q119" i="5" s="1"/>
  <c r="R119" i="5" l="1"/>
  <c r="H119" i="5" s="1"/>
  <c r="L119" i="5" s="1"/>
  <c r="T119" i="5"/>
  <c r="Q120" i="5" s="1"/>
  <c r="M118" i="5"/>
  <c r="N118" i="5" s="1"/>
  <c r="R120" i="5" l="1"/>
  <c r="H120" i="5" s="1"/>
  <c r="L120" i="5" s="1"/>
  <c r="M120" i="5" s="1"/>
  <c r="N120" i="5" s="1"/>
  <c r="T120" i="5"/>
  <c r="Q121" i="5" s="1"/>
  <c r="M119" i="5"/>
  <c r="N119" i="5" s="1"/>
  <c r="R121" i="5" l="1"/>
  <c r="H121" i="5" s="1"/>
  <c r="L121" i="5" s="1"/>
  <c r="M121" i="5" s="1"/>
  <c r="N121" i="5" s="1"/>
  <c r="T121" i="5" l="1"/>
  <c r="Q122" i="5" s="1"/>
  <c r="R122" i="5" l="1"/>
  <c r="H122" i="5" s="1"/>
  <c r="L122" i="5" s="1"/>
  <c r="M122" i="5" s="1"/>
  <c r="N122" i="5" s="1"/>
  <c r="T122" i="5" l="1"/>
  <c r="Q123" i="5" s="1"/>
  <c r="R123" i="5" l="1"/>
  <c r="H123" i="5" s="1"/>
  <c r="L123" i="5" s="1"/>
  <c r="M123" i="5" s="1"/>
  <c r="N123" i="5" s="1"/>
  <c r="T123" i="5"/>
  <c r="Q124" i="5" s="1"/>
  <c r="R124" i="5" l="1"/>
  <c r="H124" i="5" s="1"/>
  <c r="L124" i="5" s="1"/>
  <c r="M124" i="5" s="1"/>
  <c r="N124" i="5" s="1"/>
  <c r="X4" i="5" s="1"/>
  <c r="X6" i="5" s="1"/>
  <c r="T124" i="5"/>
  <c r="D12" i="8" l="1"/>
  <c r="D11" i="8"/>
  <c r="D14" i="8" l="1"/>
</calcChain>
</file>

<file path=xl/sharedStrings.xml><?xml version="1.0" encoding="utf-8"?>
<sst xmlns="http://schemas.openxmlformats.org/spreadsheetml/2006/main" count="141" uniqueCount="78">
  <si>
    <t>Ice-Cream Gallons sold</t>
  </si>
  <si>
    <t>Icecream gallons</t>
  </si>
  <si>
    <t>Chocolate syrup</t>
  </si>
  <si>
    <t>Strawberry Syrup</t>
  </si>
  <si>
    <t>Cost of icecream gallon</t>
  </si>
  <si>
    <t>Cost of chocolate syrup</t>
  </si>
  <si>
    <t>Cost of strawberry syrup</t>
  </si>
  <si>
    <t>Selling price of icecream gallon</t>
  </si>
  <si>
    <t>Selling price of chocolate syrup</t>
  </si>
  <si>
    <t>Selling price strawberry syrup</t>
  </si>
  <si>
    <t>Summer</t>
  </si>
  <si>
    <t>Winter</t>
  </si>
  <si>
    <t>Season</t>
  </si>
  <si>
    <t>Revenue</t>
  </si>
  <si>
    <t>Rent</t>
  </si>
  <si>
    <t>Salary</t>
  </si>
  <si>
    <t>Electricity</t>
  </si>
  <si>
    <t>per month</t>
  </si>
  <si>
    <t>Product cost</t>
  </si>
  <si>
    <t>Profit</t>
  </si>
  <si>
    <t>EMI calculation</t>
  </si>
  <si>
    <t>Month</t>
  </si>
  <si>
    <t>Loan O/s BOM</t>
  </si>
  <si>
    <t>Interest</t>
  </si>
  <si>
    <t xml:space="preserve">EMI </t>
  </si>
  <si>
    <t>Loan O/S EOM</t>
  </si>
  <si>
    <t>Loan Amount</t>
  </si>
  <si>
    <t>Interest rate</t>
  </si>
  <si>
    <t>p.a.</t>
  </si>
  <si>
    <t>Monthly interest rate</t>
  </si>
  <si>
    <t>Proportion of chocolate syrup</t>
  </si>
  <si>
    <t>Proportion of Strawberry syrup</t>
  </si>
  <si>
    <t>Income Tax</t>
  </si>
  <si>
    <t>Income Tax rate</t>
  </si>
  <si>
    <t>Base</t>
  </si>
  <si>
    <t>Scenario 2</t>
  </si>
  <si>
    <t>Year</t>
  </si>
  <si>
    <t>Annual Profit</t>
  </si>
  <si>
    <t>Cost</t>
  </si>
  <si>
    <t>Check &lt;=2,000</t>
  </si>
  <si>
    <t>Month and Year</t>
  </si>
  <si>
    <t>Check &lt;=2000</t>
  </si>
  <si>
    <t>NPV</t>
  </si>
  <si>
    <t>growth rate</t>
  </si>
  <si>
    <t>Decimal Numbers</t>
  </si>
  <si>
    <t>Check complete data</t>
  </si>
  <si>
    <t>Check Decimal</t>
  </si>
  <si>
    <t>No. of Gallons Ice Cream sold</t>
  </si>
  <si>
    <t>Data</t>
  </si>
  <si>
    <t>Discount rate</t>
  </si>
  <si>
    <t>Average growth rate</t>
  </si>
  <si>
    <t>March sale increase</t>
  </si>
  <si>
    <t>Scenario 1</t>
  </si>
  <si>
    <t>Count of data</t>
  </si>
  <si>
    <t>Corrected Data 1</t>
  </si>
  <si>
    <t>Corrected Data 2</t>
  </si>
  <si>
    <t>Parameters</t>
  </si>
  <si>
    <t>P.a.</t>
  </si>
  <si>
    <t>p.m.</t>
  </si>
  <si>
    <t>PV of Profit</t>
  </si>
  <si>
    <t>PV of Revenue</t>
  </si>
  <si>
    <t>Profit Margin</t>
  </si>
  <si>
    <r>
      <rPr>
        <b/>
        <u/>
        <sz val="11"/>
        <color theme="1"/>
        <rFont val="Calibri"/>
        <family val="2"/>
        <scheme val="minor"/>
      </rPr>
      <t xml:space="preserve">Purpose- </t>
    </r>
    <r>
      <rPr>
        <sz val="11"/>
        <color theme="1"/>
        <rFont val="Calibri"/>
        <family val="2"/>
        <scheme val="minor"/>
      </rPr>
      <t xml:space="preserve">The purpose of the spreadsheet model is to calculate the profit for the ice cream shopkeeper under three different scenarios. The model is developed to project cashflows over 10 years period based on past data points and providing present value of future profits at a discount rate of 10% p.a. The three scenarios are as below:
Base Scenario- The shopkeeper has shop on rent and the three months from January to March are winter months
Scenario1- The shopkeeper has shop on rent and the three months from January to February are winter months causing higher sales in March by 20% and electricity bill same as the summer while the sale price is old
Scenario2- This is same as scenario 1 where shopkeeper now takes a mortgage on the shop and purchases it.
</t>
    </r>
  </si>
  <si>
    <r>
      <rPr>
        <u/>
        <sz val="11"/>
        <color theme="1"/>
        <rFont val="Calibri"/>
        <family val="2"/>
        <scheme val="minor"/>
      </rPr>
      <t xml:space="preserve">Data- </t>
    </r>
    <r>
      <rPr>
        <sz val="11"/>
        <color theme="1"/>
        <rFont val="Calibri"/>
        <family val="2"/>
        <scheme val="minor"/>
      </rPr>
      <t xml:space="preserve">We have been provided with the monthly sales data for the last 10 years. The data comprises the number of ice-cream sales in gallons. </t>
    </r>
  </si>
  <si>
    <t xml:space="preserve">Assumptions- </t>
  </si>
  <si>
    <t xml:space="preserve">The following assumptions were made for the purpose of cashflow projection-
• The increase rate over last year is steady and can be used for missing records
• The inflation can be ignored
• There is no issue in hiring staff as needed and the salaries on average are steady
• The data storage system is reliable
• There is no supply chain disruption and shopkeeper can secure stocks as and when needed
• The limitation of quantity of supply can’t be corrected.
• There are no more changes expected in seasons.
• The quality of ice-cream and syrups will be maintained
• The mortgage rate is best available one and flat for term
</t>
  </si>
  <si>
    <t xml:space="preserve">Modeling:
The spreadsheet model has the following sheets:
1. Data
2. Corrected Data
3. Parameters
4. Base scenario
5. Scenario 1
6. Scenario 2
</t>
  </si>
  <si>
    <t>Graph</t>
  </si>
  <si>
    <t>The workings and details of each sheet are described below in turn.</t>
  </si>
  <si>
    <t>Methodology-</t>
  </si>
  <si>
    <r>
      <rPr>
        <u/>
        <sz val="11"/>
        <color theme="1"/>
        <rFont val="Calibri"/>
        <family val="2"/>
        <scheme val="minor"/>
      </rPr>
      <t>Data Worksheet-</t>
    </r>
    <r>
      <rPr>
        <sz val="11"/>
        <color theme="1"/>
        <rFont val="Calibri"/>
        <family val="2"/>
        <scheme val="minor"/>
      </rPr>
      <t xml:space="preserve">
The data provided was copied over to this worksheet.
The data was checked for completeness and correctness. Following checks were performed on the data:
1. To check sales of icecream is less than 2,000 gallons a month
a. 4 months with more than capacity of sales records were found
2. Count of records:
a. The count of records was calculated in cell D5. It was found that data is missing for 3 months.
b. To find the missing months, in column G month and year were recorded for the period January 2011 to December 2020, and using the vlookup function sales quantity from the original data were mapped to the respective month and year. All the months and the year with #N/A were identified as missing records.
c. If the sales quantity for any month was more than 2,000 it was corrected to be 2,000
d. In column J – yearly sales growth was calculated and in cell J2 average of the growth record was calculated. 
e. Conditional formatting was applied on the growth rate to highlight those cells where growth rate is +-5% different to the average
f. June,2012 and June 2013 identified as having high and low growth rates than expected
g. For June,2012 the sales figure was manually corrected as average of the previous and next month. The cell is filled with Gray color and on correction of the value, growth rate for the month June,2013 looks reasonable.
h. In column L a check was performed to see whether sales numbers are recorded in decimal. There were 10 records where sales quantity was recorded in decimal. The quantity was rounded to nearest 0 using round function in sheet column M.
</t>
    </r>
  </si>
  <si>
    <r>
      <rPr>
        <u/>
        <sz val="11"/>
        <color theme="1"/>
        <rFont val="Calibri"/>
        <family val="2"/>
        <scheme val="minor"/>
      </rPr>
      <t>Corrected Data Worksheet- To record clean data</t>
    </r>
    <r>
      <rPr>
        <sz val="11"/>
        <color theme="1"/>
        <rFont val="Calibri"/>
        <family val="2"/>
        <scheme val="minor"/>
      </rPr>
      <t xml:space="preserve">
Column B has 1 to 120 serial numbers representing the start of the period to the end of the period. Against each of the serial number, the corrected sales volume were picked from the column M of the Data sheet.
</t>
    </r>
  </si>
  <si>
    <r>
      <rPr>
        <u/>
        <sz val="11"/>
        <color theme="1"/>
        <rFont val="Calibri"/>
        <family val="2"/>
        <scheme val="minor"/>
      </rPr>
      <t>Parameters Worksheet-</t>
    </r>
    <r>
      <rPr>
        <sz val="11"/>
        <color theme="1"/>
        <rFont val="Calibri"/>
        <family val="2"/>
        <scheme val="minor"/>
      </rPr>
      <t xml:space="preserve">
All the provided information is summarized in this worksheet for use in the model. Following are the various parameters with corresponding values.
</t>
    </r>
  </si>
  <si>
    <t>All of the above parameters are provided a name for ease of auditing.</t>
  </si>
  <si>
    <r>
      <rPr>
        <u/>
        <sz val="11"/>
        <color theme="1"/>
        <rFont val="Calibri"/>
        <family val="2"/>
        <scheme val="minor"/>
      </rPr>
      <t>Base Scenario Worksheet-</t>
    </r>
    <r>
      <rPr>
        <sz val="11"/>
        <color theme="1"/>
        <rFont val="Calibri"/>
        <family val="2"/>
        <scheme val="minor"/>
      </rPr>
      <t xml:space="preserve">
In this worksheet, the profit is calculated over last 10 years period.
Columns A and B list the year and month.
Column C picks the corrected data for monthly sales from “Corrected Data” worksheet. 
In column D, the number of chocolate syrup bottles is calculated by multiplying ice-cream gallons by 2.
In column E, the number of strawberry syrup bottles is calculated by equating to ice-cream gallons.
In column F, the season is calculated by referring to the information provided. For Jan to March, it is treated as Winter and for other months, it is Summer
In column G, the total cost is calculated by multiplying column C, D and E by the unit purchase cost of Ice-cream gallon, Chocolate Syrup and Strawberry syrup respectively
In column H, the rent is picked for each month andIn column I, the staff salary is picked up for each month. 
In column J, the electricity cost is calculated. The electricity cost vary by the season and hence is picked up as per the season recoded in column F.
In column K, the Revenue is calculated by multiplying column C, D and E by the unit sale price of Ice-cream gallon, Chocolate Syrup and Strawberry syrup respectively. The icecream price vary by the season, and hence icecream price is linked to the season of the month.
In column L, all the cost is added together to calculate the total cost. Values in column G, H, I and J are added to calculate total cost.
In column M, tax is calculated at profit (Revenue-Total cost) by multiplying with income tax rate 
In column N, Net profit is calculated by subtracting cost and income tax from revenue.
</t>
    </r>
  </si>
  <si>
    <r>
      <rPr>
        <u/>
        <sz val="11"/>
        <color theme="1"/>
        <rFont val="Calibri"/>
        <family val="2"/>
        <scheme val="minor"/>
      </rPr>
      <t>Scenario 1 Worksheet-</t>
    </r>
    <r>
      <rPr>
        <sz val="11"/>
        <color theme="1"/>
        <rFont val="Calibri"/>
        <family val="2"/>
        <scheme val="minor"/>
      </rPr>
      <t xml:space="preserve">
The base scenario sheet is copied for this scenario calculation.
The column C is updated to pick up increased sale volume in the month of March by 20%.
Column F is changed to mark March also as summer.
Column K: sale revenue – the formula is updated to reflect that the price of icecream follows the seasons under base scenario.
All other calculations remain the same as per base scenario.
</t>
    </r>
  </si>
  <si>
    <r>
      <rPr>
        <u/>
        <sz val="11"/>
        <color theme="1"/>
        <rFont val="Calibri"/>
        <family val="2"/>
        <scheme val="minor"/>
      </rPr>
      <t>Scenario 2 Worksheet-</t>
    </r>
    <r>
      <rPr>
        <sz val="11"/>
        <color theme="1"/>
        <rFont val="Calibri"/>
        <family val="2"/>
        <scheme val="minor"/>
      </rPr>
      <t xml:space="preserve">
The Scenario 2 sheet is copied for this calculation.
The rent column is replaced by interest paid which comes from EMI calculation performed on the right side From column P to U, the EMI calculation is performed. The loan interest rate is used to calculate the monthly interest rate in U1 using formula (1+interest rate)^(1/12)-1
In column Q, the outstanding loan at the beginning of the month is calculated. For the first month, it is set equal to 5 million, the loan amount. For the future months, it is equal to loan outstanding end of previous month.
In column R, interest is calculated by multiplying the loan outstanding (column Q) at beginning of month with monthly interest rate.
In column T, the loan outstanding at end of the month is calculated by loan outstanding at the beginning of the month  plus interest for the month less the EMI.
In column S, the EMI is calculated. This is calculated using goal seek such that loan outstanding at end of the term (T124) becomes 0,
This interest in column R is used in the profit calculation instead of the rent column in previous scenarios.
</t>
    </r>
  </si>
  <si>
    <r>
      <rPr>
        <u/>
        <sz val="11"/>
        <color theme="1"/>
        <rFont val="Calibri"/>
        <family val="2"/>
        <scheme val="minor"/>
      </rPr>
      <t>Graph Worksheet-</t>
    </r>
    <r>
      <rPr>
        <sz val="11"/>
        <color theme="1"/>
        <rFont val="Calibri"/>
        <family val="2"/>
        <scheme val="minor"/>
      </rPr>
      <t xml:space="preserve">
In this worksheet, an annual profit is calculated in columns B to D for base, scenario 1 and scenario 2 by summing over monthly profits for a year from different worksheets used for different scenarios.
The profits for base and Scenario 1 look similar as the only difference is for a month of March and it is a small impact as expected.
The profit for scenario 2 is much higher due to rent being higher than interest payment for each month.
The Net Present value is calculated for all three scenarios in cells B14, C14 and D14 using NPV formula and a discount rate of 10%.
The graph shows the Annual profit under three scenarios. To build graph, the excel option to insert graph is used after selecting the data. A line chart is used from the graph options.
The X axis label is taken from A1. The series are named based on row 2 (B2, C2 and D2).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</si>
</sst>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0_ ;[Red]\-#,##0\ "/>
  </numFmts>
  <fonts count="1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4"/>
      <color rgb="FFFF0000"/>
      <name val="Calibri"/>
      <family val="2"/>
      <scheme val="minor"/>
    </font>
    <font>
      <sz val="11"/>
      <name val="Calibri"/>
      <family val="2"/>
      <scheme val="minor"/>
    </font>
    <font>
      <sz val="11"/>
      <color theme="4"/>
      <name val="Calibri"/>
      <family val="2"/>
      <scheme val="minor"/>
    </font>
    <font>
      <b/>
      <u/>
      <sz val="11"/>
      <color theme="1"/>
      <name val="Calibri"/>
      <family val="2"/>
      <scheme val="minor"/>
    </font>
    <font>
      <u/>
      <sz val="11"/>
      <color theme="1"/>
      <name val="Calibri"/>
      <family val="2"/>
      <scheme val="minor"/>
    </font>
    <font>
      <b/>
      <u/>
      <sz val="12"/>
      <color theme="1"/>
      <name val="Times New Roman"/>
      <family val="1"/>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theme="0" tint="-0.249977111117893"/>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Alignment="1">
      <alignment wrapText="1"/>
    </xf>
    <xf numFmtId="165" fontId="0" fillId="0" borderId="0" xfId="1" applyNumberFormat="1" applyFont="1"/>
    <xf numFmtId="165" fontId="0" fillId="0" borderId="0" xfId="0" applyNumberFormat="1"/>
    <xf numFmtId="0" fontId="0" fillId="0" borderId="0" xfId="0" applyAlignment="1">
      <alignment horizontal="center"/>
    </xf>
    <xf numFmtId="0" fontId="3" fillId="0" borderId="0" xfId="0" applyFont="1"/>
    <xf numFmtId="10" fontId="3" fillId="0" borderId="0" xfId="2" applyNumberFormat="1" applyFont="1"/>
    <xf numFmtId="165" fontId="0" fillId="0" borderId="0" xfId="0" applyNumberFormat="1" applyBorder="1"/>
    <xf numFmtId="0" fontId="0" fillId="0" borderId="0" xfId="0" applyBorder="1"/>
    <xf numFmtId="17" fontId="0" fillId="0" borderId="0" xfId="0" applyNumberFormat="1"/>
    <xf numFmtId="0" fontId="4" fillId="0" borderId="0" xfId="0" applyFont="1"/>
    <xf numFmtId="0" fontId="0" fillId="0" borderId="0" xfId="0" applyFill="1"/>
    <xf numFmtId="165" fontId="5" fillId="0" borderId="0" xfId="1" applyNumberFormat="1" applyFont="1"/>
    <xf numFmtId="9" fontId="0" fillId="0" borderId="0" xfId="2" applyFont="1"/>
    <xf numFmtId="17" fontId="5" fillId="0" borderId="0" xfId="0" applyNumberFormat="1" applyFont="1"/>
    <xf numFmtId="4" fontId="0" fillId="0" borderId="0" xfId="0" applyNumberFormat="1"/>
    <xf numFmtId="4" fontId="5" fillId="0" borderId="0" xfId="0" applyNumberFormat="1" applyFont="1"/>
    <xf numFmtId="10" fontId="0" fillId="0" borderId="0" xfId="0" applyNumberFormat="1"/>
    <xf numFmtId="0" fontId="0" fillId="0" borderId="1" xfId="0" applyBorder="1"/>
    <xf numFmtId="0" fontId="0" fillId="0" borderId="2" xfId="0" applyBorder="1"/>
    <xf numFmtId="0" fontId="0" fillId="0" borderId="4" xfId="0" applyBorder="1"/>
    <xf numFmtId="165" fontId="0" fillId="0" borderId="0" xfId="1" applyNumberFormat="1" applyFont="1" applyBorder="1"/>
    <xf numFmtId="0" fontId="0" fillId="0" borderId="6" xfId="0" applyBorder="1"/>
    <xf numFmtId="0" fontId="0" fillId="0" borderId="7" xfId="0" applyBorder="1"/>
    <xf numFmtId="9" fontId="0" fillId="0" borderId="7" xfId="0" applyNumberFormat="1" applyBorder="1"/>
    <xf numFmtId="0" fontId="0" fillId="0" borderId="9" xfId="0" applyBorder="1"/>
    <xf numFmtId="0" fontId="3" fillId="0" borderId="10" xfId="0" applyFont="1" applyBorder="1"/>
    <xf numFmtId="0" fontId="3" fillId="0" borderId="11" xfId="0" applyFont="1" applyBorder="1"/>
    <xf numFmtId="165" fontId="0" fillId="0" borderId="7" xfId="1" applyNumberFormat="1" applyFont="1" applyBorder="1"/>
    <xf numFmtId="2" fontId="0" fillId="4" borderId="0" xfId="0" applyNumberFormat="1" applyFill="1"/>
    <xf numFmtId="0" fontId="0" fillId="0" borderId="0" xfId="0" applyFill="1" applyAlignment="1">
      <alignment wrapText="1"/>
    </xf>
    <xf numFmtId="17" fontId="0" fillId="0" borderId="0" xfId="0" applyNumberFormat="1" applyFill="1"/>
    <xf numFmtId="2" fontId="0" fillId="0" borderId="0" xfId="0" applyNumberFormat="1" applyFill="1"/>
    <xf numFmtId="164" fontId="0" fillId="0" borderId="0" xfId="1" applyFont="1" applyFill="1"/>
    <xf numFmtId="17" fontId="5" fillId="0" borderId="0" xfId="0" applyNumberFormat="1" applyFont="1" applyFill="1"/>
    <xf numFmtId="10" fontId="0" fillId="0" borderId="0" xfId="0" applyNumberFormat="1" applyFill="1"/>
    <xf numFmtId="17" fontId="2" fillId="0" borderId="0" xfId="0" applyNumberFormat="1" applyFont="1" applyFill="1"/>
    <xf numFmtId="164" fontId="0" fillId="0" borderId="0" xfId="0" applyNumberFormat="1"/>
    <xf numFmtId="0" fontId="0" fillId="0" borderId="1" xfId="0" applyBorder="1" applyAlignment="1">
      <alignment horizontal="left" indent="1"/>
    </xf>
    <xf numFmtId="9" fontId="0" fillId="0" borderId="0" xfId="2" applyFont="1" applyFill="1" applyBorder="1"/>
    <xf numFmtId="0" fontId="0" fillId="0" borderId="3" xfId="0" applyBorder="1" applyAlignment="1">
      <alignment horizontal="right"/>
    </xf>
    <xf numFmtId="0" fontId="0" fillId="0" borderId="5" xfId="0" applyBorder="1" applyAlignment="1">
      <alignment horizontal="right"/>
    </xf>
    <xf numFmtId="0" fontId="0" fillId="0" borderId="8" xfId="0" applyBorder="1" applyAlignment="1">
      <alignment horizontal="right"/>
    </xf>
    <xf numFmtId="165" fontId="0" fillId="0" borderId="5" xfId="1" applyNumberFormat="1" applyFont="1" applyBorder="1" applyAlignment="1">
      <alignment horizontal="right"/>
    </xf>
    <xf numFmtId="165" fontId="0" fillId="0" borderId="8" xfId="1" applyNumberFormat="1" applyFont="1" applyBorder="1" applyAlignment="1">
      <alignment horizontal="right"/>
    </xf>
    <xf numFmtId="0" fontId="3" fillId="5" borderId="12" xfId="0" applyFont="1" applyFill="1" applyBorder="1" applyAlignment="1">
      <alignment horizontal="right" vertical="center" wrapText="1"/>
    </xf>
    <xf numFmtId="0" fontId="0" fillId="0" borderId="12" xfId="0" applyBorder="1"/>
    <xf numFmtId="0" fontId="0" fillId="3" borderId="12" xfId="0" applyFill="1" applyBorder="1"/>
    <xf numFmtId="165" fontId="0" fillId="0" borderId="12" xfId="1" applyNumberFormat="1" applyFont="1" applyBorder="1"/>
    <xf numFmtId="165" fontId="0" fillId="0" borderId="12" xfId="0" applyNumberFormat="1" applyBorder="1"/>
    <xf numFmtId="0" fontId="3" fillId="5" borderId="12" xfId="0" applyFont="1" applyFill="1" applyBorder="1" applyAlignment="1">
      <alignment wrapText="1"/>
    </xf>
    <xf numFmtId="0" fontId="0" fillId="0" borderId="12" xfId="0" applyFill="1" applyBorder="1"/>
    <xf numFmtId="165" fontId="0" fillId="3" borderId="12" xfId="1" applyNumberFormat="1" applyFont="1" applyFill="1" applyBorder="1"/>
    <xf numFmtId="165" fontId="0" fillId="2" borderId="12" xfId="1" applyNumberFormat="1" applyFont="1" applyFill="1" applyBorder="1"/>
    <xf numFmtId="0" fontId="0" fillId="5" borderId="12" xfId="0" applyFill="1" applyBorder="1" applyAlignment="1">
      <alignment wrapText="1"/>
    </xf>
    <xf numFmtId="0" fontId="3" fillId="4" borderId="12" xfId="0" applyFont="1" applyFill="1" applyBorder="1"/>
    <xf numFmtId="9" fontId="0" fillId="0" borderId="0" xfId="0" applyNumberFormat="1" applyBorder="1"/>
    <xf numFmtId="10" fontId="0" fillId="0" borderId="5" xfId="2" applyNumberFormat="1" applyFont="1" applyBorder="1" applyAlignment="1">
      <alignment horizontal="right"/>
    </xf>
    <xf numFmtId="166" fontId="6" fillId="0" borderId="12" xfId="0" applyNumberFormat="1" applyFont="1" applyBorder="1" applyAlignment="1">
      <alignment wrapText="1"/>
    </xf>
    <xf numFmtId="10" fontId="6" fillId="0" borderId="12" xfId="2" applyNumberFormat="1" applyFont="1" applyBorder="1"/>
    <xf numFmtId="0" fontId="9" fillId="0" borderId="0" xfId="0" applyFont="1"/>
    <xf numFmtId="0" fontId="0" fillId="0" borderId="0" xfId="0" applyFont="1" applyAlignment="1">
      <alignment vertical="top"/>
    </xf>
    <xf numFmtId="0" fontId="10"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0" fillId="0" borderId="0" xfId="0" applyFont="1" applyAlignment="1">
      <alignment vertical="top" wrapText="1"/>
    </xf>
    <xf numFmtId="0" fontId="10" fillId="0" borderId="4" xfId="0" applyFont="1" applyBorder="1" applyAlignment="1">
      <alignment vertical="center"/>
    </xf>
    <xf numFmtId="0" fontId="10" fillId="0" borderId="0" xfId="0" applyFont="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4" xfId="0" applyFont="1" applyBorder="1" applyAlignment="1">
      <alignment horizontal="left" vertical="center" indent="1"/>
    </xf>
    <xf numFmtId="3" fontId="10" fillId="0" borderId="0" xfId="0" applyNumberFormat="1" applyFont="1" applyAlignment="1">
      <alignment horizontal="right" vertical="center"/>
    </xf>
    <xf numFmtId="3" fontId="10" fillId="0" borderId="7" xfId="0" applyNumberFormat="1" applyFont="1" applyBorder="1" applyAlignment="1">
      <alignment horizontal="right" vertical="center"/>
    </xf>
    <xf numFmtId="3" fontId="10" fillId="0" borderId="8" xfId="0" applyNumberFormat="1" applyFont="1" applyBorder="1" applyAlignment="1">
      <alignment horizontal="right" vertical="center"/>
    </xf>
    <xf numFmtId="9" fontId="10" fillId="0" borderId="0" xfId="0" applyNumberFormat="1" applyFont="1" applyAlignment="1">
      <alignment horizontal="right" vertical="center"/>
    </xf>
    <xf numFmtId="9" fontId="10" fillId="0" borderId="7" xfId="0" applyNumberFormat="1" applyFont="1" applyBorder="1" applyAlignment="1">
      <alignment horizontal="right" vertical="center"/>
    </xf>
    <xf numFmtId="0" fontId="0" fillId="0" borderId="13" xfId="0" applyFont="1" applyBorder="1" applyAlignment="1">
      <alignment horizontal="left" vertical="top" wrapText="1"/>
    </xf>
    <xf numFmtId="0" fontId="0" fillId="0" borderId="14" xfId="0" applyFont="1" applyBorder="1" applyAlignment="1">
      <alignment horizontal="left" vertical="top" wrapText="1"/>
    </xf>
    <xf numFmtId="0" fontId="0" fillId="0" borderId="15" xfId="0" applyFont="1" applyBorder="1" applyAlignment="1">
      <alignment horizontal="left" vertical="top" wrapText="1"/>
    </xf>
    <xf numFmtId="0" fontId="7" fillId="0" borderId="0" xfId="0" applyFont="1" applyAlignment="1">
      <alignment horizontal="left" vertical="top"/>
    </xf>
    <xf numFmtId="0" fontId="0" fillId="0" borderId="0" xfId="0" applyFont="1" applyAlignment="1">
      <alignment horizontal="left" vertical="top" wrapText="1"/>
    </xf>
    <xf numFmtId="0" fontId="0" fillId="0" borderId="14" xfId="0" applyFont="1" applyBorder="1" applyAlignment="1">
      <alignment horizontal="left" vertical="top"/>
    </xf>
    <xf numFmtId="0" fontId="0" fillId="0" borderId="15" xfId="0" applyFont="1" applyBorder="1" applyAlignment="1">
      <alignment horizontal="left" vertical="top"/>
    </xf>
    <xf numFmtId="0" fontId="0" fillId="0" borderId="12" xfId="0" applyFont="1" applyBorder="1" applyAlignment="1">
      <alignment horizontal="left" vertical="top" wrapText="1"/>
    </xf>
    <xf numFmtId="0" fontId="0" fillId="0" borderId="0" xfId="0" applyFont="1" applyAlignment="1">
      <alignment horizontal="left" vertical="top"/>
    </xf>
    <xf numFmtId="0" fontId="9" fillId="0" borderId="0" xfId="0" applyFont="1" applyAlignment="1">
      <alignment horizontal="left" vertical="center"/>
    </xf>
    <xf numFmtId="0" fontId="0" fillId="3" borderId="0" xfId="0" applyFill="1" applyAlignment="1">
      <alignment horizontal="center"/>
    </xf>
  </cellXfs>
  <cellStyles count="3">
    <cellStyle name="Comma" xfId="1" builtinId="3"/>
    <cellStyle name="Normal" xfId="0" builtinId="0"/>
    <cellStyle name="Percent"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Profit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Graph!$B$2</c:f>
              <c:strCache>
                <c:ptCount val="1"/>
                <c:pt idx="0">
                  <c:v>Base</c:v>
                </c:pt>
              </c:strCache>
            </c:strRef>
          </c:tx>
          <c:spPr>
            <a:ln w="28575" cap="rnd">
              <a:solidFill>
                <a:schemeClr val="accent1"/>
              </a:solidFill>
              <a:round/>
            </a:ln>
            <a:effectLst/>
          </c:spPr>
          <c:marker>
            <c:symbol val="none"/>
          </c:marker>
          <c:cat>
            <c:numRef>
              <c:f>Graph!$A$3:$A$12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Graph!$B$3:$B$12</c:f>
              <c:numCache>
                <c:formatCode>_(* #,##0_);_(* \(#,##0\);_(* "-"??_);_(@_)</c:formatCode>
                <c:ptCount val="10"/>
                <c:pt idx="0">
                  <c:v>1254105</c:v>
                </c:pt>
                <c:pt idx="1">
                  <c:v>1320727.5</c:v>
                </c:pt>
                <c:pt idx="2">
                  <c:v>1399777.5</c:v>
                </c:pt>
                <c:pt idx="3">
                  <c:v>1477912.5</c:v>
                </c:pt>
                <c:pt idx="4">
                  <c:v>1585012.5</c:v>
                </c:pt>
                <c:pt idx="5">
                  <c:v>1712610</c:v>
                </c:pt>
                <c:pt idx="6">
                  <c:v>1860465</c:v>
                </c:pt>
                <c:pt idx="7">
                  <c:v>2030962.5</c:v>
                </c:pt>
                <c:pt idx="8">
                  <c:v>2231085</c:v>
                </c:pt>
                <c:pt idx="9">
                  <c:v>2453857.5</c:v>
                </c:pt>
              </c:numCache>
            </c:numRef>
          </c:val>
          <c:smooth val="0"/>
          <c:extLst>
            <c:ext xmlns:c16="http://schemas.microsoft.com/office/drawing/2014/chart" uri="{C3380CC4-5D6E-409C-BE32-E72D297353CC}">
              <c16:uniqueId val="{00000000-D7F0-47DA-A236-B03CA6BDB46D}"/>
            </c:ext>
          </c:extLst>
        </c:ser>
        <c:ser>
          <c:idx val="1"/>
          <c:order val="1"/>
          <c:tx>
            <c:strRef>
              <c:f>Graph!$C$2</c:f>
              <c:strCache>
                <c:ptCount val="1"/>
                <c:pt idx="0">
                  <c:v>Scenario 1</c:v>
                </c:pt>
              </c:strCache>
            </c:strRef>
          </c:tx>
          <c:spPr>
            <a:ln w="28575" cap="rnd">
              <a:solidFill>
                <a:schemeClr val="accent2"/>
              </a:solidFill>
              <a:round/>
            </a:ln>
            <a:effectLst/>
          </c:spPr>
          <c:marker>
            <c:symbol val="none"/>
          </c:marker>
          <c:cat>
            <c:numRef>
              <c:f>Graph!$A$3:$A$12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Graph!$C$3:$C$12</c:f>
              <c:numCache>
                <c:formatCode>_(* #,##0_);_(* \(#,##0\);_(* "-"??_);_(@_)</c:formatCode>
                <c:ptCount val="10"/>
                <c:pt idx="0">
                  <c:v>1276462.5</c:v>
                </c:pt>
                <c:pt idx="1">
                  <c:v>1343850</c:v>
                </c:pt>
                <c:pt idx="2">
                  <c:v>1424302.5</c:v>
                </c:pt>
                <c:pt idx="3">
                  <c:v>1503075</c:v>
                </c:pt>
                <c:pt idx="4">
                  <c:v>1611577.5</c:v>
                </c:pt>
                <c:pt idx="5">
                  <c:v>1740705</c:v>
                </c:pt>
                <c:pt idx="6">
                  <c:v>1890472.5</c:v>
                </c:pt>
                <c:pt idx="7">
                  <c:v>2063137.5</c:v>
                </c:pt>
                <c:pt idx="8">
                  <c:v>2265682.5</c:v>
                </c:pt>
                <c:pt idx="9">
                  <c:v>2491387.5</c:v>
                </c:pt>
              </c:numCache>
            </c:numRef>
          </c:val>
          <c:smooth val="0"/>
          <c:extLst>
            <c:ext xmlns:c16="http://schemas.microsoft.com/office/drawing/2014/chart" uri="{C3380CC4-5D6E-409C-BE32-E72D297353CC}">
              <c16:uniqueId val="{00000001-D7F0-47DA-A236-B03CA6BDB46D}"/>
            </c:ext>
          </c:extLst>
        </c:ser>
        <c:ser>
          <c:idx val="2"/>
          <c:order val="2"/>
          <c:tx>
            <c:strRef>
              <c:f>Graph!$D$2</c:f>
              <c:strCache>
                <c:ptCount val="1"/>
                <c:pt idx="0">
                  <c:v>Scenario 2</c:v>
                </c:pt>
              </c:strCache>
            </c:strRef>
          </c:tx>
          <c:spPr>
            <a:ln w="28575" cap="rnd">
              <a:solidFill>
                <a:schemeClr val="accent3"/>
              </a:solidFill>
              <a:round/>
            </a:ln>
            <a:effectLst/>
          </c:spPr>
          <c:marker>
            <c:symbol val="none"/>
          </c:marker>
          <c:cat>
            <c:numRef>
              <c:f>Graph!$A$3:$A$12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Graph!$D$3:$D$12</c:f>
              <c:numCache>
                <c:formatCode>_(* #,##0_);_(* \(#,##0\);_(* "-"??_);_(@_)</c:formatCode>
                <c:ptCount val="10"/>
                <c:pt idx="0">
                  <c:v>1397314.2256907136</c:v>
                </c:pt>
                <c:pt idx="1">
                  <c:v>1482327.0162903001</c:v>
                </c:pt>
                <c:pt idx="2">
                  <c:v>1581864.0243258621</c:v>
                </c:pt>
                <c:pt idx="3">
                  <c:v>1680266.7028435571</c:v>
                </c:pt>
                <c:pt idx="4">
                  <c:v>1810060.192072314</c:v>
                </c:pt>
                <c:pt idx="5">
                  <c:v>1961863.5406547966</c:v>
                </c:pt>
                <c:pt idx="6">
                  <c:v>2135779.9401522274</c:v>
                </c:pt>
                <c:pt idx="7">
                  <c:v>2334189.4736195048</c:v>
                </c:pt>
                <c:pt idx="8">
                  <c:v>2564156.8790948186</c:v>
                </c:pt>
                <c:pt idx="9">
                  <c:v>2819139.3288986515</c:v>
                </c:pt>
              </c:numCache>
            </c:numRef>
          </c:val>
          <c:smooth val="0"/>
          <c:extLst>
            <c:ext xmlns:c16="http://schemas.microsoft.com/office/drawing/2014/chart" uri="{C3380CC4-5D6E-409C-BE32-E72D297353CC}">
              <c16:uniqueId val="{00000002-D7F0-47DA-A236-B03CA6BDB46D}"/>
            </c:ext>
          </c:extLst>
        </c:ser>
        <c:dLbls>
          <c:showLegendKey val="0"/>
          <c:showVal val="0"/>
          <c:showCatName val="0"/>
          <c:showSerName val="0"/>
          <c:showPercent val="0"/>
          <c:showBubbleSize val="0"/>
        </c:dLbls>
        <c:smooth val="0"/>
        <c:axId val="600649888"/>
        <c:axId val="600656960"/>
      </c:lineChart>
      <c:catAx>
        <c:axId val="6006498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0656960"/>
        <c:crosses val="autoZero"/>
        <c:auto val="1"/>
        <c:lblAlgn val="ctr"/>
        <c:lblOffset val="100"/>
        <c:noMultiLvlLbl val="0"/>
      </c:catAx>
      <c:valAx>
        <c:axId val="600656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Profit</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0649888"/>
        <c:crosses val="autoZero"/>
        <c:crossBetween val="between"/>
      </c:valAx>
      <c:spPr>
        <a:noFill/>
        <a:ln>
          <a:noFill/>
        </a:ln>
        <a:effectLst/>
      </c:spPr>
    </c:plotArea>
    <c:legend>
      <c:legendPos val="b"/>
      <c:layout>
        <c:manualLayout>
          <c:xMode val="edge"/>
          <c:yMode val="edge"/>
          <c:x val="0.48065885755451115"/>
          <c:y val="0.89409667541557303"/>
          <c:w val="0.47458639513584772"/>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523873</xdr:colOff>
      <xdr:row>2</xdr:row>
      <xdr:rowOff>14286</xdr:rowOff>
    </xdr:from>
    <xdr:to>
      <xdr:col>15</xdr:col>
      <xdr:colOff>276224</xdr:colOff>
      <xdr:row>19</xdr:row>
      <xdr:rowOff>19049</xdr:rowOff>
    </xdr:to>
    <xdr:graphicFrame macro="">
      <xdr:nvGraphicFramePr>
        <xdr:cNvPr id="4" name="Chart 3">
          <a:extLst>
            <a:ext uri="{FF2B5EF4-FFF2-40B4-BE49-F238E27FC236}">
              <a16:creationId xmlns:a16="http://schemas.microsoft.com/office/drawing/2014/main" id="{3F5F0704-7AAA-4440-908A-CABA0F6164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2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rail"/>
      <sheetName val="Data"/>
      <sheetName val="Corrected data"/>
      <sheetName val="Parameters"/>
      <sheetName val="Base Scenario"/>
      <sheetName val="Scenario 1"/>
      <sheetName val="Scenario 2"/>
      <sheetName val="Graph"/>
    </sheetNames>
    <sheetDataSet>
      <sheetData sheetId="0"/>
      <sheetData sheetId="1"/>
      <sheetData sheetId="2"/>
      <sheetData sheetId="3">
        <row r="4">
          <cell r="D4">
            <v>150</v>
          </cell>
        </row>
        <row r="5">
          <cell r="D5">
            <v>50</v>
          </cell>
        </row>
        <row r="6">
          <cell r="D6">
            <v>40</v>
          </cell>
        </row>
        <row r="8">
          <cell r="D8">
            <v>2</v>
          </cell>
        </row>
        <row r="9">
          <cell r="D9">
            <v>1</v>
          </cell>
        </row>
        <row r="11">
          <cell r="D11">
            <v>270</v>
          </cell>
          <cell r="E11">
            <v>250</v>
          </cell>
        </row>
        <row r="12">
          <cell r="D12">
            <v>70</v>
          </cell>
        </row>
        <row r="13">
          <cell r="D13">
            <v>70</v>
          </cell>
        </row>
        <row r="15">
          <cell r="D15">
            <v>35000</v>
          </cell>
        </row>
        <row r="16">
          <cell r="D16">
            <v>30000</v>
          </cell>
        </row>
        <row r="17">
          <cell r="D17">
            <v>10000</v>
          </cell>
          <cell r="E17">
            <v>7000</v>
          </cell>
        </row>
        <row r="20">
          <cell r="D20">
            <v>5000000</v>
          </cell>
        </row>
        <row r="21">
          <cell r="D21">
            <v>0.06</v>
          </cell>
        </row>
        <row r="23">
          <cell r="D23">
            <v>0.25</v>
          </cell>
        </row>
        <row r="25">
          <cell r="E25">
            <v>8.3333333333333332E-3</v>
          </cell>
        </row>
      </sheetData>
      <sheetData sheetId="4"/>
      <sheetData sheetId="5"/>
      <sheetData sheetId="6"/>
      <sheetData sheetId="7">
        <row r="16">
          <cell r="C1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
  <sheetViews>
    <sheetView showGridLines="0" tabSelected="1" workbookViewId="0"/>
  </sheetViews>
  <sheetFormatPr defaultRowHeight="15" x14ac:dyDescent="0.25"/>
  <cols>
    <col min="1" max="1" width="42" style="61" customWidth="1"/>
    <col min="4" max="4" width="27.42578125" customWidth="1"/>
    <col min="9" max="9" width="16.5703125" customWidth="1"/>
  </cols>
  <sheetData>
    <row r="2" spans="1:9" ht="111" customHeight="1" x14ac:dyDescent="0.25">
      <c r="A2" s="78" t="s">
        <v>62</v>
      </c>
      <c r="B2" s="79"/>
      <c r="C2" s="79"/>
      <c r="D2" s="79"/>
      <c r="E2" s="79"/>
      <c r="F2" s="79"/>
      <c r="G2" s="79"/>
      <c r="H2" s="79"/>
      <c r="I2" s="80"/>
    </row>
    <row r="4" spans="1:9" x14ac:dyDescent="0.25">
      <c r="A4" s="78" t="s">
        <v>63</v>
      </c>
      <c r="B4" s="79"/>
      <c r="C4" s="79"/>
      <c r="D4" s="79"/>
      <c r="E4" s="79"/>
      <c r="F4" s="79"/>
      <c r="G4" s="79"/>
      <c r="H4" s="79"/>
      <c r="I4" s="80"/>
    </row>
    <row r="6" spans="1:9" ht="15.75" x14ac:dyDescent="0.25">
      <c r="A6" s="60" t="s">
        <v>64</v>
      </c>
    </row>
    <row r="7" spans="1:9" ht="7.5" customHeight="1" x14ac:dyDescent="0.25"/>
    <row r="8" spans="1:9" ht="106.5" customHeight="1" x14ac:dyDescent="0.25">
      <c r="A8" s="85" t="s">
        <v>65</v>
      </c>
      <c r="B8" s="85"/>
      <c r="C8" s="85"/>
      <c r="D8" s="85"/>
      <c r="E8" s="85"/>
      <c r="F8" s="85"/>
      <c r="G8" s="85"/>
      <c r="H8" s="85"/>
      <c r="I8" s="85"/>
    </row>
    <row r="10" spans="1:9" ht="131.25" customHeight="1" x14ac:dyDescent="0.25">
      <c r="A10" s="78" t="s">
        <v>66</v>
      </c>
      <c r="B10" s="79"/>
      <c r="C10" s="79"/>
      <c r="D10" s="79"/>
      <c r="E10" s="79"/>
      <c r="F10" s="79"/>
      <c r="G10" s="79"/>
      <c r="H10" s="79"/>
      <c r="I10" s="80"/>
    </row>
    <row r="12" spans="1:9" x14ac:dyDescent="0.25">
      <c r="A12" s="86" t="s">
        <v>67</v>
      </c>
      <c r="B12" s="86"/>
      <c r="C12" s="86"/>
      <c r="D12" s="86"/>
      <c r="E12" s="86"/>
      <c r="F12" s="86"/>
      <c r="G12" s="86"/>
      <c r="H12" s="86"/>
    </row>
    <row r="13" spans="1:9" ht="15.75" x14ac:dyDescent="0.25">
      <c r="A13" s="87" t="s">
        <v>68</v>
      </c>
      <c r="B13" s="87"/>
      <c r="C13" s="87"/>
      <c r="D13" s="87"/>
      <c r="E13" s="87"/>
      <c r="F13" s="87"/>
      <c r="G13" s="87"/>
      <c r="H13" s="87"/>
      <c r="I13" s="87"/>
    </row>
    <row r="15" spans="1:9" x14ac:dyDescent="0.25">
      <c r="A15" s="81" t="s">
        <v>69</v>
      </c>
      <c r="B15" s="81"/>
      <c r="C15" s="81"/>
      <c r="D15" s="81"/>
      <c r="E15" s="81"/>
      <c r="F15" s="81"/>
      <c r="G15" s="81"/>
      <c r="H15" s="81"/>
      <c r="I15" s="81"/>
    </row>
    <row r="17" spans="1:9" ht="227.25" customHeight="1" x14ac:dyDescent="0.25">
      <c r="A17" s="78" t="s">
        <v>70</v>
      </c>
      <c r="B17" s="79"/>
      <c r="C17" s="79"/>
      <c r="D17" s="79"/>
      <c r="E17" s="79"/>
      <c r="F17" s="79"/>
      <c r="G17" s="79"/>
      <c r="H17" s="79"/>
      <c r="I17" s="80"/>
    </row>
    <row r="19" spans="1:9" ht="45" customHeight="1" x14ac:dyDescent="0.25">
      <c r="A19" s="78" t="s">
        <v>71</v>
      </c>
      <c r="B19" s="79"/>
      <c r="C19" s="79"/>
      <c r="D19" s="79"/>
      <c r="E19" s="79"/>
      <c r="F19" s="79"/>
      <c r="G19" s="79"/>
      <c r="H19" s="79"/>
      <c r="I19" s="80"/>
    </row>
    <row r="21" spans="1:9" ht="36.75" customHeight="1" x14ac:dyDescent="0.25">
      <c r="A21" s="82" t="s">
        <v>72</v>
      </c>
      <c r="B21" s="82"/>
      <c r="C21" s="82"/>
      <c r="D21" s="82"/>
      <c r="E21" s="82"/>
      <c r="F21" s="82"/>
      <c r="G21" s="82"/>
      <c r="H21" s="82"/>
      <c r="I21" s="82"/>
    </row>
    <row r="22" spans="1:9" ht="15.75" thickBot="1" x14ac:dyDescent="0.3"/>
    <row r="23" spans="1:9" ht="15.75" thickBot="1" x14ac:dyDescent="0.3">
      <c r="A23" s="62" t="s">
        <v>56</v>
      </c>
      <c r="B23" s="63" t="s">
        <v>10</v>
      </c>
      <c r="C23" s="64" t="s">
        <v>11</v>
      </c>
      <c r="D23" s="65"/>
      <c r="E23" s="65"/>
      <c r="F23" s="65"/>
      <c r="G23" s="65"/>
      <c r="H23" s="65"/>
      <c r="I23" s="65"/>
    </row>
    <row r="24" spans="1:9" x14ac:dyDescent="0.25">
      <c r="A24" s="66" t="s">
        <v>4</v>
      </c>
      <c r="B24" s="67">
        <v>150</v>
      </c>
      <c r="C24" s="68"/>
    </row>
    <row r="25" spans="1:9" x14ac:dyDescent="0.25">
      <c r="A25" s="66" t="s">
        <v>5</v>
      </c>
      <c r="B25" s="67">
        <v>50</v>
      </c>
      <c r="C25" s="68"/>
      <c r="D25" s="65"/>
      <c r="E25" s="65"/>
      <c r="F25" s="65"/>
      <c r="G25" s="65"/>
      <c r="H25" s="65"/>
      <c r="I25" s="65"/>
    </row>
    <row r="26" spans="1:9" ht="15.75" thickBot="1" x14ac:dyDescent="0.3">
      <c r="A26" s="69" t="s">
        <v>6</v>
      </c>
      <c r="B26" s="70">
        <v>40</v>
      </c>
      <c r="C26" s="71"/>
    </row>
    <row r="27" spans="1:9" x14ac:dyDescent="0.25">
      <c r="A27" s="66"/>
      <c r="B27" s="67"/>
      <c r="C27" s="68"/>
      <c r="D27" s="65"/>
      <c r="E27" s="65"/>
      <c r="F27" s="65"/>
      <c r="G27" s="65"/>
      <c r="H27" s="65"/>
      <c r="I27" s="65"/>
    </row>
    <row r="28" spans="1:9" x14ac:dyDescent="0.25">
      <c r="A28" s="66" t="s">
        <v>30</v>
      </c>
      <c r="B28" s="67">
        <v>2</v>
      </c>
      <c r="C28" s="68"/>
    </row>
    <row r="29" spans="1:9" ht="15.75" thickBot="1" x14ac:dyDescent="0.3">
      <c r="A29" s="69" t="s">
        <v>31</v>
      </c>
      <c r="B29" s="70">
        <v>1</v>
      </c>
      <c r="C29" s="71"/>
    </row>
    <row r="30" spans="1:9" x14ac:dyDescent="0.25">
      <c r="A30" s="66"/>
      <c r="B30" s="67"/>
      <c r="C30" s="68"/>
    </row>
    <row r="31" spans="1:9" x14ac:dyDescent="0.25">
      <c r="A31" s="66" t="s">
        <v>7</v>
      </c>
      <c r="B31" s="67">
        <v>270</v>
      </c>
      <c r="C31" s="68">
        <v>250</v>
      </c>
    </row>
    <row r="32" spans="1:9" x14ac:dyDescent="0.25">
      <c r="A32" s="66" t="s">
        <v>8</v>
      </c>
      <c r="B32" s="67">
        <v>70</v>
      </c>
      <c r="C32" s="68"/>
    </row>
    <row r="33" spans="1:9" ht="15.75" thickBot="1" x14ac:dyDescent="0.3">
      <c r="A33" s="69" t="s">
        <v>9</v>
      </c>
      <c r="B33" s="70">
        <v>70</v>
      </c>
      <c r="C33" s="71"/>
    </row>
    <row r="34" spans="1:9" x14ac:dyDescent="0.25">
      <c r="A34" s="72" t="s">
        <v>17</v>
      </c>
      <c r="B34" s="67"/>
      <c r="C34" s="68"/>
    </row>
    <row r="35" spans="1:9" x14ac:dyDescent="0.25">
      <c r="A35" s="66" t="s">
        <v>14</v>
      </c>
      <c r="B35" s="73">
        <v>35000</v>
      </c>
      <c r="C35" s="68"/>
    </row>
    <row r="36" spans="1:9" x14ac:dyDescent="0.25">
      <c r="A36" s="66" t="s">
        <v>15</v>
      </c>
      <c r="B36" s="73">
        <v>30000</v>
      </c>
      <c r="C36" s="68"/>
    </row>
    <row r="37" spans="1:9" ht="15.75" thickBot="1" x14ac:dyDescent="0.3">
      <c r="A37" s="69" t="s">
        <v>16</v>
      </c>
      <c r="B37" s="74">
        <v>10000</v>
      </c>
      <c r="C37" s="75">
        <v>7000</v>
      </c>
    </row>
    <row r="38" spans="1:9" x14ac:dyDescent="0.25">
      <c r="A38" s="66"/>
      <c r="B38" s="67"/>
      <c r="C38" s="68"/>
    </row>
    <row r="39" spans="1:9" x14ac:dyDescent="0.25">
      <c r="A39" s="66" t="s">
        <v>51</v>
      </c>
      <c r="B39" s="76">
        <v>1.2</v>
      </c>
      <c r="C39" s="68"/>
    </row>
    <row r="40" spans="1:9" x14ac:dyDescent="0.25">
      <c r="A40" s="66" t="s">
        <v>26</v>
      </c>
      <c r="B40" s="73">
        <v>5000000</v>
      </c>
      <c r="C40" s="68"/>
    </row>
    <row r="41" spans="1:9" ht="15.75" thickBot="1" x14ac:dyDescent="0.3">
      <c r="A41" s="69" t="s">
        <v>27</v>
      </c>
      <c r="B41" s="77">
        <v>0.06</v>
      </c>
      <c r="C41" s="71" t="s">
        <v>28</v>
      </c>
    </row>
    <row r="42" spans="1:9" x14ac:dyDescent="0.25">
      <c r="A42" s="66"/>
      <c r="C42" s="68"/>
    </row>
    <row r="43" spans="1:9" ht="15.75" thickBot="1" x14ac:dyDescent="0.3">
      <c r="A43" s="69" t="s">
        <v>33</v>
      </c>
      <c r="B43" s="77">
        <v>0.25</v>
      </c>
      <c r="C43" s="71"/>
    </row>
    <row r="45" spans="1:9" x14ac:dyDescent="0.25">
      <c r="A45" s="61" t="s">
        <v>73</v>
      </c>
    </row>
    <row r="47" spans="1:9" ht="241.5" customHeight="1" x14ac:dyDescent="0.25">
      <c r="A47" s="78" t="s">
        <v>74</v>
      </c>
      <c r="B47" s="79"/>
      <c r="C47" s="79"/>
      <c r="D47" s="79"/>
      <c r="E47" s="79"/>
      <c r="F47" s="79"/>
      <c r="G47" s="79"/>
      <c r="H47" s="79"/>
      <c r="I47" s="80"/>
    </row>
    <row r="49" spans="1:9" ht="98.25" customHeight="1" x14ac:dyDescent="0.25">
      <c r="A49" s="78" t="s">
        <v>75</v>
      </c>
      <c r="B49" s="83"/>
      <c r="C49" s="83"/>
      <c r="D49" s="83"/>
      <c r="E49" s="83"/>
      <c r="F49" s="83"/>
      <c r="G49" s="83"/>
      <c r="H49" s="83"/>
      <c r="I49" s="84"/>
    </row>
    <row r="51" spans="1:9" ht="155.25" customHeight="1" x14ac:dyDescent="0.25">
      <c r="A51" s="78" t="s">
        <v>76</v>
      </c>
      <c r="B51" s="79"/>
      <c r="C51" s="79"/>
      <c r="D51" s="79"/>
      <c r="E51" s="79"/>
      <c r="F51" s="79"/>
      <c r="G51" s="79"/>
      <c r="H51" s="79"/>
      <c r="I51" s="80"/>
    </row>
    <row r="53" spans="1:9" ht="152.25" customHeight="1" x14ac:dyDescent="0.25">
      <c r="A53" s="78" t="s">
        <v>77</v>
      </c>
      <c r="B53" s="79"/>
      <c r="C53" s="79"/>
      <c r="D53" s="79"/>
      <c r="E53" s="79"/>
      <c r="F53" s="79"/>
      <c r="G53" s="79"/>
      <c r="H53" s="79"/>
      <c r="I53" s="80"/>
    </row>
  </sheetData>
  <mergeCells count="14">
    <mergeCell ref="A13:I13"/>
    <mergeCell ref="A2:I2"/>
    <mergeCell ref="A4:I4"/>
    <mergeCell ref="A8:I8"/>
    <mergeCell ref="A10:I10"/>
    <mergeCell ref="A12:H12"/>
    <mergeCell ref="A51:I51"/>
    <mergeCell ref="A53:I53"/>
    <mergeCell ref="A15:I15"/>
    <mergeCell ref="A17:I17"/>
    <mergeCell ref="A19:I19"/>
    <mergeCell ref="A21:I21"/>
    <mergeCell ref="A47:I47"/>
    <mergeCell ref="A49:I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4"/>
  <sheetViews>
    <sheetView workbookViewId="0"/>
  </sheetViews>
  <sheetFormatPr defaultRowHeight="15" x14ac:dyDescent="0.25"/>
  <cols>
    <col min="2" max="2" width="13.42578125" customWidth="1"/>
    <col min="4" max="4" width="12.85546875" customWidth="1"/>
    <col min="10" max="10" width="10.140625" bestFit="1" customWidth="1"/>
    <col min="11" max="11" width="9.5703125" bestFit="1" customWidth="1"/>
    <col min="13" max="13" width="9.5703125" bestFit="1" customWidth="1"/>
  </cols>
  <sheetData>
    <row r="2" spans="1:13" x14ac:dyDescent="0.25">
      <c r="H2" s="5" t="s">
        <v>50</v>
      </c>
      <c r="J2" s="17">
        <f>AVERAGE(J17:J124)</f>
        <v>1.0553777961467776</v>
      </c>
    </row>
    <row r="4" spans="1:13" s="1" customFormat="1" ht="45" x14ac:dyDescent="0.25">
      <c r="A4" s="1" t="s">
        <v>40</v>
      </c>
      <c r="B4" s="1" t="s">
        <v>47</v>
      </c>
      <c r="C4" s="1" t="s">
        <v>39</v>
      </c>
      <c r="D4" s="30" t="s">
        <v>53</v>
      </c>
      <c r="G4" s="30" t="s">
        <v>40</v>
      </c>
      <c r="H4" s="30" t="s">
        <v>48</v>
      </c>
      <c r="I4" s="30"/>
      <c r="J4" s="30" t="s">
        <v>43</v>
      </c>
      <c r="K4" s="30" t="s">
        <v>54</v>
      </c>
      <c r="L4" s="30" t="s">
        <v>44</v>
      </c>
      <c r="M4" s="30" t="s">
        <v>55</v>
      </c>
    </row>
    <row r="5" spans="1:13" x14ac:dyDescent="0.25">
      <c r="A5" s="9">
        <v>40544</v>
      </c>
      <c r="B5" s="15">
        <v>960</v>
      </c>
      <c r="C5" t="str">
        <f>IF(B5&lt;=2000,"OK","CHECK")</f>
        <v>OK</v>
      </c>
      <c r="D5" s="11">
        <f>COUNT(B5:B121)</f>
        <v>117</v>
      </c>
      <c r="G5" s="31">
        <v>40544</v>
      </c>
      <c r="H5" s="32">
        <f>IF(VLOOKUP(G5,A:B,2,0)&gt;2000,2000,VLOOKUP(G5,A:B,2,0))</f>
        <v>960</v>
      </c>
      <c r="I5" s="11"/>
      <c r="J5" s="11"/>
      <c r="K5" s="33">
        <f t="shared" ref="K5:K16" si="0">H5</f>
        <v>960</v>
      </c>
      <c r="L5" s="11" t="str">
        <f>IF(K5-INT(K5)=0,"OK","CHECK")</f>
        <v>OK</v>
      </c>
      <c r="M5" s="37">
        <f>ROUND(K5,0)</f>
        <v>960</v>
      </c>
    </row>
    <row r="6" spans="1:13" x14ac:dyDescent="0.25">
      <c r="A6" s="9">
        <v>40575</v>
      </c>
      <c r="B6" s="15">
        <v>962</v>
      </c>
      <c r="C6" t="str">
        <f t="shared" ref="C6:C69" si="1">IF(B6&lt;=2000,"OK","CHECK")</f>
        <v>OK</v>
      </c>
      <c r="G6" s="31">
        <v>40575</v>
      </c>
      <c r="H6" s="32">
        <f t="shared" ref="H6:H69" si="2">IF(VLOOKUP(G6,A:B,2,0)&gt;2000,2000,VLOOKUP(G6,A:B,2,0))</f>
        <v>962</v>
      </c>
      <c r="I6" s="11"/>
      <c r="J6" s="11"/>
      <c r="K6" s="33">
        <f t="shared" si="0"/>
        <v>962</v>
      </c>
      <c r="L6" s="11" t="str">
        <f t="shared" ref="L6:L69" si="3">IF(K6-INT(K6)=0,"OK","CHECK")</f>
        <v>OK</v>
      </c>
      <c r="M6" s="37">
        <f t="shared" ref="M6:M69" si="4">ROUND(K6,0)</f>
        <v>962</v>
      </c>
    </row>
    <row r="7" spans="1:13" x14ac:dyDescent="0.25">
      <c r="A7" s="9">
        <v>40603</v>
      </c>
      <c r="B7" s="15">
        <v>964</v>
      </c>
      <c r="C7" t="str">
        <f t="shared" si="1"/>
        <v>OK</v>
      </c>
      <c r="G7" s="31">
        <v>40603</v>
      </c>
      <c r="H7" s="32">
        <f t="shared" si="2"/>
        <v>964</v>
      </c>
      <c r="I7" s="11"/>
      <c r="J7" s="11"/>
      <c r="K7" s="33">
        <f t="shared" si="0"/>
        <v>964</v>
      </c>
      <c r="L7" s="11" t="str">
        <f t="shared" si="3"/>
        <v>OK</v>
      </c>
      <c r="M7" s="37">
        <f t="shared" si="4"/>
        <v>964</v>
      </c>
    </row>
    <row r="8" spans="1:13" x14ac:dyDescent="0.25">
      <c r="A8" s="9">
        <v>40634</v>
      </c>
      <c r="B8" s="15">
        <v>1200</v>
      </c>
      <c r="C8" t="str">
        <f t="shared" si="1"/>
        <v>OK</v>
      </c>
      <c r="G8" s="31">
        <v>40634</v>
      </c>
      <c r="H8" s="32">
        <f t="shared" si="2"/>
        <v>1200</v>
      </c>
      <c r="I8" s="11"/>
      <c r="J8" s="11"/>
      <c r="K8" s="33">
        <f t="shared" si="0"/>
        <v>1200</v>
      </c>
      <c r="L8" s="11" t="str">
        <f t="shared" si="3"/>
        <v>OK</v>
      </c>
      <c r="M8" s="37">
        <f t="shared" si="4"/>
        <v>1200</v>
      </c>
    </row>
    <row r="9" spans="1:13" x14ac:dyDescent="0.25">
      <c r="A9" s="9">
        <v>40664</v>
      </c>
      <c r="B9" s="15">
        <v>1203</v>
      </c>
      <c r="C9" t="str">
        <f t="shared" si="1"/>
        <v>OK</v>
      </c>
      <c r="G9" s="31">
        <v>40664</v>
      </c>
      <c r="H9" s="32">
        <f t="shared" si="2"/>
        <v>1203</v>
      </c>
      <c r="I9" s="11"/>
      <c r="J9" s="11"/>
      <c r="K9" s="33">
        <f t="shared" si="0"/>
        <v>1203</v>
      </c>
      <c r="L9" s="11" t="str">
        <f t="shared" si="3"/>
        <v>OK</v>
      </c>
      <c r="M9" s="37">
        <f t="shared" si="4"/>
        <v>1203</v>
      </c>
    </row>
    <row r="10" spans="1:13" x14ac:dyDescent="0.25">
      <c r="A10" s="9">
        <v>40695</v>
      </c>
      <c r="B10" s="15">
        <v>1206</v>
      </c>
      <c r="C10" t="str">
        <f t="shared" si="1"/>
        <v>OK</v>
      </c>
      <c r="G10" s="31">
        <v>40695</v>
      </c>
      <c r="H10" s="32">
        <f t="shared" si="2"/>
        <v>1206</v>
      </c>
      <c r="I10" s="11"/>
      <c r="J10" s="11"/>
      <c r="K10" s="33">
        <f t="shared" si="0"/>
        <v>1206</v>
      </c>
      <c r="L10" s="11" t="str">
        <f t="shared" si="3"/>
        <v>OK</v>
      </c>
      <c r="M10" s="37">
        <f t="shared" si="4"/>
        <v>1206</v>
      </c>
    </row>
    <row r="11" spans="1:13" x14ac:dyDescent="0.25">
      <c r="A11" s="9">
        <v>40725</v>
      </c>
      <c r="B11" s="15">
        <v>1209</v>
      </c>
      <c r="C11" t="str">
        <f t="shared" si="1"/>
        <v>OK</v>
      </c>
      <c r="G11" s="31">
        <v>40725</v>
      </c>
      <c r="H11" s="32">
        <f t="shared" si="2"/>
        <v>1209</v>
      </c>
      <c r="I11" s="11"/>
      <c r="J11" s="11"/>
      <c r="K11" s="33">
        <f t="shared" si="0"/>
        <v>1209</v>
      </c>
      <c r="L11" s="11" t="str">
        <f t="shared" si="3"/>
        <v>OK</v>
      </c>
      <c r="M11" s="37">
        <f t="shared" si="4"/>
        <v>1209</v>
      </c>
    </row>
    <row r="12" spans="1:13" x14ac:dyDescent="0.25">
      <c r="A12" s="9">
        <v>40756</v>
      </c>
      <c r="B12" s="15">
        <v>1212</v>
      </c>
      <c r="C12" t="str">
        <f t="shared" si="1"/>
        <v>OK</v>
      </c>
      <c r="G12" s="31">
        <v>40756</v>
      </c>
      <c r="H12" s="32">
        <f t="shared" si="2"/>
        <v>1212</v>
      </c>
      <c r="I12" s="11"/>
      <c r="J12" s="11"/>
      <c r="K12" s="33">
        <f t="shared" si="0"/>
        <v>1212</v>
      </c>
      <c r="L12" s="11" t="str">
        <f t="shared" si="3"/>
        <v>OK</v>
      </c>
      <c r="M12" s="37">
        <f t="shared" si="4"/>
        <v>1212</v>
      </c>
    </row>
    <row r="13" spans="1:13" x14ac:dyDescent="0.25">
      <c r="A13" s="9">
        <v>40787</v>
      </c>
      <c r="B13" s="15">
        <v>1215</v>
      </c>
      <c r="C13" t="str">
        <f t="shared" si="1"/>
        <v>OK</v>
      </c>
      <c r="G13" s="31">
        <v>40787</v>
      </c>
      <c r="H13" s="32">
        <f t="shared" si="2"/>
        <v>1215</v>
      </c>
      <c r="I13" s="11"/>
      <c r="J13" s="11"/>
      <c r="K13" s="33">
        <f t="shared" si="0"/>
        <v>1215</v>
      </c>
      <c r="L13" s="11" t="str">
        <f t="shared" si="3"/>
        <v>OK</v>
      </c>
      <c r="M13" s="37">
        <f t="shared" si="4"/>
        <v>1215</v>
      </c>
    </row>
    <row r="14" spans="1:13" x14ac:dyDescent="0.25">
      <c r="A14" s="9">
        <v>40817</v>
      </c>
      <c r="B14" s="15">
        <v>1218</v>
      </c>
      <c r="C14" t="str">
        <f t="shared" si="1"/>
        <v>OK</v>
      </c>
      <c r="G14" s="31">
        <v>40817</v>
      </c>
      <c r="H14" s="32">
        <f t="shared" si="2"/>
        <v>1218</v>
      </c>
      <c r="I14" s="11"/>
      <c r="J14" s="11"/>
      <c r="K14" s="33">
        <f t="shared" si="0"/>
        <v>1218</v>
      </c>
      <c r="L14" s="11" t="str">
        <f t="shared" si="3"/>
        <v>OK</v>
      </c>
      <c r="M14" s="37">
        <f t="shared" si="4"/>
        <v>1218</v>
      </c>
    </row>
    <row r="15" spans="1:13" x14ac:dyDescent="0.25">
      <c r="A15" s="9">
        <v>40848</v>
      </c>
      <c r="B15" s="15">
        <v>1221</v>
      </c>
      <c r="C15" t="str">
        <f t="shared" si="1"/>
        <v>OK</v>
      </c>
      <c r="G15" s="31">
        <v>40848</v>
      </c>
      <c r="H15" s="32">
        <f t="shared" si="2"/>
        <v>1221</v>
      </c>
      <c r="I15" s="11"/>
      <c r="J15" s="11"/>
      <c r="K15" s="33">
        <f t="shared" si="0"/>
        <v>1221</v>
      </c>
      <c r="L15" s="11" t="str">
        <f t="shared" si="3"/>
        <v>OK</v>
      </c>
      <c r="M15" s="37">
        <f t="shared" si="4"/>
        <v>1221</v>
      </c>
    </row>
    <row r="16" spans="1:13" x14ac:dyDescent="0.25">
      <c r="A16" s="9">
        <v>40878</v>
      </c>
      <c r="B16" s="15">
        <v>1224</v>
      </c>
      <c r="C16" t="str">
        <f t="shared" si="1"/>
        <v>OK</v>
      </c>
      <c r="G16" s="31">
        <v>40878</v>
      </c>
      <c r="H16" s="32">
        <f t="shared" si="2"/>
        <v>1224</v>
      </c>
      <c r="I16" s="11"/>
      <c r="J16" s="11"/>
      <c r="K16" s="33">
        <f t="shared" si="0"/>
        <v>1224</v>
      </c>
      <c r="L16" s="11" t="str">
        <f t="shared" si="3"/>
        <v>OK</v>
      </c>
      <c r="M16" s="37">
        <f t="shared" si="4"/>
        <v>1224</v>
      </c>
    </row>
    <row r="17" spans="1:13" x14ac:dyDescent="0.25">
      <c r="A17" s="14">
        <v>40909</v>
      </c>
      <c r="B17" s="16">
        <v>989</v>
      </c>
      <c r="C17" t="str">
        <f t="shared" si="1"/>
        <v>OK</v>
      </c>
      <c r="G17" s="34">
        <v>40909</v>
      </c>
      <c r="H17" s="32">
        <f t="shared" si="2"/>
        <v>989</v>
      </c>
      <c r="I17" s="11"/>
      <c r="J17" s="35">
        <f>IFERROR(H17/H5,K16)</f>
        <v>1.0302083333333334</v>
      </c>
      <c r="K17" s="33">
        <f t="shared" ref="K17:K48" si="5">MIN(IF(ISERROR(H17),K5*$J$2,H17),2000)</f>
        <v>989</v>
      </c>
      <c r="L17" s="11" t="str">
        <f t="shared" si="3"/>
        <v>OK</v>
      </c>
      <c r="M17" s="37">
        <f t="shared" si="4"/>
        <v>989</v>
      </c>
    </row>
    <row r="18" spans="1:13" x14ac:dyDescent="0.25">
      <c r="A18" s="9">
        <v>40940</v>
      </c>
      <c r="B18" s="16">
        <v>992</v>
      </c>
      <c r="C18" t="str">
        <f t="shared" si="1"/>
        <v>OK</v>
      </c>
      <c r="G18" s="31">
        <v>40940</v>
      </c>
      <c r="H18" s="32">
        <f t="shared" si="2"/>
        <v>992</v>
      </c>
      <c r="I18" s="11"/>
      <c r="J18" s="35">
        <f t="shared" ref="J18:J23" si="6">IFERROR(H18/H6,J17)</f>
        <v>1.0311850311850312</v>
      </c>
      <c r="K18" s="33">
        <f t="shared" si="5"/>
        <v>992</v>
      </c>
      <c r="L18" s="11" t="str">
        <f t="shared" si="3"/>
        <v>OK</v>
      </c>
      <c r="M18" s="37">
        <f t="shared" si="4"/>
        <v>992</v>
      </c>
    </row>
    <row r="19" spans="1:13" x14ac:dyDescent="0.25">
      <c r="A19" s="9">
        <v>40969</v>
      </c>
      <c r="B19" s="16">
        <v>995</v>
      </c>
      <c r="C19" t="str">
        <f t="shared" si="1"/>
        <v>OK</v>
      </c>
      <c r="G19" s="31">
        <v>40969</v>
      </c>
      <c r="H19" s="32">
        <f t="shared" si="2"/>
        <v>995</v>
      </c>
      <c r="I19" s="11"/>
      <c r="J19" s="35">
        <f t="shared" si="6"/>
        <v>1.0321576763485478</v>
      </c>
      <c r="K19" s="33">
        <f t="shared" si="5"/>
        <v>995</v>
      </c>
      <c r="L19" s="11" t="str">
        <f t="shared" si="3"/>
        <v>OK</v>
      </c>
      <c r="M19" s="37">
        <f t="shared" si="4"/>
        <v>995</v>
      </c>
    </row>
    <row r="20" spans="1:13" x14ac:dyDescent="0.25">
      <c r="A20" s="9">
        <v>41000</v>
      </c>
      <c r="B20" s="16">
        <v>1236</v>
      </c>
      <c r="C20" t="str">
        <f t="shared" si="1"/>
        <v>OK</v>
      </c>
      <c r="G20" s="31">
        <v>41000</v>
      </c>
      <c r="H20" s="32">
        <f t="shared" si="2"/>
        <v>1236</v>
      </c>
      <c r="I20" s="11"/>
      <c r="J20" s="35">
        <f t="shared" si="6"/>
        <v>1.03</v>
      </c>
      <c r="K20" s="33">
        <f t="shared" si="5"/>
        <v>1236</v>
      </c>
      <c r="L20" s="11" t="str">
        <f t="shared" si="3"/>
        <v>OK</v>
      </c>
      <c r="M20" s="37">
        <f t="shared" si="4"/>
        <v>1236</v>
      </c>
    </row>
    <row r="21" spans="1:13" x14ac:dyDescent="0.25">
      <c r="A21" s="9">
        <v>41030</v>
      </c>
      <c r="B21" s="16">
        <v>1240</v>
      </c>
      <c r="C21" t="str">
        <f t="shared" si="1"/>
        <v>OK</v>
      </c>
      <c r="G21" s="31">
        <v>41030</v>
      </c>
      <c r="H21" s="32">
        <f t="shared" si="2"/>
        <v>1240</v>
      </c>
      <c r="I21" s="11"/>
      <c r="J21" s="35">
        <f t="shared" si="6"/>
        <v>1.030756442227764</v>
      </c>
      <c r="K21" s="33">
        <f t="shared" si="5"/>
        <v>1240</v>
      </c>
      <c r="L21" s="11" t="str">
        <f t="shared" si="3"/>
        <v>OK</v>
      </c>
      <c r="M21" s="37">
        <f t="shared" si="4"/>
        <v>1240</v>
      </c>
    </row>
    <row r="22" spans="1:13" x14ac:dyDescent="0.25">
      <c r="A22" s="9">
        <v>41061</v>
      </c>
      <c r="B22" s="16">
        <v>2140</v>
      </c>
      <c r="C22" t="str">
        <f t="shared" si="1"/>
        <v>CHECK</v>
      </c>
      <c r="G22" s="31">
        <v>41061</v>
      </c>
      <c r="H22" s="29">
        <f>AVERAGE(H21,H23)</f>
        <v>1244</v>
      </c>
      <c r="I22" s="11"/>
      <c r="J22" s="35">
        <f t="shared" si="6"/>
        <v>1.0315091210613598</v>
      </c>
      <c r="K22" s="33">
        <f t="shared" si="5"/>
        <v>1244</v>
      </c>
      <c r="L22" s="11" t="str">
        <f t="shared" si="3"/>
        <v>OK</v>
      </c>
      <c r="M22" s="37">
        <f t="shared" si="4"/>
        <v>1244</v>
      </c>
    </row>
    <row r="23" spans="1:13" x14ac:dyDescent="0.25">
      <c r="A23" s="9">
        <v>41091</v>
      </c>
      <c r="B23" s="16">
        <v>1248</v>
      </c>
      <c r="C23" t="str">
        <f t="shared" si="1"/>
        <v>OK</v>
      </c>
      <c r="G23" s="31">
        <v>41091</v>
      </c>
      <c r="H23" s="32">
        <f t="shared" si="2"/>
        <v>1248</v>
      </c>
      <c r="I23" s="11"/>
      <c r="J23" s="35">
        <f t="shared" si="6"/>
        <v>1.032258064516129</v>
      </c>
      <c r="K23" s="33">
        <f t="shared" si="5"/>
        <v>1248</v>
      </c>
      <c r="L23" s="11" t="str">
        <f t="shared" si="3"/>
        <v>OK</v>
      </c>
      <c r="M23" s="37">
        <f t="shared" si="4"/>
        <v>1248</v>
      </c>
    </row>
    <row r="24" spans="1:13" x14ac:dyDescent="0.25">
      <c r="A24" s="9">
        <v>41153</v>
      </c>
      <c r="B24" s="16">
        <v>1256</v>
      </c>
      <c r="C24" t="str">
        <f t="shared" si="1"/>
        <v>OK</v>
      </c>
      <c r="G24" s="31">
        <v>41122</v>
      </c>
      <c r="H24" s="32" t="e">
        <f t="shared" si="2"/>
        <v>#N/A</v>
      </c>
      <c r="I24" s="11"/>
      <c r="J24" s="35">
        <f>IFERROR(H24/H12,J23)</f>
        <v>1.032258064516129</v>
      </c>
      <c r="K24" s="33">
        <f t="shared" si="5"/>
        <v>1279.1178889298944</v>
      </c>
      <c r="L24" s="11" t="str">
        <f t="shared" si="3"/>
        <v>CHECK</v>
      </c>
      <c r="M24" s="37">
        <f t="shared" si="4"/>
        <v>1279</v>
      </c>
    </row>
    <row r="25" spans="1:13" x14ac:dyDescent="0.25">
      <c r="A25" s="9">
        <v>41183</v>
      </c>
      <c r="B25" s="16">
        <v>1260</v>
      </c>
      <c r="C25" t="str">
        <f t="shared" si="1"/>
        <v>OK</v>
      </c>
      <c r="G25" s="31">
        <v>41153</v>
      </c>
      <c r="H25" s="32">
        <f t="shared" si="2"/>
        <v>1256</v>
      </c>
      <c r="I25" s="11"/>
      <c r="J25" s="35">
        <f t="shared" ref="J25:J88" si="7">IFERROR(H25/H13,J24)</f>
        <v>1.0337448559670781</v>
      </c>
      <c r="K25" s="33">
        <f t="shared" si="5"/>
        <v>1256</v>
      </c>
      <c r="L25" s="11" t="str">
        <f t="shared" si="3"/>
        <v>OK</v>
      </c>
      <c r="M25" s="37">
        <f t="shared" si="4"/>
        <v>1256</v>
      </c>
    </row>
    <row r="26" spans="1:13" x14ac:dyDescent="0.25">
      <c r="A26" s="9">
        <v>41214</v>
      </c>
      <c r="B26" s="16">
        <v>1264</v>
      </c>
      <c r="C26" t="str">
        <f t="shared" si="1"/>
        <v>OK</v>
      </c>
      <c r="G26" s="31">
        <v>41183</v>
      </c>
      <c r="H26" s="32">
        <f t="shared" si="2"/>
        <v>1260</v>
      </c>
      <c r="I26" s="11"/>
      <c r="J26" s="35">
        <f t="shared" si="7"/>
        <v>1.0344827586206897</v>
      </c>
      <c r="K26" s="33">
        <f t="shared" si="5"/>
        <v>1260</v>
      </c>
      <c r="L26" s="11" t="str">
        <f t="shared" si="3"/>
        <v>OK</v>
      </c>
      <c r="M26" s="37">
        <f t="shared" si="4"/>
        <v>1260</v>
      </c>
    </row>
    <row r="27" spans="1:13" x14ac:dyDescent="0.25">
      <c r="A27" s="9">
        <v>41244</v>
      </c>
      <c r="B27" s="16">
        <v>1268</v>
      </c>
      <c r="C27" t="str">
        <f t="shared" si="1"/>
        <v>OK</v>
      </c>
      <c r="G27" s="31">
        <v>41214</v>
      </c>
      <c r="H27" s="32">
        <f t="shared" si="2"/>
        <v>1264</v>
      </c>
      <c r="I27" s="11"/>
      <c r="J27" s="35">
        <f t="shared" si="7"/>
        <v>1.0352170352170351</v>
      </c>
      <c r="K27" s="33">
        <f t="shared" si="5"/>
        <v>1264</v>
      </c>
      <c r="L27" s="11" t="str">
        <f t="shared" si="3"/>
        <v>OK</v>
      </c>
      <c r="M27" s="37">
        <f t="shared" si="4"/>
        <v>1264</v>
      </c>
    </row>
    <row r="28" spans="1:13" x14ac:dyDescent="0.25">
      <c r="A28" s="9">
        <v>41275</v>
      </c>
      <c r="B28" s="16">
        <v>1024</v>
      </c>
      <c r="C28" t="str">
        <f t="shared" si="1"/>
        <v>OK</v>
      </c>
      <c r="G28" s="31">
        <v>41244</v>
      </c>
      <c r="H28" s="32">
        <f t="shared" si="2"/>
        <v>1268</v>
      </c>
      <c r="I28" s="11"/>
      <c r="J28" s="35">
        <f t="shared" si="7"/>
        <v>1.0359477124183007</v>
      </c>
      <c r="K28" s="33">
        <f t="shared" si="5"/>
        <v>1268</v>
      </c>
      <c r="L28" s="11" t="str">
        <f t="shared" si="3"/>
        <v>OK</v>
      </c>
      <c r="M28" s="37">
        <f t="shared" si="4"/>
        <v>1268</v>
      </c>
    </row>
    <row r="29" spans="1:13" x14ac:dyDescent="0.25">
      <c r="A29" s="9">
        <v>41306</v>
      </c>
      <c r="B29" s="16">
        <v>1028</v>
      </c>
      <c r="C29" t="str">
        <f t="shared" si="1"/>
        <v>OK</v>
      </c>
      <c r="G29" s="31">
        <v>41275</v>
      </c>
      <c r="H29" s="32">
        <f t="shared" si="2"/>
        <v>1024</v>
      </c>
      <c r="I29" s="11"/>
      <c r="J29" s="35">
        <f t="shared" si="7"/>
        <v>1.0353892821031345</v>
      </c>
      <c r="K29" s="33">
        <f t="shared" si="5"/>
        <v>1024</v>
      </c>
      <c r="L29" s="11" t="str">
        <f t="shared" si="3"/>
        <v>OK</v>
      </c>
      <c r="M29" s="37">
        <f t="shared" si="4"/>
        <v>1024</v>
      </c>
    </row>
    <row r="30" spans="1:13" x14ac:dyDescent="0.25">
      <c r="A30" s="14">
        <v>41365</v>
      </c>
      <c r="B30" s="16">
        <v>1280</v>
      </c>
      <c r="C30" t="str">
        <f t="shared" si="1"/>
        <v>OK</v>
      </c>
      <c r="G30" s="31">
        <v>41306</v>
      </c>
      <c r="H30" s="32">
        <f t="shared" si="2"/>
        <v>1028</v>
      </c>
      <c r="I30" s="11"/>
      <c r="J30" s="35">
        <f t="shared" si="7"/>
        <v>1.0362903225806452</v>
      </c>
      <c r="K30" s="33">
        <f t="shared" si="5"/>
        <v>1028</v>
      </c>
      <c r="L30" s="11" t="str">
        <f t="shared" si="3"/>
        <v>OK</v>
      </c>
      <c r="M30" s="37">
        <f t="shared" si="4"/>
        <v>1028</v>
      </c>
    </row>
    <row r="31" spans="1:13" x14ac:dyDescent="0.25">
      <c r="A31" s="9">
        <v>41395</v>
      </c>
      <c r="B31" s="16">
        <v>1284</v>
      </c>
      <c r="C31" t="str">
        <f t="shared" si="1"/>
        <v>OK</v>
      </c>
      <c r="G31" s="31">
        <v>41334</v>
      </c>
      <c r="H31" s="32" t="e">
        <f t="shared" si="2"/>
        <v>#N/A</v>
      </c>
      <c r="I31" s="11"/>
      <c r="J31" s="35">
        <f t="shared" si="7"/>
        <v>1.0362903225806452</v>
      </c>
      <c r="K31" s="33">
        <f t="shared" si="5"/>
        <v>1050.1009071660437</v>
      </c>
      <c r="L31" s="11" t="str">
        <f t="shared" si="3"/>
        <v>CHECK</v>
      </c>
      <c r="M31" s="37">
        <f t="shared" si="4"/>
        <v>1050</v>
      </c>
    </row>
    <row r="32" spans="1:13" x14ac:dyDescent="0.25">
      <c r="A32" s="9">
        <v>41426</v>
      </c>
      <c r="B32" s="16">
        <v>1288</v>
      </c>
      <c r="C32" t="str">
        <f t="shared" si="1"/>
        <v>OK</v>
      </c>
      <c r="G32" s="36">
        <v>41365</v>
      </c>
      <c r="H32" s="32">
        <f t="shared" si="2"/>
        <v>1280</v>
      </c>
      <c r="I32" s="11"/>
      <c r="J32" s="35">
        <f t="shared" si="7"/>
        <v>1.035598705501618</v>
      </c>
      <c r="K32" s="33">
        <f t="shared" si="5"/>
        <v>1280</v>
      </c>
      <c r="L32" s="11" t="str">
        <f t="shared" si="3"/>
        <v>OK</v>
      </c>
      <c r="M32" s="37">
        <f t="shared" si="4"/>
        <v>1280</v>
      </c>
    </row>
    <row r="33" spans="1:13" x14ac:dyDescent="0.25">
      <c r="A33" s="9">
        <v>41456</v>
      </c>
      <c r="B33" s="16">
        <v>1293</v>
      </c>
      <c r="C33" t="str">
        <f t="shared" si="1"/>
        <v>OK</v>
      </c>
      <c r="G33" s="31">
        <v>41395</v>
      </c>
      <c r="H33" s="32">
        <f t="shared" si="2"/>
        <v>1284</v>
      </c>
      <c r="I33" s="11"/>
      <c r="J33" s="35">
        <f t="shared" si="7"/>
        <v>1.0354838709677419</v>
      </c>
      <c r="K33" s="33">
        <f t="shared" si="5"/>
        <v>1284</v>
      </c>
      <c r="L33" s="11" t="str">
        <f t="shared" si="3"/>
        <v>OK</v>
      </c>
      <c r="M33" s="37">
        <f t="shared" si="4"/>
        <v>1284</v>
      </c>
    </row>
    <row r="34" spans="1:13" x14ac:dyDescent="0.25">
      <c r="A34" s="9">
        <v>41518</v>
      </c>
      <c r="B34" s="16">
        <v>1303</v>
      </c>
      <c r="C34" t="str">
        <f t="shared" si="1"/>
        <v>OK</v>
      </c>
      <c r="G34" s="31">
        <v>41426</v>
      </c>
      <c r="H34" s="32">
        <f t="shared" si="2"/>
        <v>1288</v>
      </c>
      <c r="I34" s="11"/>
      <c r="J34" s="35">
        <f>IFERROR(H34/H22,J33)</f>
        <v>1.0353697749196142</v>
      </c>
      <c r="K34" s="33">
        <f t="shared" si="5"/>
        <v>1288</v>
      </c>
      <c r="L34" s="11" t="str">
        <f t="shared" si="3"/>
        <v>OK</v>
      </c>
      <c r="M34" s="37">
        <f t="shared" si="4"/>
        <v>1288</v>
      </c>
    </row>
    <row r="35" spans="1:13" x14ac:dyDescent="0.25">
      <c r="A35" s="9">
        <v>41548</v>
      </c>
      <c r="B35" s="16">
        <v>1308</v>
      </c>
      <c r="C35" t="str">
        <f t="shared" si="1"/>
        <v>OK</v>
      </c>
      <c r="G35" s="31">
        <v>41456</v>
      </c>
      <c r="H35" s="32">
        <f t="shared" si="2"/>
        <v>1293</v>
      </c>
      <c r="I35" s="11"/>
      <c r="J35" s="35">
        <f t="shared" si="7"/>
        <v>1.0360576923076923</v>
      </c>
      <c r="K35" s="33">
        <f t="shared" si="5"/>
        <v>1293</v>
      </c>
      <c r="L35" s="11" t="str">
        <f t="shared" si="3"/>
        <v>OK</v>
      </c>
      <c r="M35" s="37">
        <f t="shared" si="4"/>
        <v>1293</v>
      </c>
    </row>
    <row r="36" spans="1:13" x14ac:dyDescent="0.25">
      <c r="A36" s="9">
        <v>41579</v>
      </c>
      <c r="B36" s="16">
        <v>1313</v>
      </c>
      <c r="C36" t="str">
        <f t="shared" si="1"/>
        <v>OK</v>
      </c>
      <c r="G36" s="31">
        <v>41487</v>
      </c>
      <c r="H36" s="32" t="e">
        <f t="shared" si="2"/>
        <v>#N/A</v>
      </c>
      <c r="I36" s="11"/>
      <c r="J36" s="35">
        <f t="shared" si="7"/>
        <v>1.0360576923076923</v>
      </c>
      <c r="K36" s="33">
        <f t="shared" si="5"/>
        <v>1349.9526186307507</v>
      </c>
      <c r="L36" s="11" t="str">
        <f t="shared" si="3"/>
        <v>CHECK</v>
      </c>
      <c r="M36" s="37">
        <f t="shared" si="4"/>
        <v>1350</v>
      </c>
    </row>
    <row r="37" spans="1:13" x14ac:dyDescent="0.25">
      <c r="A37" s="9">
        <v>41609</v>
      </c>
      <c r="B37" s="16">
        <v>1318</v>
      </c>
      <c r="C37" t="str">
        <f t="shared" si="1"/>
        <v>OK</v>
      </c>
      <c r="G37" s="31">
        <v>41518</v>
      </c>
      <c r="H37" s="32">
        <f t="shared" si="2"/>
        <v>1303</v>
      </c>
      <c r="I37" s="11"/>
      <c r="J37" s="35">
        <f t="shared" si="7"/>
        <v>1.0374203821656052</v>
      </c>
      <c r="K37" s="33">
        <f t="shared" si="5"/>
        <v>1303</v>
      </c>
      <c r="L37" s="11" t="str">
        <f t="shared" si="3"/>
        <v>OK</v>
      </c>
      <c r="M37" s="37">
        <f t="shared" si="4"/>
        <v>1303</v>
      </c>
    </row>
    <row r="38" spans="1:13" x14ac:dyDescent="0.25">
      <c r="A38" s="9">
        <v>41640</v>
      </c>
      <c r="B38" s="16">
        <v>1067</v>
      </c>
      <c r="C38" t="str">
        <f t="shared" si="1"/>
        <v>OK</v>
      </c>
      <c r="G38" s="31">
        <v>41548</v>
      </c>
      <c r="H38" s="32">
        <f t="shared" si="2"/>
        <v>1308</v>
      </c>
      <c r="I38" s="11"/>
      <c r="J38" s="35">
        <f t="shared" si="7"/>
        <v>1.0380952380952382</v>
      </c>
      <c r="K38" s="33">
        <f t="shared" si="5"/>
        <v>1308</v>
      </c>
      <c r="L38" s="11" t="str">
        <f t="shared" si="3"/>
        <v>OK</v>
      </c>
      <c r="M38" s="37">
        <f t="shared" si="4"/>
        <v>1308</v>
      </c>
    </row>
    <row r="39" spans="1:13" x14ac:dyDescent="0.25">
      <c r="A39" s="9">
        <v>41671</v>
      </c>
      <c r="B39" s="16">
        <v>1071</v>
      </c>
      <c r="C39" t="str">
        <f t="shared" si="1"/>
        <v>OK</v>
      </c>
      <c r="G39" s="31">
        <v>41579</v>
      </c>
      <c r="H39" s="32">
        <f t="shared" si="2"/>
        <v>1313</v>
      </c>
      <c r="I39" s="11"/>
      <c r="J39" s="35">
        <f t="shared" si="7"/>
        <v>1.0387658227848102</v>
      </c>
      <c r="K39" s="33">
        <f t="shared" si="5"/>
        <v>1313</v>
      </c>
      <c r="L39" s="11" t="str">
        <f t="shared" si="3"/>
        <v>OK</v>
      </c>
      <c r="M39" s="37">
        <f t="shared" si="4"/>
        <v>1313</v>
      </c>
    </row>
    <row r="40" spans="1:13" x14ac:dyDescent="0.25">
      <c r="A40" s="9">
        <v>41699</v>
      </c>
      <c r="B40" s="16">
        <v>1075</v>
      </c>
      <c r="C40" t="str">
        <f t="shared" si="1"/>
        <v>OK</v>
      </c>
      <c r="G40" s="31">
        <v>41609</v>
      </c>
      <c r="H40" s="32">
        <f t="shared" si="2"/>
        <v>1318</v>
      </c>
      <c r="I40" s="11"/>
      <c r="J40" s="35">
        <f t="shared" si="7"/>
        <v>1.0394321766561514</v>
      </c>
      <c r="K40" s="33">
        <f t="shared" si="5"/>
        <v>1318</v>
      </c>
      <c r="L40" s="11" t="str">
        <f t="shared" si="3"/>
        <v>OK</v>
      </c>
      <c r="M40" s="37">
        <f t="shared" si="4"/>
        <v>1318</v>
      </c>
    </row>
    <row r="41" spans="1:13" x14ac:dyDescent="0.25">
      <c r="A41" s="9">
        <v>41730</v>
      </c>
      <c r="B41" s="16">
        <v>1333.76</v>
      </c>
      <c r="C41" t="str">
        <f t="shared" si="1"/>
        <v>OK</v>
      </c>
      <c r="G41" s="31">
        <v>41640</v>
      </c>
      <c r="H41" s="32">
        <f t="shared" si="2"/>
        <v>1067</v>
      </c>
      <c r="I41" s="11"/>
      <c r="J41" s="35">
        <f t="shared" si="7"/>
        <v>1.0419921875</v>
      </c>
      <c r="K41" s="33">
        <f t="shared" si="5"/>
        <v>1067</v>
      </c>
      <c r="L41" s="11" t="str">
        <f t="shared" si="3"/>
        <v>OK</v>
      </c>
      <c r="M41" s="37">
        <f t="shared" si="4"/>
        <v>1067</v>
      </c>
    </row>
    <row r="42" spans="1:13" x14ac:dyDescent="0.25">
      <c r="A42" s="9">
        <v>41760</v>
      </c>
      <c r="B42" s="16">
        <v>1339</v>
      </c>
      <c r="C42" t="str">
        <f t="shared" si="1"/>
        <v>OK</v>
      </c>
      <c r="G42" s="31">
        <v>41671</v>
      </c>
      <c r="H42" s="32">
        <f t="shared" si="2"/>
        <v>1071</v>
      </c>
      <c r="I42" s="11"/>
      <c r="J42" s="35">
        <f t="shared" si="7"/>
        <v>1.0418287937743191</v>
      </c>
      <c r="K42" s="33">
        <f t="shared" si="5"/>
        <v>1071</v>
      </c>
      <c r="L42" s="11" t="str">
        <f t="shared" si="3"/>
        <v>OK</v>
      </c>
      <c r="M42" s="37">
        <f t="shared" si="4"/>
        <v>1071</v>
      </c>
    </row>
    <row r="43" spans="1:13" x14ac:dyDescent="0.25">
      <c r="A43" s="9">
        <v>41791</v>
      </c>
      <c r="B43" s="16">
        <v>1344</v>
      </c>
      <c r="C43" t="str">
        <f t="shared" si="1"/>
        <v>OK</v>
      </c>
      <c r="G43" s="31">
        <v>41699</v>
      </c>
      <c r="H43" s="32">
        <f t="shared" si="2"/>
        <v>1075</v>
      </c>
      <c r="I43" s="11"/>
      <c r="J43" s="35">
        <f t="shared" si="7"/>
        <v>1.0418287937743191</v>
      </c>
      <c r="K43" s="33">
        <f t="shared" si="5"/>
        <v>1075</v>
      </c>
      <c r="L43" s="11" t="str">
        <f t="shared" si="3"/>
        <v>OK</v>
      </c>
      <c r="M43" s="37">
        <f t="shared" si="4"/>
        <v>1075</v>
      </c>
    </row>
    <row r="44" spans="1:13" x14ac:dyDescent="0.25">
      <c r="A44" s="9">
        <v>41821</v>
      </c>
      <c r="B44" s="16">
        <v>1349</v>
      </c>
      <c r="C44" t="str">
        <f t="shared" si="1"/>
        <v>OK</v>
      </c>
      <c r="G44" s="31">
        <v>41730</v>
      </c>
      <c r="H44" s="32">
        <f t="shared" si="2"/>
        <v>1333.76</v>
      </c>
      <c r="I44" s="11"/>
      <c r="J44" s="35">
        <f t="shared" si="7"/>
        <v>1.042</v>
      </c>
      <c r="K44" s="33">
        <f t="shared" si="5"/>
        <v>1333.76</v>
      </c>
      <c r="L44" s="11" t="str">
        <f t="shared" si="3"/>
        <v>CHECK</v>
      </c>
      <c r="M44" s="37">
        <f t="shared" si="4"/>
        <v>1334</v>
      </c>
    </row>
    <row r="45" spans="1:13" x14ac:dyDescent="0.25">
      <c r="A45" s="9">
        <v>41852</v>
      </c>
      <c r="B45" s="16">
        <v>1354</v>
      </c>
      <c r="C45" t="str">
        <f t="shared" si="1"/>
        <v>OK</v>
      </c>
      <c r="G45" s="31">
        <v>41760</v>
      </c>
      <c r="H45" s="32">
        <f t="shared" si="2"/>
        <v>1339</v>
      </c>
      <c r="I45" s="11"/>
      <c r="J45" s="35">
        <f t="shared" si="7"/>
        <v>1.0428348909657321</v>
      </c>
      <c r="K45" s="33">
        <f t="shared" si="5"/>
        <v>1339</v>
      </c>
      <c r="L45" s="11" t="str">
        <f t="shared" si="3"/>
        <v>OK</v>
      </c>
      <c r="M45" s="37">
        <f t="shared" si="4"/>
        <v>1339</v>
      </c>
    </row>
    <row r="46" spans="1:13" x14ac:dyDescent="0.25">
      <c r="A46" s="9">
        <v>41883</v>
      </c>
      <c r="B46" s="16">
        <v>1359</v>
      </c>
      <c r="C46" t="str">
        <f t="shared" si="1"/>
        <v>OK</v>
      </c>
      <c r="G46" s="31">
        <v>41791</v>
      </c>
      <c r="H46" s="32">
        <f t="shared" si="2"/>
        <v>1344</v>
      </c>
      <c r="I46" s="11"/>
      <c r="J46" s="35">
        <f t="shared" si="7"/>
        <v>1.0434782608695652</v>
      </c>
      <c r="K46" s="33">
        <f t="shared" si="5"/>
        <v>1344</v>
      </c>
      <c r="L46" s="11" t="str">
        <f t="shared" si="3"/>
        <v>OK</v>
      </c>
      <c r="M46" s="37">
        <f t="shared" si="4"/>
        <v>1344</v>
      </c>
    </row>
    <row r="47" spans="1:13" x14ac:dyDescent="0.25">
      <c r="A47" s="9">
        <v>41913</v>
      </c>
      <c r="B47" s="16">
        <v>1364</v>
      </c>
      <c r="C47" t="str">
        <f t="shared" si="1"/>
        <v>OK</v>
      </c>
      <c r="G47" s="31">
        <v>41821</v>
      </c>
      <c r="H47" s="32">
        <f t="shared" si="2"/>
        <v>1349</v>
      </c>
      <c r="I47" s="11"/>
      <c r="J47" s="35">
        <f t="shared" si="7"/>
        <v>1.0433101314771849</v>
      </c>
      <c r="K47" s="33">
        <f t="shared" si="5"/>
        <v>1349</v>
      </c>
      <c r="L47" s="11" t="str">
        <f t="shared" si="3"/>
        <v>OK</v>
      </c>
      <c r="M47" s="37">
        <f t="shared" si="4"/>
        <v>1349</v>
      </c>
    </row>
    <row r="48" spans="1:13" x14ac:dyDescent="0.25">
      <c r="A48" s="9">
        <v>41944</v>
      </c>
      <c r="B48" s="16">
        <v>1369</v>
      </c>
      <c r="C48" t="str">
        <f t="shared" si="1"/>
        <v>OK</v>
      </c>
      <c r="G48" s="31">
        <v>41852</v>
      </c>
      <c r="H48" s="32">
        <f t="shared" si="2"/>
        <v>1354</v>
      </c>
      <c r="I48" s="11"/>
      <c r="J48" s="35">
        <f t="shared" si="7"/>
        <v>1.0433101314771849</v>
      </c>
      <c r="K48" s="33">
        <f t="shared" si="5"/>
        <v>1354</v>
      </c>
      <c r="L48" s="11" t="str">
        <f t="shared" si="3"/>
        <v>OK</v>
      </c>
      <c r="M48" s="37">
        <f t="shared" si="4"/>
        <v>1354</v>
      </c>
    </row>
    <row r="49" spans="1:13" x14ac:dyDescent="0.25">
      <c r="A49" s="9">
        <v>41974</v>
      </c>
      <c r="B49" s="16">
        <v>1374</v>
      </c>
      <c r="C49" t="str">
        <f t="shared" si="1"/>
        <v>OK</v>
      </c>
      <c r="G49" s="31">
        <v>41883</v>
      </c>
      <c r="H49" s="32">
        <f t="shared" si="2"/>
        <v>1359</v>
      </c>
      <c r="I49" s="11"/>
      <c r="J49" s="35">
        <f t="shared" si="7"/>
        <v>1.0429777436684573</v>
      </c>
      <c r="K49" s="33">
        <f t="shared" ref="K49:K80" si="8">MIN(IF(ISERROR(H49),K37*$J$2,H49),2000)</f>
        <v>1359</v>
      </c>
      <c r="L49" s="11" t="str">
        <f t="shared" si="3"/>
        <v>OK</v>
      </c>
      <c r="M49" s="37">
        <f t="shared" si="4"/>
        <v>1359</v>
      </c>
    </row>
    <row r="50" spans="1:13" x14ac:dyDescent="0.25">
      <c r="A50" s="9">
        <v>42005</v>
      </c>
      <c r="B50" s="16">
        <v>1118</v>
      </c>
      <c r="C50" t="str">
        <f t="shared" si="1"/>
        <v>OK</v>
      </c>
      <c r="G50" s="31">
        <v>41913</v>
      </c>
      <c r="H50" s="32">
        <f t="shared" si="2"/>
        <v>1364</v>
      </c>
      <c r="I50" s="11"/>
      <c r="J50" s="35">
        <f t="shared" si="7"/>
        <v>1.0428134556574924</v>
      </c>
      <c r="K50" s="33">
        <f t="shared" si="8"/>
        <v>1364</v>
      </c>
      <c r="L50" s="11" t="str">
        <f t="shared" si="3"/>
        <v>OK</v>
      </c>
      <c r="M50" s="37">
        <f t="shared" si="4"/>
        <v>1364</v>
      </c>
    </row>
    <row r="51" spans="1:13" x14ac:dyDescent="0.25">
      <c r="A51" s="9">
        <v>42036</v>
      </c>
      <c r="B51" s="16">
        <v>1123</v>
      </c>
      <c r="C51" t="str">
        <f t="shared" si="1"/>
        <v>OK</v>
      </c>
      <c r="G51" s="31">
        <v>41944</v>
      </c>
      <c r="H51" s="32">
        <f t="shared" si="2"/>
        <v>1369</v>
      </c>
      <c r="I51" s="11"/>
      <c r="J51" s="35">
        <f t="shared" si="7"/>
        <v>1.0426504188880426</v>
      </c>
      <c r="K51" s="33">
        <f t="shared" si="8"/>
        <v>1369</v>
      </c>
      <c r="L51" s="11" t="str">
        <f t="shared" si="3"/>
        <v>OK</v>
      </c>
      <c r="M51" s="37">
        <f t="shared" si="4"/>
        <v>1369</v>
      </c>
    </row>
    <row r="52" spans="1:13" x14ac:dyDescent="0.25">
      <c r="A52" s="9">
        <v>42064</v>
      </c>
      <c r="B52" s="16">
        <v>1128</v>
      </c>
      <c r="C52" t="str">
        <f t="shared" si="1"/>
        <v>OK</v>
      </c>
      <c r="G52" s="31">
        <v>41974</v>
      </c>
      <c r="H52" s="32">
        <f t="shared" si="2"/>
        <v>1374</v>
      </c>
      <c r="I52" s="11"/>
      <c r="J52" s="35">
        <f t="shared" si="7"/>
        <v>1.0424886191198786</v>
      </c>
      <c r="K52" s="33">
        <f t="shared" si="8"/>
        <v>1374</v>
      </c>
      <c r="L52" s="11" t="str">
        <f t="shared" si="3"/>
        <v>OK</v>
      </c>
      <c r="M52" s="37">
        <f t="shared" si="4"/>
        <v>1374</v>
      </c>
    </row>
    <row r="53" spans="1:13" x14ac:dyDescent="0.25">
      <c r="A53" s="9">
        <v>42095</v>
      </c>
      <c r="B53" s="16">
        <v>1397.7804800000001</v>
      </c>
      <c r="C53" t="str">
        <f t="shared" si="1"/>
        <v>OK</v>
      </c>
      <c r="G53" s="31">
        <v>42005</v>
      </c>
      <c r="H53" s="32">
        <f t="shared" si="2"/>
        <v>1118</v>
      </c>
      <c r="I53" s="11"/>
      <c r="J53" s="35">
        <f t="shared" si="7"/>
        <v>1.0477975632614809</v>
      </c>
      <c r="K53" s="33">
        <f t="shared" si="8"/>
        <v>1118</v>
      </c>
      <c r="L53" s="11" t="str">
        <f t="shared" si="3"/>
        <v>OK</v>
      </c>
      <c r="M53" s="37">
        <f t="shared" si="4"/>
        <v>1118</v>
      </c>
    </row>
    <row r="54" spans="1:13" x14ac:dyDescent="0.25">
      <c r="A54" s="9">
        <v>42125</v>
      </c>
      <c r="B54" s="16">
        <v>1404</v>
      </c>
      <c r="C54" t="str">
        <f t="shared" si="1"/>
        <v>OK</v>
      </c>
      <c r="G54" s="31">
        <v>42036</v>
      </c>
      <c r="H54" s="32">
        <f t="shared" si="2"/>
        <v>1123</v>
      </c>
      <c r="I54" s="11"/>
      <c r="J54" s="35">
        <f t="shared" si="7"/>
        <v>1.0485527544351074</v>
      </c>
      <c r="K54" s="33">
        <f t="shared" si="8"/>
        <v>1123</v>
      </c>
      <c r="L54" s="11" t="str">
        <f t="shared" si="3"/>
        <v>OK</v>
      </c>
      <c r="M54" s="37">
        <f t="shared" si="4"/>
        <v>1123</v>
      </c>
    </row>
    <row r="55" spans="1:13" x14ac:dyDescent="0.25">
      <c r="A55" s="9">
        <v>42156</v>
      </c>
      <c r="B55" s="16">
        <v>1410</v>
      </c>
      <c r="C55" t="str">
        <f t="shared" si="1"/>
        <v>OK</v>
      </c>
      <c r="G55" s="31">
        <v>42064</v>
      </c>
      <c r="H55" s="32">
        <f t="shared" si="2"/>
        <v>1128</v>
      </c>
      <c r="I55" s="11"/>
      <c r="J55" s="35">
        <f t="shared" si="7"/>
        <v>1.0493023255813954</v>
      </c>
      <c r="K55" s="33">
        <f t="shared" si="8"/>
        <v>1128</v>
      </c>
      <c r="L55" s="11" t="str">
        <f t="shared" si="3"/>
        <v>OK</v>
      </c>
      <c r="M55" s="37">
        <f t="shared" si="4"/>
        <v>1128</v>
      </c>
    </row>
    <row r="56" spans="1:13" x14ac:dyDescent="0.25">
      <c r="A56" s="9">
        <v>42186</v>
      </c>
      <c r="B56" s="16">
        <v>1416</v>
      </c>
      <c r="C56" t="str">
        <f t="shared" si="1"/>
        <v>OK</v>
      </c>
      <c r="G56" s="31">
        <v>42095</v>
      </c>
      <c r="H56" s="32">
        <f t="shared" si="2"/>
        <v>1397.7804800000001</v>
      </c>
      <c r="I56" s="11"/>
      <c r="J56" s="35">
        <f t="shared" si="7"/>
        <v>1.048</v>
      </c>
      <c r="K56" s="33">
        <f t="shared" si="8"/>
        <v>1397.7804800000001</v>
      </c>
      <c r="L56" s="11" t="str">
        <f t="shared" si="3"/>
        <v>CHECK</v>
      </c>
      <c r="M56" s="37">
        <f t="shared" si="4"/>
        <v>1398</v>
      </c>
    </row>
    <row r="57" spans="1:13" x14ac:dyDescent="0.25">
      <c r="A57" s="9">
        <v>42217</v>
      </c>
      <c r="B57" s="16">
        <v>1422</v>
      </c>
      <c r="C57" t="str">
        <f t="shared" si="1"/>
        <v>OK</v>
      </c>
      <c r="G57" s="31">
        <v>42125</v>
      </c>
      <c r="H57" s="32">
        <f t="shared" si="2"/>
        <v>1404</v>
      </c>
      <c r="I57" s="11"/>
      <c r="J57" s="35">
        <f t="shared" si="7"/>
        <v>1.0485436893203883</v>
      </c>
      <c r="K57" s="33">
        <f t="shared" si="8"/>
        <v>1404</v>
      </c>
      <c r="L57" s="11" t="str">
        <f t="shared" si="3"/>
        <v>OK</v>
      </c>
      <c r="M57" s="37">
        <f t="shared" si="4"/>
        <v>1404</v>
      </c>
    </row>
    <row r="58" spans="1:13" x14ac:dyDescent="0.25">
      <c r="A58" s="9">
        <v>42248</v>
      </c>
      <c r="B58" s="16">
        <v>1428</v>
      </c>
      <c r="C58" t="str">
        <f t="shared" si="1"/>
        <v>OK</v>
      </c>
      <c r="G58" s="31">
        <v>42156</v>
      </c>
      <c r="H58" s="32">
        <f t="shared" si="2"/>
        <v>1410</v>
      </c>
      <c r="I58" s="11"/>
      <c r="J58" s="35">
        <f t="shared" si="7"/>
        <v>1.0491071428571428</v>
      </c>
      <c r="K58" s="33">
        <f t="shared" si="8"/>
        <v>1410</v>
      </c>
      <c r="L58" s="11" t="str">
        <f t="shared" si="3"/>
        <v>OK</v>
      </c>
      <c r="M58" s="37">
        <f t="shared" si="4"/>
        <v>1410</v>
      </c>
    </row>
    <row r="59" spans="1:13" x14ac:dyDescent="0.25">
      <c r="A59" s="9">
        <v>42278</v>
      </c>
      <c r="B59" s="16">
        <v>1434</v>
      </c>
      <c r="C59" t="str">
        <f t="shared" si="1"/>
        <v>OK</v>
      </c>
      <c r="G59" s="31">
        <v>42186</v>
      </c>
      <c r="H59" s="32">
        <f t="shared" si="2"/>
        <v>1416</v>
      </c>
      <c r="I59" s="11"/>
      <c r="J59" s="35">
        <f t="shared" si="7"/>
        <v>1.0496664195700518</v>
      </c>
      <c r="K59" s="33">
        <f t="shared" si="8"/>
        <v>1416</v>
      </c>
      <c r="L59" s="11" t="str">
        <f t="shared" si="3"/>
        <v>OK</v>
      </c>
      <c r="M59" s="37">
        <f t="shared" si="4"/>
        <v>1416</v>
      </c>
    </row>
    <row r="60" spans="1:13" x14ac:dyDescent="0.25">
      <c r="A60" s="9">
        <v>42309</v>
      </c>
      <c r="B60" s="16">
        <v>1440</v>
      </c>
      <c r="C60" t="str">
        <f t="shared" si="1"/>
        <v>OK</v>
      </c>
      <c r="G60" s="31">
        <v>42217</v>
      </c>
      <c r="H60" s="32">
        <f t="shared" si="2"/>
        <v>1422</v>
      </c>
      <c r="I60" s="11"/>
      <c r="J60" s="35">
        <f t="shared" si="7"/>
        <v>1.0502215657311669</v>
      </c>
      <c r="K60" s="33">
        <f t="shared" si="8"/>
        <v>1422</v>
      </c>
      <c r="L60" s="11" t="str">
        <f t="shared" si="3"/>
        <v>OK</v>
      </c>
      <c r="M60" s="37">
        <f t="shared" si="4"/>
        <v>1422</v>
      </c>
    </row>
    <row r="61" spans="1:13" x14ac:dyDescent="0.25">
      <c r="A61" s="9">
        <v>42339</v>
      </c>
      <c r="B61" s="16">
        <v>1446</v>
      </c>
      <c r="C61" t="str">
        <f t="shared" si="1"/>
        <v>OK</v>
      </c>
      <c r="G61" s="31">
        <v>42248</v>
      </c>
      <c r="H61" s="32">
        <f t="shared" si="2"/>
        <v>1428</v>
      </c>
      <c r="I61" s="11"/>
      <c r="J61" s="35">
        <f t="shared" si="7"/>
        <v>1.0507726269315674</v>
      </c>
      <c r="K61" s="33">
        <f t="shared" si="8"/>
        <v>1428</v>
      </c>
      <c r="L61" s="11" t="str">
        <f t="shared" si="3"/>
        <v>OK</v>
      </c>
      <c r="M61" s="37">
        <f t="shared" si="4"/>
        <v>1428</v>
      </c>
    </row>
    <row r="62" spans="1:13" x14ac:dyDescent="0.25">
      <c r="A62" s="9">
        <v>42370</v>
      </c>
      <c r="B62" s="16">
        <v>1179</v>
      </c>
      <c r="C62" t="str">
        <f t="shared" si="1"/>
        <v>OK</v>
      </c>
      <c r="G62" s="31">
        <v>42278</v>
      </c>
      <c r="H62" s="32">
        <f t="shared" si="2"/>
        <v>1434</v>
      </c>
      <c r="I62" s="11"/>
      <c r="J62" s="35">
        <f t="shared" si="7"/>
        <v>1.0513196480938416</v>
      </c>
      <c r="K62" s="33">
        <f t="shared" si="8"/>
        <v>1434</v>
      </c>
      <c r="L62" s="11" t="str">
        <f t="shared" si="3"/>
        <v>OK</v>
      </c>
      <c r="M62" s="37">
        <f t="shared" si="4"/>
        <v>1434</v>
      </c>
    </row>
    <row r="63" spans="1:13" x14ac:dyDescent="0.25">
      <c r="A63" s="9">
        <v>42401</v>
      </c>
      <c r="B63" s="16">
        <v>1185</v>
      </c>
      <c r="C63" t="str">
        <f t="shared" si="1"/>
        <v>OK</v>
      </c>
      <c r="G63" s="31">
        <v>42309</v>
      </c>
      <c r="H63" s="32">
        <f t="shared" si="2"/>
        <v>1440</v>
      </c>
      <c r="I63" s="11"/>
      <c r="J63" s="35">
        <f t="shared" si="7"/>
        <v>1.0518626734842951</v>
      </c>
      <c r="K63" s="33">
        <f t="shared" si="8"/>
        <v>1440</v>
      </c>
      <c r="L63" s="11" t="str">
        <f t="shared" si="3"/>
        <v>OK</v>
      </c>
      <c r="M63" s="37">
        <f t="shared" si="4"/>
        <v>1440</v>
      </c>
    </row>
    <row r="64" spans="1:13" x14ac:dyDescent="0.25">
      <c r="A64" s="9">
        <v>42430</v>
      </c>
      <c r="B64" s="16">
        <v>1191</v>
      </c>
      <c r="C64" t="str">
        <f t="shared" si="1"/>
        <v>OK</v>
      </c>
      <c r="G64" s="31">
        <v>42339</v>
      </c>
      <c r="H64" s="32">
        <f t="shared" si="2"/>
        <v>1446</v>
      </c>
      <c r="I64" s="11"/>
      <c r="J64" s="35">
        <f t="shared" si="7"/>
        <v>1.0524017467248907</v>
      </c>
      <c r="K64" s="33">
        <f t="shared" si="8"/>
        <v>1446</v>
      </c>
      <c r="L64" s="11" t="str">
        <f t="shared" si="3"/>
        <v>OK</v>
      </c>
      <c r="M64" s="37">
        <f t="shared" si="4"/>
        <v>1446</v>
      </c>
    </row>
    <row r="65" spans="1:13" x14ac:dyDescent="0.25">
      <c r="A65" s="9">
        <v>42461</v>
      </c>
      <c r="B65" s="16">
        <v>1473.2606259200002</v>
      </c>
      <c r="C65" t="str">
        <f t="shared" si="1"/>
        <v>OK</v>
      </c>
      <c r="G65" s="31">
        <v>42370</v>
      </c>
      <c r="H65" s="32">
        <f t="shared" si="2"/>
        <v>1179</v>
      </c>
      <c r="I65" s="11"/>
      <c r="J65" s="35">
        <f t="shared" si="7"/>
        <v>1.0545617173524151</v>
      </c>
      <c r="K65" s="33">
        <f t="shared" si="8"/>
        <v>1179</v>
      </c>
      <c r="L65" s="11" t="str">
        <f t="shared" si="3"/>
        <v>OK</v>
      </c>
      <c r="M65" s="37">
        <f t="shared" si="4"/>
        <v>1179</v>
      </c>
    </row>
    <row r="66" spans="1:13" x14ac:dyDescent="0.25">
      <c r="A66" s="9">
        <v>42491</v>
      </c>
      <c r="B66" s="16">
        <v>1481</v>
      </c>
      <c r="C66" t="str">
        <f t="shared" si="1"/>
        <v>OK</v>
      </c>
      <c r="G66" s="31">
        <v>42401</v>
      </c>
      <c r="H66" s="32">
        <f t="shared" si="2"/>
        <v>1185</v>
      </c>
      <c r="I66" s="11"/>
      <c r="J66" s="35">
        <f t="shared" si="7"/>
        <v>1.0552092609082815</v>
      </c>
      <c r="K66" s="33">
        <f t="shared" si="8"/>
        <v>1185</v>
      </c>
      <c r="L66" s="11" t="str">
        <f t="shared" si="3"/>
        <v>OK</v>
      </c>
      <c r="M66" s="37">
        <f t="shared" si="4"/>
        <v>1185</v>
      </c>
    </row>
    <row r="67" spans="1:13" x14ac:dyDescent="0.25">
      <c r="A67" s="9">
        <v>42522</v>
      </c>
      <c r="B67" s="16">
        <v>1488</v>
      </c>
      <c r="C67" t="str">
        <f t="shared" si="1"/>
        <v>OK</v>
      </c>
      <c r="G67" s="31">
        <v>42430</v>
      </c>
      <c r="H67" s="32">
        <f t="shared" si="2"/>
        <v>1191</v>
      </c>
      <c r="I67" s="11"/>
      <c r="J67" s="35">
        <f t="shared" si="7"/>
        <v>1.0558510638297873</v>
      </c>
      <c r="K67" s="33">
        <f t="shared" si="8"/>
        <v>1191</v>
      </c>
      <c r="L67" s="11" t="str">
        <f t="shared" si="3"/>
        <v>OK</v>
      </c>
      <c r="M67" s="37">
        <f t="shared" si="4"/>
        <v>1191</v>
      </c>
    </row>
    <row r="68" spans="1:13" x14ac:dyDescent="0.25">
      <c r="A68" s="9">
        <v>42552</v>
      </c>
      <c r="B68" s="16">
        <v>1495</v>
      </c>
      <c r="C68" t="str">
        <f t="shared" si="1"/>
        <v>OK</v>
      </c>
      <c r="G68" s="31">
        <v>42461</v>
      </c>
      <c r="H68" s="32">
        <f t="shared" si="2"/>
        <v>1473.2606259200002</v>
      </c>
      <c r="I68" s="11"/>
      <c r="J68" s="35">
        <f t="shared" si="7"/>
        <v>1.054</v>
      </c>
      <c r="K68" s="33">
        <f t="shared" si="8"/>
        <v>1473.2606259200002</v>
      </c>
      <c r="L68" s="11" t="str">
        <f t="shared" si="3"/>
        <v>CHECK</v>
      </c>
      <c r="M68" s="37">
        <f t="shared" si="4"/>
        <v>1473</v>
      </c>
    </row>
    <row r="69" spans="1:13" x14ac:dyDescent="0.25">
      <c r="A69" s="9">
        <v>42583</v>
      </c>
      <c r="B69" s="16">
        <v>1502</v>
      </c>
      <c r="C69" t="str">
        <f t="shared" si="1"/>
        <v>OK</v>
      </c>
      <c r="G69" s="31">
        <v>42491</v>
      </c>
      <c r="H69" s="32">
        <f t="shared" si="2"/>
        <v>1481</v>
      </c>
      <c r="I69" s="11"/>
      <c r="J69" s="35">
        <f t="shared" si="7"/>
        <v>1.0548433048433048</v>
      </c>
      <c r="K69" s="33">
        <f t="shared" si="8"/>
        <v>1481</v>
      </c>
      <c r="L69" s="11" t="str">
        <f t="shared" si="3"/>
        <v>OK</v>
      </c>
      <c r="M69" s="37">
        <f t="shared" si="4"/>
        <v>1481</v>
      </c>
    </row>
    <row r="70" spans="1:13" x14ac:dyDescent="0.25">
      <c r="A70" s="9">
        <v>42614</v>
      </c>
      <c r="B70" s="16">
        <v>1510</v>
      </c>
      <c r="C70" t="str">
        <f t="shared" ref="C70:C121" si="9">IF(B70&lt;=2000,"OK","CHECK")</f>
        <v>OK</v>
      </c>
      <c r="G70" s="31">
        <v>42522</v>
      </c>
      <c r="H70" s="32">
        <f t="shared" ref="H70:H124" si="10">IF(VLOOKUP(G70,A:B,2,0)&gt;2000,2000,VLOOKUP(G70,A:B,2,0))</f>
        <v>1488</v>
      </c>
      <c r="I70" s="11"/>
      <c r="J70" s="35">
        <f t="shared" si="7"/>
        <v>1.0553191489361702</v>
      </c>
      <c r="K70" s="33">
        <f t="shared" si="8"/>
        <v>1488</v>
      </c>
      <c r="L70" s="11" t="str">
        <f t="shared" ref="L70:L124" si="11">IF(K70-INT(K70)=0,"OK","CHECK")</f>
        <v>OK</v>
      </c>
      <c r="M70" s="37">
        <f t="shared" ref="M70:M124" si="12">ROUND(K70,0)</f>
        <v>1488</v>
      </c>
    </row>
    <row r="71" spans="1:13" x14ac:dyDescent="0.25">
      <c r="A71" s="9">
        <v>42644</v>
      </c>
      <c r="B71" s="16">
        <v>1518</v>
      </c>
      <c r="C71" t="str">
        <f t="shared" si="9"/>
        <v>OK</v>
      </c>
      <c r="G71" s="31">
        <v>42552</v>
      </c>
      <c r="H71" s="32">
        <f t="shared" si="10"/>
        <v>1495</v>
      </c>
      <c r="I71" s="11"/>
      <c r="J71" s="35">
        <f t="shared" si="7"/>
        <v>1.0557909604519775</v>
      </c>
      <c r="K71" s="33">
        <f t="shared" si="8"/>
        <v>1495</v>
      </c>
      <c r="L71" s="11" t="str">
        <f t="shared" si="11"/>
        <v>OK</v>
      </c>
      <c r="M71" s="37">
        <f t="shared" si="12"/>
        <v>1495</v>
      </c>
    </row>
    <row r="72" spans="1:13" x14ac:dyDescent="0.25">
      <c r="A72" s="9">
        <v>42675</v>
      </c>
      <c r="B72" s="16">
        <v>1526</v>
      </c>
      <c r="C72" t="str">
        <f t="shared" si="9"/>
        <v>OK</v>
      </c>
      <c r="G72" s="31">
        <v>42583</v>
      </c>
      <c r="H72" s="32">
        <f t="shared" si="10"/>
        <v>1502</v>
      </c>
      <c r="I72" s="11"/>
      <c r="J72" s="35">
        <f t="shared" si="7"/>
        <v>1.0562587904360057</v>
      </c>
      <c r="K72" s="33">
        <f t="shared" si="8"/>
        <v>1502</v>
      </c>
      <c r="L72" s="11" t="str">
        <f t="shared" si="11"/>
        <v>OK</v>
      </c>
      <c r="M72" s="37">
        <f t="shared" si="12"/>
        <v>1502</v>
      </c>
    </row>
    <row r="73" spans="1:13" x14ac:dyDescent="0.25">
      <c r="A73" s="9">
        <v>42705</v>
      </c>
      <c r="B73" s="16">
        <v>1534</v>
      </c>
      <c r="C73" t="str">
        <f t="shared" si="9"/>
        <v>OK</v>
      </c>
      <c r="G73" s="31">
        <v>42614</v>
      </c>
      <c r="H73" s="32">
        <f t="shared" si="10"/>
        <v>1510</v>
      </c>
      <c r="I73" s="11"/>
      <c r="J73" s="35">
        <f t="shared" si="7"/>
        <v>1.0574229691876751</v>
      </c>
      <c r="K73" s="33">
        <f t="shared" si="8"/>
        <v>1510</v>
      </c>
      <c r="L73" s="11" t="str">
        <f t="shared" si="11"/>
        <v>OK</v>
      </c>
      <c r="M73" s="37">
        <f t="shared" si="12"/>
        <v>1510</v>
      </c>
    </row>
    <row r="74" spans="1:13" x14ac:dyDescent="0.25">
      <c r="A74" s="9">
        <v>42736</v>
      </c>
      <c r="B74" s="16">
        <v>1249</v>
      </c>
      <c r="C74" t="str">
        <f t="shared" si="9"/>
        <v>OK</v>
      </c>
      <c r="G74" s="31">
        <v>42644</v>
      </c>
      <c r="H74" s="32">
        <f t="shared" si="10"/>
        <v>1518</v>
      </c>
      <c r="I74" s="11"/>
      <c r="J74" s="35">
        <f t="shared" si="7"/>
        <v>1.0585774058577406</v>
      </c>
      <c r="K74" s="33">
        <f t="shared" si="8"/>
        <v>1518</v>
      </c>
      <c r="L74" s="11" t="str">
        <f t="shared" si="11"/>
        <v>OK</v>
      </c>
      <c r="M74" s="37">
        <f t="shared" si="12"/>
        <v>1518</v>
      </c>
    </row>
    <row r="75" spans="1:13" x14ac:dyDescent="0.25">
      <c r="A75" s="9">
        <v>42767</v>
      </c>
      <c r="B75" s="16">
        <v>1256</v>
      </c>
      <c r="C75" t="str">
        <f t="shared" si="9"/>
        <v>OK</v>
      </c>
      <c r="G75" s="31">
        <v>42675</v>
      </c>
      <c r="H75" s="32">
        <f t="shared" si="10"/>
        <v>1526</v>
      </c>
      <c r="I75" s="11"/>
      <c r="J75" s="35">
        <f t="shared" si="7"/>
        <v>1.0597222222222222</v>
      </c>
      <c r="K75" s="33">
        <f t="shared" si="8"/>
        <v>1526</v>
      </c>
      <c r="L75" s="11" t="str">
        <f t="shared" si="11"/>
        <v>OK</v>
      </c>
      <c r="M75" s="37">
        <f t="shared" si="12"/>
        <v>1526</v>
      </c>
    </row>
    <row r="76" spans="1:13" x14ac:dyDescent="0.25">
      <c r="A76" s="9">
        <v>42795</v>
      </c>
      <c r="B76" s="16">
        <v>1263</v>
      </c>
      <c r="C76" t="str">
        <f t="shared" si="9"/>
        <v>OK</v>
      </c>
      <c r="G76" s="31">
        <v>42705</v>
      </c>
      <c r="H76" s="32">
        <f t="shared" si="10"/>
        <v>1534</v>
      </c>
      <c r="I76" s="11"/>
      <c r="J76" s="35">
        <f t="shared" si="7"/>
        <v>1.0608575380359613</v>
      </c>
      <c r="K76" s="33">
        <f t="shared" si="8"/>
        <v>1534</v>
      </c>
      <c r="L76" s="11" t="str">
        <f t="shared" si="11"/>
        <v>OK</v>
      </c>
      <c r="M76" s="37">
        <f t="shared" si="12"/>
        <v>1534</v>
      </c>
    </row>
    <row r="77" spans="1:13" x14ac:dyDescent="0.25">
      <c r="A77" s="9">
        <v>42826</v>
      </c>
      <c r="B77" s="16">
        <v>1561.6562634752001</v>
      </c>
      <c r="C77" t="str">
        <f t="shared" si="9"/>
        <v>OK</v>
      </c>
      <c r="G77" s="31">
        <v>42736</v>
      </c>
      <c r="H77" s="32">
        <f t="shared" si="10"/>
        <v>1249</v>
      </c>
      <c r="I77" s="11"/>
      <c r="J77" s="35">
        <f t="shared" si="7"/>
        <v>1.0593723494486853</v>
      </c>
      <c r="K77" s="33">
        <f t="shared" si="8"/>
        <v>1249</v>
      </c>
      <c r="L77" s="11" t="str">
        <f t="shared" si="11"/>
        <v>OK</v>
      </c>
      <c r="M77" s="37">
        <f t="shared" si="12"/>
        <v>1249</v>
      </c>
    </row>
    <row r="78" spans="1:13" x14ac:dyDescent="0.25">
      <c r="A78" s="9">
        <v>42856</v>
      </c>
      <c r="B78" s="16">
        <v>1570</v>
      </c>
      <c r="C78" t="str">
        <f t="shared" si="9"/>
        <v>OK</v>
      </c>
      <c r="G78" s="31">
        <v>42767</v>
      </c>
      <c r="H78" s="32">
        <f t="shared" si="10"/>
        <v>1256</v>
      </c>
      <c r="I78" s="11"/>
      <c r="J78" s="35">
        <f t="shared" si="7"/>
        <v>1.059915611814346</v>
      </c>
      <c r="K78" s="33">
        <f t="shared" si="8"/>
        <v>1256</v>
      </c>
      <c r="L78" s="11" t="str">
        <f t="shared" si="11"/>
        <v>OK</v>
      </c>
      <c r="M78" s="37">
        <f t="shared" si="12"/>
        <v>1256</v>
      </c>
    </row>
    <row r="79" spans="1:13" x14ac:dyDescent="0.25">
      <c r="A79" s="9">
        <v>42887</v>
      </c>
      <c r="B79" s="16">
        <v>1579</v>
      </c>
      <c r="C79" t="str">
        <f t="shared" si="9"/>
        <v>OK</v>
      </c>
      <c r="G79" s="31">
        <v>42795</v>
      </c>
      <c r="H79" s="32">
        <f t="shared" si="10"/>
        <v>1263</v>
      </c>
      <c r="I79" s="11"/>
      <c r="J79" s="35">
        <f t="shared" si="7"/>
        <v>1.0604534005037782</v>
      </c>
      <c r="K79" s="33">
        <f t="shared" si="8"/>
        <v>1263</v>
      </c>
      <c r="L79" s="11" t="str">
        <f t="shared" si="11"/>
        <v>OK</v>
      </c>
      <c r="M79" s="37">
        <f t="shared" si="12"/>
        <v>1263</v>
      </c>
    </row>
    <row r="80" spans="1:13" x14ac:dyDescent="0.25">
      <c r="A80" s="9">
        <v>42917</v>
      </c>
      <c r="B80" s="16">
        <v>1588</v>
      </c>
      <c r="C80" t="str">
        <f t="shared" si="9"/>
        <v>OK</v>
      </c>
      <c r="G80" s="31">
        <v>42826</v>
      </c>
      <c r="H80" s="32">
        <f t="shared" si="10"/>
        <v>1561.6562634752001</v>
      </c>
      <c r="I80" s="11"/>
      <c r="J80" s="35">
        <f t="shared" si="7"/>
        <v>1.06</v>
      </c>
      <c r="K80" s="33">
        <f t="shared" si="8"/>
        <v>1561.6562634752001</v>
      </c>
      <c r="L80" s="11" t="str">
        <f t="shared" si="11"/>
        <v>CHECK</v>
      </c>
      <c r="M80" s="37">
        <f t="shared" si="12"/>
        <v>1562</v>
      </c>
    </row>
    <row r="81" spans="1:13" x14ac:dyDescent="0.25">
      <c r="A81" s="9">
        <v>42948</v>
      </c>
      <c r="B81" s="16">
        <v>1597</v>
      </c>
      <c r="C81" t="str">
        <f t="shared" si="9"/>
        <v>OK</v>
      </c>
      <c r="G81" s="31">
        <v>42856</v>
      </c>
      <c r="H81" s="32">
        <f t="shared" si="10"/>
        <v>1570</v>
      </c>
      <c r="I81" s="11"/>
      <c r="J81" s="35">
        <f t="shared" si="7"/>
        <v>1.0600945307224847</v>
      </c>
      <c r="K81" s="33">
        <f t="shared" ref="K81:K112" si="13">MIN(IF(ISERROR(H81),K69*$J$2,H81),2000)</f>
        <v>1570</v>
      </c>
      <c r="L81" s="11" t="str">
        <f t="shared" si="11"/>
        <v>OK</v>
      </c>
      <c r="M81" s="37">
        <f t="shared" si="12"/>
        <v>1570</v>
      </c>
    </row>
    <row r="82" spans="1:13" x14ac:dyDescent="0.25">
      <c r="A82" s="9">
        <v>42979</v>
      </c>
      <c r="B82" s="16">
        <v>1606</v>
      </c>
      <c r="C82" t="str">
        <f t="shared" si="9"/>
        <v>OK</v>
      </c>
      <c r="G82" s="31">
        <v>42887</v>
      </c>
      <c r="H82" s="32">
        <f t="shared" si="10"/>
        <v>1579</v>
      </c>
      <c r="I82" s="11"/>
      <c r="J82" s="35">
        <f t="shared" si="7"/>
        <v>1.0611559139784945</v>
      </c>
      <c r="K82" s="33">
        <f t="shared" si="13"/>
        <v>1579</v>
      </c>
      <c r="L82" s="11" t="str">
        <f t="shared" si="11"/>
        <v>OK</v>
      </c>
      <c r="M82" s="37">
        <f t="shared" si="12"/>
        <v>1579</v>
      </c>
    </row>
    <row r="83" spans="1:13" x14ac:dyDescent="0.25">
      <c r="A83" s="9">
        <v>43009</v>
      </c>
      <c r="B83" s="16">
        <v>1615</v>
      </c>
      <c r="C83" t="str">
        <f t="shared" si="9"/>
        <v>OK</v>
      </c>
      <c r="G83" s="31">
        <v>42917</v>
      </c>
      <c r="H83" s="32">
        <f t="shared" si="10"/>
        <v>1588</v>
      </c>
      <c r="I83" s="11"/>
      <c r="J83" s="35">
        <f t="shared" si="7"/>
        <v>1.0622073578595317</v>
      </c>
      <c r="K83" s="33">
        <f t="shared" si="13"/>
        <v>1588</v>
      </c>
      <c r="L83" s="11" t="str">
        <f t="shared" si="11"/>
        <v>OK</v>
      </c>
      <c r="M83" s="37">
        <f t="shared" si="12"/>
        <v>1588</v>
      </c>
    </row>
    <row r="84" spans="1:13" x14ac:dyDescent="0.25">
      <c r="A84" s="9">
        <v>43040</v>
      </c>
      <c r="B84" s="16">
        <v>1624</v>
      </c>
      <c r="C84" t="str">
        <f t="shared" si="9"/>
        <v>OK</v>
      </c>
      <c r="G84" s="31">
        <v>42948</v>
      </c>
      <c r="H84" s="32">
        <f t="shared" si="10"/>
        <v>1597</v>
      </c>
      <c r="I84" s="11"/>
      <c r="J84" s="35">
        <f t="shared" si="7"/>
        <v>1.0632490013315579</v>
      </c>
      <c r="K84" s="33">
        <f t="shared" si="13"/>
        <v>1597</v>
      </c>
      <c r="L84" s="11" t="str">
        <f t="shared" si="11"/>
        <v>OK</v>
      </c>
      <c r="M84" s="37">
        <f t="shared" si="12"/>
        <v>1597</v>
      </c>
    </row>
    <row r="85" spans="1:13" x14ac:dyDescent="0.25">
      <c r="A85" s="9">
        <v>43070</v>
      </c>
      <c r="B85" s="16">
        <v>1633</v>
      </c>
      <c r="C85" t="str">
        <f t="shared" si="9"/>
        <v>OK</v>
      </c>
      <c r="G85" s="31">
        <v>42979</v>
      </c>
      <c r="H85" s="32">
        <f t="shared" si="10"/>
        <v>1606</v>
      </c>
      <c r="I85" s="11"/>
      <c r="J85" s="35">
        <f t="shared" si="7"/>
        <v>1.0635761589403974</v>
      </c>
      <c r="K85" s="33">
        <f t="shared" si="13"/>
        <v>1606</v>
      </c>
      <c r="L85" s="11" t="str">
        <f t="shared" si="11"/>
        <v>OK</v>
      </c>
      <c r="M85" s="37">
        <f t="shared" si="12"/>
        <v>1606</v>
      </c>
    </row>
    <row r="86" spans="1:13" x14ac:dyDescent="0.25">
      <c r="A86" s="9">
        <v>43101</v>
      </c>
      <c r="B86" s="16">
        <v>1332</v>
      </c>
      <c r="C86" t="str">
        <f t="shared" si="9"/>
        <v>OK</v>
      </c>
      <c r="G86" s="31">
        <v>43009</v>
      </c>
      <c r="H86" s="32">
        <f t="shared" si="10"/>
        <v>1615</v>
      </c>
      <c r="I86" s="11"/>
      <c r="J86" s="35">
        <f t="shared" si="7"/>
        <v>1.0638998682476943</v>
      </c>
      <c r="K86" s="33">
        <f t="shared" si="13"/>
        <v>1615</v>
      </c>
      <c r="L86" s="11" t="str">
        <f t="shared" si="11"/>
        <v>OK</v>
      </c>
      <c r="M86" s="37">
        <f t="shared" si="12"/>
        <v>1615</v>
      </c>
    </row>
    <row r="87" spans="1:13" x14ac:dyDescent="0.25">
      <c r="A87" s="9">
        <v>43132</v>
      </c>
      <c r="B87" s="16">
        <v>1340</v>
      </c>
      <c r="C87" t="str">
        <f t="shared" si="9"/>
        <v>OK</v>
      </c>
      <c r="G87" s="31">
        <v>43040</v>
      </c>
      <c r="H87" s="32">
        <f t="shared" si="10"/>
        <v>1624</v>
      </c>
      <c r="I87" s="11"/>
      <c r="J87" s="35">
        <f t="shared" si="7"/>
        <v>1.0642201834862386</v>
      </c>
      <c r="K87" s="33">
        <f t="shared" si="13"/>
        <v>1624</v>
      </c>
      <c r="L87" s="11" t="str">
        <f t="shared" si="11"/>
        <v>OK</v>
      </c>
      <c r="M87" s="37">
        <f t="shared" si="12"/>
        <v>1624</v>
      </c>
    </row>
    <row r="88" spans="1:13" x14ac:dyDescent="0.25">
      <c r="A88" s="9">
        <v>43160</v>
      </c>
      <c r="B88" s="16">
        <v>1348</v>
      </c>
      <c r="C88" t="str">
        <f t="shared" si="9"/>
        <v>OK</v>
      </c>
      <c r="G88" s="31">
        <v>43070</v>
      </c>
      <c r="H88" s="32">
        <f t="shared" si="10"/>
        <v>1633</v>
      </c>
      <c r="I88" s="11"/>
      <c r="J88" s="35">
        <f t="shared" si="7"/>
        <v>1.0645371577574967</v>
      </c>
      <c r="K88" s="33">
        <f t="shared" si="13"/>
        <v>1633</v>
      </c>
      <c r="L88" s="11" t="str">
        <f t="shared" si="11"/>
        <v>OK</v>
      </c>
      <c r="M88" s="37">
        <f t="shared" si="12"/>
        <v>1633</v>
      </c>
    </row>
    <row r="89" spans="1:13" x14ac:dyDescent="0.25">
      <c r="A89" s="9">
        <v>43191</v>
      </c>
      <c r="B89" s="16">
        <v>1664.7255768645634</v>
      </c>
      <c r="C89" t="str">
        <f t="shared" si="9"/>
        <v>OK</v>
      </c>
      <c r="G89" s="31">
        <v>43101</v>
      </c>
      <c r="H89" s="32">
        <f t="shared" si="10"/>
        <v>1332</v>
      </c>
      <c r="I89" s="11"/>
      <c r="J89" s="35">
        <f t="shared" ref="J89:J124" si="14">IFERROR(H89/H77,J88)</f>
        <v>1.066453162530024</v>
      </c>
      <c r="K89" s="33">
        <f t="shared" si="13"/>
        <v>1332</v>
      </c>
      <c r="L89" s="11" t="str">
        <f t="shared" si="11"/>
        <v>OK</v>
      </c>
      <c r="M89" s="37">
        <f t="shared" si="12"/>
        <v>1332</v>
      </c>
    </row>
    <row r="90" spans="1:13" x14ac:dyDescent="0.25">
      <c r="A90" s="9">
        <v>43221</v>
      </c>
      <c r="B90" s="16">
        <v>1675</v>
      </c>
      <c r="C90" t="str">
        <f t="shared" si="9"/>
        <v>OK</v>
      </c>
      <c r="G90" s="31">
        <v>43132</v>
      </c>
      <c r="H90" s="32">
        <f t="shared" si="10"/>
        <v>1340</v>
      </c>
      <c r="I90" s="11"/>
      <c r="J90" s="35">
        <f t="shared" si="14"/>
        <v>1.0668789808917198</v>
      </c>
      <c r="K90" s="33">
        <f t="shared" si="13"/>
        <v>1340</v>
      </c>
      <c r="L90" s="11" t="str">
        <f t="shared" si="11"/>
        <v>OK</v>
      </c>
      <c r="M90" s="37">
        <f t="shared" si="12"/>
        <v>1340</v>
      </c>
    </row>
    <row r="91" spans="1:13" x14ac:dyDescent="0.25">
      <c r="A91" s="9">
        <v>43252</v>
      </c>
      <c r="B91" s="16">
        <v>1685</v>
      </c>
      <c r="C91" t="str">
        <f t="shared" si="9"/>
        <v>OK</v>
      </c>
      <c r="G91" s="31">
        <v>43160</v>
      </c>
      <c r="H91" s="32">
        <f t="shared" si="10"/>
        <v>1348</v>
      </c>
      <c r="I91" s="11"/>
      <c r="J91" s="35">
        <f t="shared" si="14"/>
        <v>1.0673000791765637</v>
      </c>
      <c r="K91" s="33">
        <f t="shared" si="13"/>
        <v>1348</v>
      </c>
      <c r="L91" s="11" t="str">
        <f t="shared" si="11"/>
        <v>OK</v>
      </c>
      <c r="M91" s="37">
        <f t="shared" si="12"/>
        <v>1348</v>
      </c>
    </row>
    <row r="92" spans="1:13" x14ac:dyDescent="0.25">
      <c r="A92" s="9">
        <v>43282</v>
      </c>
      <c r="B92" s="16">
        <v>1695</v>
      </c>
      <c r="C92" t="str">
        <f t="shared" si="9"/>
        <v>OK</v>
      </c>
      <c r="G92" s="31">
        <v>43191</v>
      </c>
      <c r="H92" s="32">
        <f t="shared" si="10"/>
        <v>1664.7255768645634</v>
      </c>
      <c r="I92" s="11"/>
      <c r="J92" s="35">
        <f t="shared" si="14"/>
        <v>1.0660000000000001</v>
      </c>
      <c r="K92" s="33">
        <f t="shared" si="13"/>
        <v>1664.7255768645634</v>
      </c>
      <c r="L92" s="11" t="str">
        <f t="shared" si="11"/>
        <v>CHECK</v>
      </c>
      <c r="M92" s="37">
        <f t="shared" si="12"/>
        <v>1665</v>
      </c>
    </row>
    <row r="93" spans="1:13" x14ac:dyDescent="0.25">
      <c r="A93" s="9">
        <v>43313</v>
      </c>
      <c r="B93" s="16">
        <v>1705</v>
      </c>
      <c r="C93" t="str">
        <f t="shared" si="9"/>
        <v>OK</v>
      </c>
      <c r="G93" s="31">
        <v>43221</v>
      </c>
      <c r="H93" s="32">
        <f t="shared" si="10"/>
        <v>1675</v>
      </c>
      <c r="I93" s="11"/>
      <c r="J93" s="35">
        <f t="shared" si="14"/>
        <v>1.0668789808917198</v>
      </c>
      <c r="K93" s="33">
        <f t="shared" si="13"/>
        <v>1675</v>
      </c>
      <c r="L93" s="11" t="str">
        <f t="shared" si="11"/>
        <v>OK</v>
      </c>
      <c r="M93" s="37">
        <f t="shared" si="12"/>
        <v>1675</v>
      </c>
    </row>
    <row r="94" spans="1:13" x14ac:dyDescent="0.25">
      <c r="A94" s="9">
        <v>43344</v>
      </c>
      <c r="B94" s="16">
        <v>1715</v>
      </c>
      <c r="C94" t="str">
        <f t="shared" si="9"/>
        <v>OK</v>
      </c>
      <c r="G94" s="31">
        <v>43252</v>
      </c>
      <c r="H94" s="32">
        <f t="shared" si="10"/>
        <v>1685</v>
      </c>
      <c r="I94" s="11"/>
      <c r="J94" s="35">
        <f t="shared" si="14"/>
        <v>1.0671310956301456</v>
      </c>
      <c r="K94" s="33">
        <f t="shared" si="13"/>
        <v>1685</v>
      </c>
      <c r="L94" s="11" t="str">
        <f t="shared" si="11"/>
        <v>OK</v>
      </c>
      <c r="M94" s="37">
        <f t="shared" si="12"/>
        <v>1685</v>
      </c>
    </row>
    <row r="95" spans="1:13" x14ac:dyDescent="0.25">
      <c r="A95" s="9">
        <v>43374</v>
      </c>
      <c r="B95" s="16">
        <v>1725</v>
      </c>
      <c r="C95" t="str">
        <f t="shared" si="9"/>
        <v>OK</v>
      </c>
      <c r="G95" s="31">
        <v>43282</v>
      </c>
      <c r="H95" s="32">
        <f t="shared" si="10"/>
        <v>1695</v>
      </c>
      <c r="I95" s="11"/>
      <c r="J95" s="35">
        <f t="shared" si="14"/>
        <v>1.0673803526448362</v>
      </c>
      <c r="K95" s="33">
        <f t="shared" si="13"/>
        <v>1695</v>
      </c>
      <c r="L95" s="11" t="str">
        <f t="shared" si="11"/>
        <v>OK</v>
      </c>
      <c r="M95" s="37">
        <f t="shared" si="12"/>
        <v>1695</v>
      </c>
    </row>
    <row r="96" spans="1:13" x14ac:dyDescent="0.25">
      <c r="A96" s="9">
        <v>43405</v>
      </c>
      <c r="B96" s="16">
        <v>1735</v>
      </c>
      <c r="C96" t="str">
        <f t="shared" si="9"/>
        <v>OK</v>
      </c>
      <c r="G96" s="31">
        <v>43313</v>
      </c>
      <c r="H96" s="32">
        <f t="shared" si="10"/>
        <v>1705</v>
      </c>
      <c r="I96" s="11"/>
      <c r="J96" s="35">
        <f t="shared" si="14"/>
        <v>1.0676268002504696</v>
      </c>
      <c r="K96" s="33">
        <f t="shared" si="13"/>
        <v>1705</v>
      </c>
      <c r="L96" s="11" t="str">
        <f t="shared" si="11"/>
        <v>OK</v>
      </c>
      <c r="M96" s="37">
        <f t="shared" si="12"/>
        <v>1705</v>
      </c>
    </row>
    <row r="97" spans="1:13" x14ac:dyDescent="0.25">
      <c r="A97" s="9">
        <v>43435</v>
      </c>
      <c r="B97" s="16">
        <v>1745</v>
      </c>
      <c r="C97" t="str">
        <f t="shared" si="9"/>
        <v>OK</v>
      </c>
      <c r="G97" s="31">
        <v>43344</v>
      </c>
      <c r="H97" s="32">
        <f t="shared" si="10"/>
        <v>1715</v>
      </c>
      <c r="I97" s="11"/>
      <c r="J97" s="35">
        <f t="shared" si="14"/>
        <v>1.0678704856787049</v>
      </c>
      <c r="K97" s="33">
        <f t="shared" si="13"/>
        <v>1715</v>
      </c>
      <c r="L97" s="11" t="str">
        <f t="shared" si="11"/>
        <v>OK</v>
      </c>
      <c r="M97" s="37">
        <f t="shared" si="12"/>
        <v>1715</v>
      </c>
    </row>
    <row r="98" spans="1:13" x14ac:dyDescent="0.25">
      <c r="A98" s="9">
        <v>43466</v>
      </c>
      <c r="B98" s="16">
        <v>1428</v>
      </c>
      <c r="C98" t="str">
        <f t="shared" si="9"/>
        <v>OK</v>
      </c>
      <c r="G98" s="31">
        <v>43374</v>
      </c>
      <c r="H98" s="32">
        <f t="shared" si="10"/>
        <v>1725</v>
      </c>
      <c r="I98" s="11"/>
      <c r="J98" s="35">
        <f t="shared" si="14"/>
        <v>1.068111455108359</v>
      </c>
      <c r="K98" s="33">
        <f t="shared" si="13"/>
        <v>1725</v>
      </c>
      <c r="L98" s="11" t="str">
        <f t="shared" si="11"/>
        <v>OK</v>
      </c>
      <c r="M98" s="37">
        <f t="shared" si="12"/>
        <v>1725</v>
      </c>
    </row>
    <row r="99" spans="1:13" x14ac:dyDescent="0.25">
      <c r="A99" s="9">
        <v>43497</v>
      </c>
      <c r="B99" s="16">
        <v>1437</v>
      </c>
      <c r="C99" t="str">
        <f t="shared" si="9"/>
        <v>OK</v>
      </c>
      <c r="G99" s="31">
        <v>43405</v>
      </c>
      <c r="H99" s="32">
        <f t="shared" si="10"/>
        <v>1735</v>
      </c>
      <c r="I99" s="11"/>
      <c r="J99" s="35">
        <f t="shared" si="14"/>
        <v>1.0683497536945812</v>
      </c>
      <c r="K99" s="33">
        <f t="shared" si="13"/>
        <v>1735</v>
      </c>
      <c r="L99" s="11" t="str">
        <f t="shared" si="11"/>
        <v>OK</v>
      </c>
      <c r="M99" s="37">
        <f t="shared" si="12"/>
        <v>1735</v>
      </c>
    </row>
    <row r="100" spans="1:13" x14ac:dyDescent="0.25">
      <c r="A100" s="9">
        <v>43525</v>
      </c>
      <c r="B100" s="16">
        <v>1446</v>
      </c>
      <c r="C100" t="str">
        <f t="shared" si="9"/>
        <v>OK</v>
      </c>
      <c r="G100" s="31">
        <v>43435</v>
      </c>
      <c r="H100" s="32">
        <f t="shared" si="10"/>
        <v>1745</v>
      </c>
      <c r="I100" s="11"/>
      <c r="J100" s="35">
        <f t="shared" si="14"/>
        <v>1.0685854255970606</v>
      </c>
      <c r="K100" s="33">
        <f t="shared" si="13"/>
        <v>1745</v>
      </c>
      <c r="L100" s="11" t="str">
        <f t="shared" si="11"/>
        <v>OK</v>
      </c>
      <c r="M100" s="37">
        <f t="shared" si="12"/>
        <v>1745</v>
      </c>
    </row>
    <row r="101" spans="1:13" x14ac:dyDescent="0.25">
      <c r="A101" s="9">
        <v>43556</v>
      </c>
      <c r="B101" s="16">
        <v>1784.5858183988121</v>
      </c>
      <c r="C101" t="str">
        <f t="shared" si="9"/>
        <v>OK</v>
      </c>
      <c r="G101" s="31">
        <v>43466</v>
      </c>
      <c r="H101" s="32">
        <f t="shared" si="10"/>
        <v>1428</v>
      </c>
      <c r="I101" s="11"/>
      <c r="J101" s="35">
        <f t="shared" si="14"/>
        <v>1.072072072072072</v>
      </c>
      <c r="K101" s="33">
        <f t="shared" si="13"/>
        <v>1428</v>
      </c>
      <c r="L101" s="11" t="str">
        <f t="shared" si="11"/>
        <v>OK</v>
      </c>
      <c r="M101" s="37">
        <f t="shared" si="12"/>
        <v>1428</v>
      </c>
    </row>
    <row r="102" spans="1:13" x14ac:dyDescent="0.25">
      <c r="A102" s="9">
        <v>43586</v>
      </c>
      <c r="B102" s="16">
        <v>1796</v>
      </c>
      <c r="C102" t="str">
        <f t="shared" si="9"/>
        <v>OK</v>
      </c>
      <c r="G102" s="31">
        <v>43497</v>
      </c>
      <c r="H102" s="32">
        <f t="shared" si="10"/>
        <v>1437</v>
      </c>
      <c r="I102" s="11"/>
      <c r="J102" s="35">
        <f t="shared" si="14"/>
        <v>1.0723880597014925</v>
      </c>
      <c r="K102" s="33">
        <f t="shared" si="13"/>
        <v>1437</v>
      </c>
      <c r="L102" s="11" t="str">
        <f t="shared" si="11"/>
        <v>OK</v>
      </c>
      <c r="M102" s="37">
        <f t="shared" si="12"/>
        <v>1437</v>
      </c>
    </row>
    <row r="103" spans="1:13" x14ac:dyDescent="0.25">
      <c r="A103" s="9">
        <v>43617</v>
      </c>
      <c r="B103" s="16">
        <v>1808</v>
      </c>
      <c r="C103" t="str">
        <f t="shared" si="9"/>
        <v>OK</v>
      </c>
      <c r="G103" s="31">
        <v>43525</v>
      </c>
      <c r="H103" s="32">
        <f t="shared" si="10"/>
        <v>1446</v>
      </c>
      <c r="I103" s="11"/>
      <c r="J103" s="35">
        <f t="shared" si="14"/>
        <v>1.0727002967359049</v>
      </c>
      <c r="K103" s="33">
        <f t="shared" si="13"/>
        <v>1446</v>
      </c>
      <c r="L103" s="11" t="str">
        <f t="shared" si="11"/>
        <v>OK</v>
      </c>
      <c r="M103" s="37">
        <f t="shared" si="12"/>
        <v>1446</v>
      </c>
    </row>
    <row r="104" spans="1:13" x14ac:dyDescent="0.25">
      <c r="A104" s="9">
        <v>43647</v>
      </c>
      <c r="B104" s="16">
        <v>1820</v>
      </c>
      <c r="C104" t="str">
        <f t="shared" si="9"/>
        <v>OK</v>
      </c>
      <c r="G104" s="31">
        <v>43556</v>
      </c>
      <c r="H104" s="32">
        <f t="shared" si="10"/>
        <v>1784.5858183988121</v>
      </c>
      <c r="I104" s="11"/>
      <c r="J104" s="35">
        <f t="shared" si="14"/>
        <v>1.0720000000000001</v>
      </c>
      <c r="K104" s="33">
        <f t="shared" si="13"/>
        <v>1784.5858183988121</v>
      </c>
      <c r="L104" s="11" t="str">
        <f t="shared" si="11"/>
        <v>CHECK</v>
      </c>
      <c r="M104" s="37">
        <f t="shared" si="12"/>
        <v>1785</v>
      </c>
    </row>
    <row r="105" spans="1:13" x14ac:dyDescent="0.25">
      <c r="A105" s="9">
        <v>43678</v>
      </c>
      <c r="B105" s="16">
        <v>1832</v>
      </c>
      <c r="C105" t="str">
        <f t="shared" si="9"/>
        <v>OK</v>
      </c>
      <c r="G105" s="31">
        <v>43586</v>
      </c>
      <c r="H105" s="32">
        <f t="shared" si="10"/>
        <v>1796</v>
      </c>
      <c r="I105" s="11"/>
      <c r="J105" s="35">
        <f t="shared" si="14"/>
        <v>1.0722388059701493</v>
      </c>
      <c r="K105" s="33">
        <f t="shared" si="13"/>
        <v>1796</v>
      </c>
      <c r="L105" s="11" t="str">
        <f t="shared" si="11"/>
        <v>OK</v>
      </c>
      <c r="M105" s="37">
        <f t="shared" si="12"/>
        <v>1796</v>
      </c>
    </row>
    <row r="106" spans="1:13" x14ac:dyDescent="0.25">
      <c r="A106" s="9">
        <v>43709</v>
      </c>
      <c r="B106" s="16">
        <v>1844</v>
      </c>
      <c r="C106" t="str">
        <f t="shared" si="9"/>
        <v>OK</v>
      </c>
      <c r="G106" s="31">
        <v>43617</v>
      </c>
      <c r="H106" s="32">
        <f t="shared" si="10"/>
        <v>1808</v>
      </c>
      <c r="I106" s="11"/>
      <c r="J106" s="35">
        <f t="shared" si="14"/>
        <v>1.0729970326409495</v>
      </c>
      <c r="K106" s="33">
        <f t="shared" si="13"/>
        <v>1808</v>
      </c>
      <c r="L106" s="11" t="str">
        <f t="shared" si="11"/>
        <v>OK</v>
      </c>
      <c r="M106" s="37">
        <f t="shared" si="12"/>
        <v>1808</v>
      </c>
    </row>
    <row r="107" spans="1:13" x14ac:dyDescent="0.25">
      <c r="A107" s="9">
        <v>43739</v>
      </c>
      <c r="B107" s="16">
        <v>1856</v>
      </c>
      <c r="C107" t="str">
        <f t="shared" si="9"/>
        <v>OK</v>
      </c>
      <c r="G107" s="31">
        <v>43647</v>
      </c>
      <c r="H107" s="32">
        <f t="shared" si="10"/>
        <v>1820</v>
      </c>
      <c r="I107" s="11"/>
      <c r="J107" s="35">
        <f t="shared" si="14"/>
        <v>1.0737463126843658</v>
      </c>
      <c r="K107" s="33">
        <f t="shared" si="13"/>
        <v>1820</v>
      </c>
      <c r="L107" s="11" t="str">
        <f t="shared" si="11"/>
        <v>OK</v>
      </c>
      <c r="M107" s="37">
        <f t="shared" si="12"/>
        <v>1820</v>
      </c>
    </row>
    <row r="108" spans="1:13" x14ac:dyDescent="0.25">
      <c r="A108" s="9">
        <v>43770</v>
      </c>
      <c r="B108" s="16">
        <v>1868</v>
      </c>
      <c r="C108" t="str">
        <f t="shared" si="9"/>
        <v>OK</v>
      </c>
      <c r="G108" s="31">
        <v>43678</v>
      </c>
      <c r="H108" s="32">
        <f t="shared" si="10"/>
        <v>1832</v>
      </c>
      <c r="I108" s="11"/>
      <c r="J108" s="35">
        <f t="shared" si="14"/>
        <v>1.0744868035190616</v>
      </c>
      <c r="K108" s="33">
        <f t="shared" si="13"/>
        <v>1832</v>
      </c>
      <c r="L108" s="11" t="str">
        <f t="shared" si="11"/>
        <v>OK</v>
      </c>
      <c r="M108" s="37">
        <f t="shared" si="12"/>
        <v>1832</v>
      </c>
    </row>
    <row r="109" spans="1:13" x14ac:dyDescent="0.25">
      <c r="A109" s="9">
        <v>43800</v>
      </c>
      <c r="B109" s="16">
        <v>1880</v>
      </c>
      <c r="C109" t="str">
        <f t="shared" si="9"/>
        <v>OK</v>
      </c>
      <c r="G109" s="31">
        <v>43709</v>
      </c>
      <c r="H109" s="32">
        <f t="shared" si="10"/>
        <v>1844</v>
      </c>
      <c r="I109" s="11"/>
      <c r="J109" s="35">
        <f t="shared" si="14"/>
        <v>1.0752186588921282</v>
      </c>
      <c r="K109" s="33">
        <f t="shared" si="13"/>
        <v>1844</v>
      </c>
      <c r="L109" s="11" t="str">
        <f t="shared" si="11"/>
        <v>OK</v>
      </c>
      <c r="M109" s="37">
        <f t="shared" si="12"/>
        <v>1844</v>
      </c>
    </row>
    <row r="110" spans="1:13" x14ac:dyDescent="0.25">
      <c r="A110" s="9">
        <v>43831</v>
      </c>
      <c r="B110" s="16">
        <v>1539</v>
      </c>
      <c r="C110" t="str">
        <f t="shared" si="9"/>
        <v>OK</v>
      </c>
      <c r="G110" s="31">
        <v>43739</v>
      </c>
      <c r="H110" s="32">
        <f t="shared" si="10"/>
        <v>1856</v>
      </c>
      <c r="I110" s="11"/>
      <c r="J110" s="35">
        <f t="shared" si="14"/>
        <v>1.0759420289855073</v>
      </c>
      <c r="K110" s="33">
        <f t="shared" si="13"/>
        <v>1856</v>
      </c>
      <c r="L110" s="11" t="str">
        <f t="shared" si="11"/>
        <v>OK</v>
      </c>
      <c r="M110" s="37">
        <f t="shared" si="12"/>
        <v>1856</v>
      </c>
    </row>
    <row r="111" spans="1:13" x14ac:dyDescent="0.25">
      <c r="A111" s="9">
        <v>43862</v>
      </c>
      <c r="B111" s="16">
        <v>1550</v>
      </c>
      <c r="C111" t="str">
        <f t="shared" si="9"/>
        <v>OK</v>
      </c>
      <c r="G111" s="31">
        <v>43770</v>
      </c>
      <c r="H111" s="32">
        <f t="shared" si="10"/>
        <v>1868</v>
      </c>
      <c r="I111" s="11"/>
      <c r="J111" s="35">
        <f t="shared" si="14"/>
        <v>1.076657060518732</v>
      </c>
      <c r="K111" s="33">
        <f t="shared" si="13"/>
        <v>1868</v>
      </c>
      <c r="L111" s="11" t="str">
        <f t="shared" si="11"/>
        <v>OK</v>
      </c>
      <c r="M111" s="37">
        <f t="shared" si="12"/>
        <v>1868</v>
      </c>
    </row>
    <row r="112" spans="1:13" x14ac:dyDescent="0.25">
      <c r="A112" s="9">
        <v>43891</v>
      </c>
      <c r="B112" s="16">
        <v>1561</v>
      </c>
      <c r="C112" t="str">
        <f t="shared" si="9"/>
        <v>OK</v>
      </c>
      <c r="G112" s="31">
        <v>43800</v>
      </c>
      <c r="H112" s="32">
        <f t="shared" si="10"/>
        <v>1880</v>
      </c>
      <c r="I112" s="11"/>
      <c r="J112" s="35">
        <f t="shared" si="14"/>
        <v>1.0773638968481376</v>
      </c>
      <c r="K112" s="33">
        <f t="shared" si="13"/>
        <v>1880</v>
      </c>
      <c r="L112" s="11" t="str">
        <f t="shared" si="11"/>
        <v>OK</v>
      </c>
      <c r="M112" s="37">
        <f t="shared" si="12"/>
        <v>1880</v>
      </c>
    </row>
    <row r="113" spans="1:13" x14ac:dyDescent="0.25">
      <c r="A113" s="9">
        <v>43922</v>
      </c>
      <c r="B113" s="16">
        <v>1923.7835122339195</v>
      </c>
      <c r="C113" t="str">
        <f t="shared" si="9"/>
        <v>OK</v>
      </c>
      <c r="G113" s="31">
        <v>43831</v>
      </c>
      <c r="H113" s="32">
        <f t="shared" si="10"/>
        <v>1539</v>
      </c>
      <c r="I113" s="11"/>
      <c r="J113" s="35">
        <f t="shared" si="14"/>
        <v>1.0777310924369747</v>
      </c>
      <c r="K113" s="33">
        <f t="shared" ref="K113:K124" si="15">MIN(IF(ISERROR(H113),K101*$J$2,H113),2000)</f>
        <v>1539</v>
      </c>
      <c r="L113" s="11" t="str">
        <f t="shared" si="11"/>
        <v>OK</v>
      </c>
      <c r="M113" s="37">
        <f t="shared" si="12"/>
        <v>1539</v>
      </c>
    </row>
    <row r="114" spans="1:13" x14ac:dyDescent="0.25">
      <c r="A114" s="9">
        <v>43952</v>
      </c>
      <c r="B114" s="16">
        <v>1937</v>
      </c>
      <c r="C114" t="str">
        <f t="shared" si="9"/>
        <v>OK</v>
      </c>
      <c r="G114" s="31">
        <v>43862</v>
      </c>
      <c r="H114" s="32">
        <f t="shared" si="10"/>
        <v>1550</v>
      </c>
      <c r="I114" s="11"/>
      <c r="J114" s="35">
        <f t="shared" si="14"/>
        <v>1.0786360473208072</v>
      </c>
      <c r="K114" s="33">
        <f t="shared" si="15"/>
        <v>1550</v>
      </c>
      <c r="L114" s="11" t="str">
        <f t="shared" si="11"/>
        <v>OK</v>
      </c>
      <c r="M114" s="37">
        <f t="shared" si="12"/>
        <v>1550</v>
      </c>
    </row>
    <row r="115" spans="1:13" x14ac:dyDescent="0.25">
      <c r="A115" s="9">
        <v>43983</v>
      </c>
      <c r="B115" s="16">
        <v>1951</v>
      </c>
      <c r="C115" t="str">
        <f t="shared" si="9"/>
        <v>OK</v>
      </c>
      <c r="G115" s="31">
        <v>43891</v>
      </c>
      <c r="H115" s="32">
        <f t="shared" si="10"/>
        <v>1561</v>
      </c>
      <c r="I115" s="11"/>
      <c r="J115" s="35">
        <f t="shared" si="14"/>
        <v>1.0795297372060857</v>
      </c>
      <c r="K115" s="33">
        <f t="shared" si="15"/>
        <v>1561</v>
      </c>
      <c r="L115" s="11" t="str">
        <f t="shared" si="11"/>
        <v>OK</v>
      </c>
      <c r="M115" s="37">
        <f t="shared" si="12"/>
        <v>1561</v>
      </c>
    </row>
    <row r="116" spans="1:13" x14ac:dyDescent="0.25">
      <c r="A116" s="9">
        <v>44013</v>
      </c>
      <c r="B116" s="16">
        <v>1965</v>
      </c>
      <c r="C116" t="str">
        <f t="shared" si="9"/>
        <v>OK</v>
      </c>
      <c r="G116" s="31">
        <v>43922</v>
      </c>
      <c r="H116" s="32">
        <f t="shared" si="10"/>
        <v>1923.7835122339195</v>
      </c>
      <c r="I116" s="11"/>
      <c r="J116" s="35">
        <f t="shared" si="14"/>
        <v>1.0780000000000001</v>
      </c>
      <c r="K116" s="33">
        <f t="shared" si="15"/>
        <v>1923.7835122339195</v>
      </c>
      <c r="L116" s="11" t="str">
        <f t="shared" si="11"/>
        <v>CHECK</v>
      </c>
      <c r="M116" s="37">
        <f t="shared" si="12"/>
        <v>1924</v>
      </c>
    </row>
    <row r="117" spans="1:13" x14ac:dyDescent="0.25">
      <c r="A117" s="9">
        <v>44044</v>
      </c>
      <c r="B117" s="16">
        <v>1979</v>
      </c>
      <c r="C117" t="str">
        <f t="shared" si="9"/>
        <v>OK</v>
      </c>
      <c r="G117" s="31">
        <v>43952</v>
      </c>
      <c r="H117" s="32">
        <f t="shared" si="10"/>
        <v>1937</v>
      </c>
      <c r="I117" s="11"/>
      <c r="J117" s="35">
        <f t="shared" si="14"/>
        <v>1.0785077951002227</v>
      </c>
      <c r="K117" s="33">
        <f t="shared" si="15"/>
        <v>1937</v>
      </c>
      <c r="L117" s="11" t="str">
        <f t="shared" si="11"/>
        <v>OK</v>
      </c>
      <c r="M117" s="37">
        <f t="shared" si="12"/>
        <v>1937</v>
      </c>
    </row>
    <row r="118" spans="1:13" x14ac:dyDescent="0.25">
      <c r="A118" s="9">
        <v>44075</v>
      </c>
      <c r="B118" s="16">
        <v>1993</v>
      </c>
      <c r="C118" t="str">
        <f t="shared" si="9"/>
        <v>OK</v>
      </c>
      <c r="G118" s="31">
        <v>43983</v>
      </c>
      <c r="H118" s="32">
        <f t="shared" si="10"/>
        <v>1951</v>
      </c>
      <c r="I118" s="11"/>
      <c r="J118" s="35">
        <f t="shared" si="14"/>
        <v>1.0790929203539823</v>
      </c>
      <c r="K118" s="33">
        <f t="shared" si="15"/>
        <v>1951</v>
      </c>
      <c r="L118" s="11" t="str">
        <f t="shared" si="11"/>
        <v>OK</v>
      </c>
      <c r="M118" s="37">
        <f t="shared" si="12"/>
        <v>1951</v>
      </c>
    </row>
    <row r="119" spans="1:13" x14ac:dyDescent="0.25">
      <c r="A119" s="9">
        <v>44105</v>
      </c>
      <c r="B119" s="16">
        <v>2007</v>
      </c>
      <c r="C119" t="str">
        <f t="shared" si="9"/>
        <v>CHECK</v>
      </c>
      <c r="G119" s="31">
        <v>44013</v>
      </c>
      <c r="H119" s="32">
        <f t="shared" si="10"/>
        <v>1965</v>
      </c>
      <c r="I119" s="11"/>
      <c r="J119" s="35">
        <f t="shared" si="14"/>
        <v>1.0796703296703296</v>
      </c>
      <c r="K119" s="33">
        <f t="shared" si="15"/>
        <v>1965</v>
      </c>
      <c r="L119" s="11" t="str">
        <f t="shared" si="11"/>
        <v>OK</v>
      </c>
      <c r="M119" s="37">
        <f t="shared" si="12"/>
        <v>1965</v>
      </c>
    </row>
    <row r="120" spans="1:13" x14ac:dyDescent="0.25">
      <c r="A120" s="9">
        <v>44136</v>
      </c>
      <c r="B120" s="16">
        <v>2021</v>
      </c>
      <c r="C120" t="str">
        <f t="shared" si="9"/>
        <v>CHECK</v>
      </c>
      <c r="G120" s="31">
        <v>44044</v>
      </c>
      <c r="H120" s="32">
        <f t="shared" si="10"/>
        <v>1979</v>
      </c>
      <c r="I120" s="11"/>
      <c r="J120" s="35">
        <f t="shared" si="14"/>
        <v>1.080240174672489</v>
      </c>
      <c r="K120" s="33">
        <f t="shared" si="15"/>
        <v>1979</v>
      </c>
      <c r="L120" s="11" t="str">
        <f t="shared" si="11"/>
        <v>OK</v>
      </c>
      <c r="M120" s="37">
        <f t="shared" si="12"/>
        <v>1979</v>
      </c>
    </row>
    <row r="121" spans="1:13" x14ac:dyDescent="0.25">
      <c r="A121" s="9">
        <v>44166</v>
      </c>
      <c r="B121" s="16">
        <v>2035</v>
      </c>
      <c r="C121" t="str">
        <f t="shared" si="9"/>
        <v>CHECK</v>
      </c>
      <c r="G121" s="31">
        <v>44075</v>
      </c>
      <c r="H121" s="32">
        <f t="shared" si="10"/>
        <v>1993</v>
      </c>
      <c r="I121" s="11"/>
      <c r="J121" s="35">
        <f t="shared" si="14"/>
        <v>1.0808026030368763</v>
      </c>
      <c r="K121" s="33">
        <f t="shared" si="15"/>
        <v>1993</v>
      </c>
      <c r="L121" s="11" t="str">
        <f t="shared" si="11"/>
        <v>OK</v>
      </c>
      <c r="M121" s="37">
        <f t="shared" si="12"/>
        <v>1993</v>
      </c>
    </row>
    <row r="122" spans="1:13" x14ac:dyDescent="0.25">
      <c r="G122" s="31">
        <v>44105</v>
      </c>
      <c r="H122" s="32">
        <f t="shared" si="10"/>
        <v>2000</v>
      </c>
      <c r="I122" s="11"/>
      <c r="J122" s="35">
        <f t="shared" si="14"/>
        <v>1.0775862068965518</v>
      </c>
      <c r="K122" s="33">
        <f t="shared" si="15"/>
        <v>2000</v>
      </c>
      <c r="L122" s="11" t="str">
        <f t="shared" si="11"/>
        <v>OK</v>
      </c>
      <c r="M122" s="37">
        <f t="shared" si="12"/>
        <v>2000</v>
      </c>
    </row>
    <row r="123" spans="1:13" x14ac:dyDescent="0.25">
      <c r="G123" s="31">
        <v>44136</v>
      </c>
      <c r="H123" s="32">
        <f t="shared" si="10"/>
        <v>2000</v>
      </c>
      <c r="I123" s="11"/>
      <c r="J123" s="35">
        <f t="shared" si="14"/>
        <v>1.0706638115631693</v>
      </c>
      <c r="K123" s="33">
        <f t="shared" si="15"/>
        <v>2000</v>
      </c>
      <c r="L123" s="11" t="str">
        <f t="shared" si="11"/>
        <v>OK</v>
      </c>
      <c r="M123" s="37">
        <f t="shared" si="12"/>
        <v>2000</v>
      </c>
    </row>
    <row r="124" spans="1:13" x14ac:dyDescent="0.25">
      <c r="G124" s="31">
        <v>44166</v>
      </c>
      <c r="H124" s="32">
        <f t="shared" si="10"/>
        <v>2000</v>
      </c>
      <c r="I124" s="11"/>
      <c r="J124" s="35">
        <f t="shared" si="14"/>
        <v>1.0638297872340425</v>
      </c>
      <c r="K124" s="33">
        <f t="shared" si="15"/>
        <v>2000</v>
      </c>
      <c r="L124" s="11" t="str">
        <f t="shared" si="11"/>
        <v>OK</v>
      </c>
      <c r="M124" s="37">
        <f t="shared" si="12"/>
        <v>2000</v>
      </c>
    </row>
  </sheetData>
  <autoFilter ref="G4:L124"/>
  <conditionalFormatting sqref="J17:J124">
    <cfRule type="cellIs" dxfId="1" priority="1" operator="lessThan">
      <formula>$J$2-5%</formula>
    </cfRule>
    <cfRule type="cellIs" dxfId="0" priority="2" operator="greaterThan">
      <formula>$J$2+5%</formula>
    </cfRule>
  </conditionalFormatting>
  <pageMargins left="0.7" right="0.7" top="0.75" bottom="0.75" header="0.3" footer="0.3"/>
  <pageSetup paperSize="9" orientation="portrait" horizontalDpi="4294967293"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21"/>
  <sheetViews>
    <sheetView workbookViewId="0"/>
  </sheetViews>
  <sheetFormatPr defaultRowHeight="15" x14ac:dyDescent="0.25"/>
  <cols>
    <col min="3" max="3" width="13.42578125" customWidth="1"/>
    <col min="4" max="4" width="12.5703125" bestFit="1" customWidth="1"/>
    <col min="9" max="9" width="19.5703125" bestFit="1" customWidth="1"/>
  </cols>
  <sheetData>
    <row r="1" spans="2:10" ht="30" x14ac:dyDescent="0.25">
      <c r="B1" t="s">
        <v>21</v>
      </c>
      <c r="C1" s="1" t="s">
        <v>0</v>
      </c>
      <c r="D1" t="s">
        <v>41</v>
      </c>
      <c r="E1" t="s">
        <v>46</v>
      </c>
    </row>
    <row r="2" spans="2:10" x14ac:dyDescent="0.25">
      <c r="B2">
        <v>1</v>
      </c>
      <c r="C2" s="12">
        <f>Data!M5</f>
        <v>960</v>
      </c>
      <c r="D2" t="str">
        <f>IF(C2&lt;=2000,"OK","CHECK")</f>
        <v>OK</v>
      </c>
      <c r="E2" t="str">
        <f>IF(C2-INT(C2)=0,"OK","CHECK")</f>
        <v>OK</v>
      </c>
    </row>
    <row r="3" spans="2:10" x14ac:dyDescent="0.25">
      <c r="B3">
        <v>2</v>
      </c>
      <c r="C3" s="12">
        <f>Data!M6</f>
        <v>962</v>
      </c>
      <c r="D3" t="str">
        <f t="shared" ref="D3:D66" si="0">IF(C3&lt;=2000,"OK","CHECK")</f>
        <v>OK</v>
      </c>
      <c r="E3" t="str">
        <f t="shared" ref="E3:E66" si="1">IF(C3-INT(C3)=0,"OK","CHECK")</f>
        <v>OK</v>
      </c>
    </row>
    <row r="4" spans="2:10" x14ac:dyDescent="0.25">
      <c r="B4">
        <v>3</v>
      </c>
      <c r="C4" s="12">
        <f>Data!M7</f>
        <v>964</v>
      </c>
      <c r="D4" t="str">
        <f t="shared" si="0"/>
        <v>OK</v>
      </c>
      <c r="E4" t="str">
        <f t="shared" si="1"/>
        <v>OK</v>
      </c>
    </row>
    <row r="5" spans="2:10" x14ac:dyDescent="0.25">
      <c r="B5">
        <v>4</v>
      </c>
      <c r="C5" s="12">
        <f>Data!M8</f>
        <v>1200</v>
      </c>
      <c r="D5" t="str">
        <f t="shared" si="0"/>
        <v>OK</v>
      </c>
      <c r="E5" t="str">
        <f t="shared" si="1"/>
        <v>OK</v>
      </c>
      <c r="I5" s="5" t="s">
        <v>45</v>
      </c>
      <c r="J5" t="str">
        <f>IF(COUNTA(C2:C121)=120,"OK","CHECK")</f>
        <v>OK</v>
      </c>
    </row>
    <row r="6" spans="2:10" x14ac:dyDescent="0.25">
      <c r="B6">
        <v>5</v>
      </c>
      <c r="C6" s="12">
        <f>Data!M9</f>
        <v>1203</v>
      </c>
      <c r="D6" t="str">
        <f t="shared" si="0"/>
        <v>OK</v>
      </c>
      <c r="E6" t="str">
        <f t="shared" si="1"/>
        <v>OK</v>
      </c>
    </row>
    <row r="7" spans="2:10" x14ac:dyDescent="0.25">
      <c r="B7">
        <v>6</v>
      </c>
      <c r="C7" s="12">
        <f>Data!M10</f>
        <v>1206</v>
      </c>
      <c r="D7" t="str">
        <f t="shared" si="0"/>
        <v>OK</v>
      </c>
      <c r="E7" t="str">
        <f t="shared" si="1"/>
        <v>OK</v>
      </c>
    </row>
    <row r="8" spans="2:10" x14ac:dyDescent="0.25">
      <c r="B8">
        <v>7</v>
      </c>
      <c r="C8" s="12">
        <f>Data!M11</f>
        <v>1209</v>
      </c>
      <c r="D8" t="str">
        <f t="shared" si="0"/>
        <v>OK</v>
      </c>
      <c r="E8" t="str">
        <f t="shared" si="1"/>
        <v>OK</v>
      </c>
    </row>
    <row r="9" spans="2:10" x14ac:dyDescent="0.25">
      <c r="B9">
        <v>8</v>
      </c>
      <c r="C9" s="12">
        <f>Data!M12</f>
        <v>1212</v>
      </c>
      <c r="D9" t="str">
        <f t="shared" si="0"/>
        <v>OK</v>
      </c>
      <c r="E9" t="str">
        <f t="shared" si="1"/>
        <v>OK</v>
      </c>
    </row>
    <row r="10" spans="2:10" x14ac:dyDescent="0.25">
      <c r="B10">
        <v>9</v>
      </c>
      <c r="C10" s="12">
        <f>Data!M13</f>
        <v>1215</v>
      </c>
      <c r="D10" t="str">
        <f t="shared" si="0"/>
        <v>OK</v>
      </c>
      <c r="E10" t="str">
        <f t="shared" si="1"/>
        <v>OK</v>
      </c>
    </row>
    <row r="11" spans="2:10" x14ac:dyDescent="0.25">
      <c r="B11">
        <v>10</v>
      </c>
      <c r="C11" s="12">
        <f>Data!M14</f>
        <v>1218</v>
      </c>
      <c r="D11" t="str">
        <f t="shared" si="0"/>
        <v>OK</v>
      </c>
      <c r="E11" t="str">
        <f t="shared" si="1"/>
        <v>OK</v>
      </c>
    </row>
    <row r="12" spans="2:10" x14ac:dyDescent="0.25">
      <c r="B12">
        <v>11</v>
      </c>
      <c r="C12" s="12">
        <f>Data!M15</f>
        <v>1221</v>
      </c>
      <c r="D12" t="str">
        <f t="shared" si="0"/>
        <v>OK</v>
      </c>
      <c r="E12" t="str">
        <f t="shared" si="1"/>
        <v>OK</v>
      </c>
    </row>
    <row r="13" spans="2:10" x14ac:dyDescent="0.25">
      <c r="B13">
        <v>12</v>
      </c>
      <c r="C13" s="12">
        <f>Data!M16</f>
        <v>1224</v>
      </c>
      <c r="D13" t="str">
        <f t="shared" si="0"/>
        <v>OK</v>
      </c>
      <c r="E13" t="str">
        <f t="shared" si="1"/>
        <v>OK</v>
      </c>
    </row>
    <row r="14" spans="2:10" x14ac:dyDescent="0.25">
      <c r="B14">
        <v>13</v>
      </c>
      <c r="C14" s="12">
        <f>Data!M17</f>
        <v>989</v>
      </c>
      <c r="D14" t="str">
        <f t="shared" si="0"/>
        <v>OK</v>
      </c>
      <c r="E14" t="str">
        <f t="shared" si="1"/>
        <v>OK</v>
      </c>
    </row>
    <row r="15" spans="2:10" x14ac:dyDescent="0.25">
      <c r="B15">
        <v>14</v>
      </c>
      <c r="C15" s="12">
        <f>Data!M18</f>
        <v>992</v>
      </c>
      <c r="D15" t="str">
        <f t="shared" si="0"/>
        <v>OK</v>
      </c>
      <c r="E15" t="str">
        <f t="shared" si="1"/>
        <v>OK</v>
      </c>
    </row>
    <row r="16" spans="2:10" x14ac:dyDescent="0.25">
      <c r="B16">
        <v>15</v>
      </c>
      <c r="C16" s="12">
        <f>Data!M19</f>
        <v>995</v>
      </c>
      <c r="D16" t="str">
        <f t="shared" si="0"/>
        <v>OK</v>
      </c>
      <c r="E16" t="str">
        <f t="shared" si="1"/>
        <v>OK</v>
      </c>
    </row>
    <row r="17" spans="2:5" x14ac:dyDescent="0.25">
      <c r="B17">
        <v>16</v>
      </c>
      <c r="C17" s="12">
        <f>Data!M20</f>
        <v>1236</v>
      </c>
      <c r="D17" t="str">
        <f t="shared" si="0"/>
        <v>OK</v>
      </c>
      <c r="E17" t="str">
        <f t="shared" si="1"/>
        <v>OK</v>
      </c>
    </row>
    <row r="18" spans="2:5" x14ac:dyDescent="0.25">
      <c r="B18">
        <v>17</v>
      </c>
      <c r="C18" s="12">
        <f>Data!M21</f>
        <v>1240</v>
      </c>
      <c r="D18" t="str">
        <f t="shared" si="0"/>
        <v>OK</v>
      </c>
      <c r="E18" t="str">
        <f t="shared" si="1"/>
        <v>OK</v>
      </c>
    </row>
    <row r="19" spans="2:5" x14ac:dyDescent="0.25">
      <c r="B19">
        <v>18</v>
      </c>
      <c r="C19" s="12">
        <f>Data!M22</f>
        <v>1244</v>
      </c>
      <c r="D19" t="str">
        <f t="shared" si="0"/>
        <v>OK</v>
      </c>
      <c r="E19" t="str">
        <f t="shared" si="1"/>
        <v>OK</v>
      </c>
    </row>
    <row r="20" spans="2:5" x14ac:dyDescent="0.25">
      <c r="B20">
        <v>19</v>
      </c>
      <c r="C20" s="12">
        <f>Data!M23</f>
        <v>1248</v>
      </c>
      <c r="D20" t="str">
        <f t="shared" si="0"/>
        <v>OK</v>
      </c>
      <c r="E20" t="str">
        <f t="shared" si="1"/>
        <v>OK</v>
      </c>
    </row>
    <row r="21" spans="2:5" x14ac:dyDescent="0.25">
      <c r="B21">
        <v>20</v>
      </c>
      <c r="C21" s="12">
        <f>Data!M24</f>
        <v>1279</v>
      </c>
      <c r="D21" t="str">
        <f t="shared" si="0"/>
        <v>OK</v>
      </c>
      <c r="E21" t="str">
        <f t="shared" si="1"/>
        <v>OK</v>
      </c>
    </row>
    <row r="22" spans="2:5" x14ac:dyDescent="0.25">
      <c r="B22">
        <v>21</v>
      </c>
      <c r="C22" s="12">
        <f>Data!M25</f>
        <v>1256</v>
      </c>
      <c r="D22" t="str">
        <f t="shared" si="0"/>
        <v>OK</v>
      </c>
      <c r="E22" t="str">
        <f t="shared" si="1"/>
        <v>OK</v>
      </c>
    </row>
    <row r="23" spans="2:5" x14ac:dyDescent="0.25">
      <c r="B23">
        <v>22</v>
      </c>
      <c r="C23" s="12">
        <f>Data!M26</f>
        <v>1260</v>
      </c>
      <c r="D23" t="str">
        <f t="shared" si="0"/>
        <v>OK</v>
      </c>
      <c r="E23" t="str">
        <f t="shared" si="1"/>
        <v>OK</v>
      </c>
    </row>
    <row r="24" spans="2:5" x14ac:dyDescent="0.25">
      <c r="B24">
        <v>23</v>
      </c>
      <c r="C24" s="12">
        <f>Data!M27</f>
        <v>1264</v>
      </c>
      <c r="D24" t="str">
        <f t="shared" si="0"/>
        <v>OK</v>
      </c>
      <c r="E24" t="str">
        <f t="shared" si="1"/>
        <v>OK</v>
      </c>
    </row>
    <row r="25" spans="2:5" x14ac:dyDescent="0.25">
      <c r="B25">
        <v>24</v>
      </c>
      <c r="C25" s="12">
        <f>Data!M28</f>
        <v>1268</v>
      </c>
      <c r="D25" t="str">
        <f t="shared" si="0"/>
        <v>OK</v>
      </c>
      <c r="E25" t="str">
        <f t="shared" si="1"/>
        <v>OK</v>
      </c>
    </row>
    <row r="26" spans="2:5" x14ac:dyDescent="0.25">
      <c r="B26">
        <v>25</v>
      </c>
      <c r="C26" s="12">
        <f>Data!M29</f>
        <v>1024</v>
      </c>
      <c r="D26" t="str">
        <f t="shared" si="0"/>
        <v>OK</v>
      </c>
      <c r="E26" t="str">
        <f t="shared" si="1"/>
        <v>OK</v>
      </c>
    </row>
    <row r="27" spans="2:5" x14ac:dyDescent="0.25">
      <c r="B27">
        <v>26</v>
      </c>
      <c r="C27" s="12">
        <f>Data!M30</f>
        <v>1028</v>
      </c>
      <c r="D27" t="str">
        <f t="shared" si="0"/>
        <v>OK</v>
      </c>
      <c r="E27" t="str">
        <f t="shared" si="1"/>
        <v>OK</v>
      </c>
    </row>
    <row r="28" spans="2:5" x14ac:dyDescent="0.25">
      <c r="B28">
        <v>27</v>
      </c>
      <c r="C28" s="12">
        <f>Data!M31</f>
        <v>1050</v>
      </c>
      <c r="D28" t="str">
        <f t="shared" si="0"/>
        <v>OK</v>
      </c>
      <c r="E28" t="str">
        <f t="shared" si="1"/>
        <v>OK</v>
      </c>
    </row>
    <row r="29" spans="2:5" x14ac:dyDescent="0.25">
      <c r="B29">
        <v>28</v>
      </c>
      <c r="C29" s="12">
        <f>Data!M32</f>
        <v>1280</v>
      </c>
      <c r="D29" t="str">
        <f t="shared" si="0"/>
        <v>OK</v>
      </c>
      <c r="E29" t="str">
        <f t="shared" si="1"/>
        <v>OK</v>
      </c>
    </row>
    <row r="30" spans="2:5" x14ac:dyDescent="0.25">
      <c r="B30">
        <v>29</v>
      </c>
      <c r="C30" s="12">
        <f>Data!M33</f>
        <v>1284</v>
      </c>
      <c r="D30" t="str">
        <f t="shared" si="0"/>
        <v>OK</v>
      </c>
      <c r="E30" t="str">
        <f t="shared" si="1"/>
        <v>OK</v>
      </c>
    </row>
    <row r="31" spans="2:5" x14ac:dyDescent="0.25">
      <c r="B31">
        <v>30</v>
      </c>
      <c r="C31" s="12">
        <f>Data!M34</f>
        <v>1288</v>
      </c>
      <c r="D31" t="str">
        <f t="shared" si="0"/>
        <v>OK</v>
      </c>
      <c r="E31" t="str">
        <f t="shared" si="1"/>
        <v>OK</v>
      </c>
    </row>
    <row r="32" spans="2:5" x14ac:dyDescent="0.25">
      <c r="B32">
        <v>31</v>
      </c>
      <c r="C32" s="12">
        <f>Data!M35</f>
        <v>1293</v>
      </c>
      <c r="D32" t="str">
        <f t="shared" si="0"/>
        <v>OK</v>
      </c>
      <c r="E32" t="str">
        <f t="shared" si="1"/>
        <v>OK</v>
      </c>
    </row>
    <row r="33" spans="2:5" x14ac:dyDescent="0.25">
      <c r="B33">
        <v>32</v>
      </c>
      <c r="C33" s="12">
        <f>Data!M36</f>
        <v>1350</v>
      </c>
      <c r="D33" t="str">
        <f t="shared" si="0"/>
        <v>OK</v>
      </c>
      <c r="E33" t="str">
        <f t="shared" si="1"/>
        <v>OK</v>
      </c>
    </row>
    <row r="34" spans="2:5" x14ac:dyDescent="0.25">
      <c r="B34">
        <v>33</v>
      </c>
      <c r="C34" s="12">
        <f>Data!M37</f>
        <v>1303</v>
      </c>
      <c r="D34" t="str">
        <f t="shared" si="0"/>
        <v>OK</v>
      </c>
      <c r="E34" t="str">
        <f t="shared" si="1"/>
        <v>OK</v>
      </c>
    </row>
    <row r="35" spans="2:5" x14ac:dyDescent="0.25">
      <c r="B35">
        <v>34</v>
      </c>
      <c r="C35" s="12">
        <f>Data!M38</f>
        <v>1308</v>
      </c>
      <c r="D35" t="str">
        <f t="shared" si="0"/>
        <v>OK</v>
      </c>
      <c r="E35" t="str">
        <f t="shared" si="1"/>
        <v>OK</v>
      </c>
    </row>
    <row r="36" spans="2:5" x14ac:dyDescent="0.25">
      <c r="B36">
        <v>35</v>
      </c>
      <c r="C36" s="12">
        <f>Data!M39</f>
        <v>1313</v>
      </c>
      <c r="D36" t="str">
        <f t="shared" si="0"/>
        <v>OK</v>
      </c>
      <c r="E36" t="str">
        <f t="shared" si="1"/>
        <v>OK</v>
      </c>
    </row>
    <row r="37" spans="2:5" x14ac:dyDescent="0.25">
      <c r="B37">
        <v>36</v>
      </c>
      <c r="C37" s="12">
        <f>Data!M40</f>
        <v>1318</v>
      </c>
      <c r="D37" t="str">
        <f t="shared" si="0"/>
        <v>OK</v>
      </c>
      <c r="E37" t="str">
        <f t="shared" si="1"/>
        <v>OK</v>
      </c>
    </row>
    <row r="38" spans="2:5" x14ac:dyDescent="0.25">
      <c r="B38">
        <v>37</v>
      </c>
      <c r="C38" s="12">
        <f>Data!M41</f>
        <v>1067</v>
      </c>
      <c r="D38" t="str">
        <f t="shared" si="0"/>
        <v>OK</v>
      </c>
      <c r="E38" t="str">
        <f t="shared" si="1"/>
        <v>OK</v>
      </c>
    </row>
    <row r="39" spans="2:5" x14ac:dyDescent="0.25">
      <c r="B39">
        <v>38</v>
      </c>
      <c r="C39" s="12">
        <f>Data!M42</f>
        <v>1071</v>
      </c>
      <c r="D39" t="str">
        <f t="shared" si="0"/>
        <v>OK</v>
      </c>
      <c r="E39" t="str">
        <f t="shared" si="1"/>
        <v>OK</v>
      </c>
    </row>
    <row r="40" spans="2:5" x14ac:dyDescent="0.25">
      <c r="B40">
        <v>39</v>
      </c>
      <c r="C40" s="12">
        <f>Data!M43</f>
        <v>1075</v>
      </c>
      <c r="D40" t="str">
        <f t="shared" si="0"/>
        <v>OK</v>
      </c>
      <c r="E40" t="str">
        <f t="shared" si="1"/>
        <v>OK</v>
      </c>
    </row>
    <row r="41" spans="2:5" x14ac:dyDescent="0.25">
      <c r="B41">
        <v>40</v>
      </c>
      <c r="C41" s="12">
        <f>Data!M44</f>
        <v>1334</v>
      </c>
      <c r="D41" t="str">
        <f t="shared" si="0"/>
        <v>OK</v>
      </c>
      <c r="E41" t="str">
        <f t="shared" si="1"/>
        <v>OK</v>
      </c>
    </row>
    <row r="42" spans="2:5" x14ac:dyDescent="0.25">
      <c r="B42">
        <v>41</v>
      </c>
      <c r="C42" s="12">
        <f>Data!M45</f>
        <v>1339</v>
      </c>
      <c r="D42" t="str">
        <f t="shared" si="0"/>
        <v>OK</v>
      </c>
      <c r="E42" t="str">
        <f t="shared" si="1"/>
        <v>OK</v>
      </c>
    </row>
    <row r="43" spans="2:5" x14ac:dyDescent="0.25">
      <c r="B43">
        <v>42</v>
      </c>
      <c r="C43" s="12">
        <f>Data!M46</f>
        <v>1344</v>
      </c>
      <c r="D43" t="str">
        <f t="shared" si="0"/>
        <v>OK</v>
      </c>
      <c r="E43" t="str">
        <f t="shared" si="1"/>
        <v>OK</v>
      </c>
    </row>
    <row r="44" spans="2:5" x14ac:dyDescent="0.25">
      <c r="B44">
        <v>43</v>
      </c>
      <c r="C44" s="12">
        <f>Data!M47</f>
        <v>1349</v>
      </c>
      <c r="D44" t="str">
        <f t="shared" si="0"/>
        <v>OK</v>
      </c>
      <c r="E44" t="str">
        <f t="shared" si="1"/>
        <v>OK</v>
      </c>
    </row>
    <row r="45" spans="2:5" x14ac:dyDescent="0.25">
      <c r="B45">
        <v>44</v>
      </c>
      <c r="C45" s="12">
        <f>Data!M48</f>
        <v>1354</v>
      </c>
      <c r="D45" t="str">
        <f t="shared" si="0"/>
        <v>OK</v>
      </c>
      <c r="E45" t="str">
        <f t="shared" si="1"/>
        <v>OK</v>
      </c>
    </row>
    <row r="46" spans="2:5" x14ac:dyDescent="0.25">
      <c r="B46">
        <v>45</v>
      </c>
      <c r="C46" s="12">
        <f>Data!M49</f>
        <v>1359</v>
      </c>
      <c r="D46" t="str">
        <f t="shared" si="0"/>
        <v>OK</v>
      </c>
      <c r="E46" t="str">
        <f t="shared" si="1"/>
        <v>OK</v>
      </c>
    </row>
    <row r="47" spans="2:5" x14ac:dyDescent="0.25">
      <c r="B47">
        <v>46</v>
      </c>
      <c r="C47" s="12">
        <f>Data!M50</f>
        <v>1364</v>
      </c>
      <c r="D47" t="str">
        <f t="shared" si="0"/>
        <v>OK</v>
      </c>
      <c r="E47" t="str">
        <f t="shared" si="1"/>
        <v>OK</v>
      </c>
    </row>
    <row r="48" spans="2:5" x14ac:dyDescent="0.25">
      <c r="B48">
        <v>47</v>
      </c>
      <c r="C48" s="12">
        <f>Data!M51</f>
        <v>1369</v>
      </c>
      <c r="D48" t="str">
        <f t="shared" si="0"/>
        <v>OK</v>
      </c>
      <c r="E48" t="str">
        <f t="shared" si="1"/>
        <v>OK</v>
      </c>
    </row>
    <row r="49" spans="2:5" x14ac:dyDescent="0.25">
      <c r="B49">
        <v>48</v>
      </c>
      <c r="C49" s="12">
        <f>Data!M52</f>
        <v>1374</v>
      </c>
      <c r="D49" t="str">
        <f t="shared" si="0"/>
        <v>OK</v>
      </c>
      <c r="E49" t="str">
        <f t="shared" si="1"/>
        <v>OK</v>
      </c>
    </row>
    <row r="50" spans="2:5" x14ac:dyDescent="0.25">
      <c r="B50">
        <v>49</v>
      </c>
      <c r="C50" s="12">
        <f>Data!M53</f>
        <v>1118</v>
      </c>
      <c r="D50" t="str">
        <f t="shared" si="0"/>
        <v>OK</v>
      </c>
      <c r="E50" t="str">
        <f t="shared" si="1"/>
        <v>OK</v>
      </c>
    </row>
    <row r="51" spans="2:5" x14ac:dyDescent="0.25">
      <c r="B51">
        <v>50</v>
      </c>
      <c r="C51" s="12">
        <f>Data!M54</f>
        <v>1123</v>
      </c>
      <c r="D51" t="str">
        <f t="shared" si="0"/>
        <v>OK</v>
      </c>
      <c r="E51" t="str">
        <f t="shared" si="1"/>
        <v>OK</v>
      </c>
    </row>
    <row r="52" spans="2:5" x14ac:dyDescent="0.25">
      <c r="B52">
        <v>51</v>
      </c>
      <c r="C52" s="12">
        <f>Data!M55</f>
        <v>1128</v>
      </c>
      <c r="D52" t="str">
        <f t="shared" si="0"/>
        <v>OK</v>
      </c>
      <c r="E52" t="str">
        <f t="shared" si="1"/>
        <v>OK</v>
      </c>
    </row>
    <row r="53" spans="2:5" x14ac:dyDescent="0.25">
      <c r="B53">
        <v>52</v>
      </c>
      <c r="C53" s="12">
        <f>Data!M56</f>
        <v>1398</v>
      </c>
      <c r="D53" t="str">
        <f t="shared" si="0"/>
        <v>OK</v>
      </c>
      <c r="E53" t="str">
        <f t="shared" si="1"/>
        <v>OK</v>
      </c>
    </row>
    <row r="54" spans="2:5" x14ac:dyDescent="0.25">
      <c r="B54">
        <v>53</v>
      </c>
      <c r="C54" s="12">
        <f>Data!M57</f>
        <v>1404</v>
      </c>
      <c r="D54" t="str">
        <f t="shared" si="0"/>
        <v>OK</v>
      </c>
      <c r="E54" t="str">
        <f t="shared" si="1"/>
        <v>OK</v>
      </c>
    </row>
    <row r="55" spans="2:5" x14ac:dyDescent="0.25">
      <c r="B55">
        <v>54</v>
      </c>
      <c r="C55" s="12">
        <f>Data!M58</f>
        <v>1410</v>
      </c>
      <c r="D55" t="str">
        <f t="shared" si="0"/>
        <v>OK</v>
      </c>
      <c r="E55" t="str">
        <f t="shared" si="1"/>
        <v>OK</v>
      </c>
    </row>
    <row r="56" spans="2:5" x14ac:dyDescent="0.25">
      <c r="B56">
        <v>55</v>
      </c>
      <c r="C56" s="12">
        <f>Data!M59</f>
        <v>1416</v>
      </c>
      <c r="D56" t="str">
        <f t="shared" si="0"/>
        <v>OK</v>
      </c>
      <c r="E56" t="str">
        <f t="shared" si="1"/>
        <v>OK</v>
      </c>
    </row>
    <row r="57" spans="2:5" x14ac:dyDescent="0.25">
      <c r="B57">
        <v>56</v>
      </c>
      <c r="C57" s="12">
        <f>Data!M60</f>
        <v>1422</v>
      </c>
      <c r="D57" t="str">
        <f t="shared" si="0"/>
        <v>OK</v>
      </c>
      <c r="E57" t="str">
        <f t="shared" si="1"/>
        <v>OK</v>
      </c>
    </row>
    <row r="58" spans="2:5" x14ac:dyDescent="0.25">
      <c r="B58">
        <v>57</v>
      </c>
      <c r="C58" s="12">
        <f>Data!M61</f>
        <v>1428</v>
      </c>
      <c r="D58" t="str">
        <f t="shared" si="0"/>
        <v>OK</v>
      </c>
      <c r="E58" t="str">
        <f t="shared" si="1"/>
        <v>OK</v>
      </c>
    </row>
    <row r="59" spans="2:5" x14ac:dyDescent="0.25">
      <c r="B59">
        <v>58</v>
      </c>
      <c r="C59" s="12">
        <f>Data!M62</f>
        <v>1434</v>
      </c>
      <c r="D59" t="str">
        <f t="shared" si="0"/>
        <v>OK</v>
      </c>
      <c r="E59" t="str">
        <f t="shared" si="1"/>
        <v>OK</v>
      </c>
    </row>
    <row r="60" spans="2:5" x14ac:dyDescent="0.25">
      <c r="B60">
        <v>59</v>
      </c>
      <c r="C60" s="12">
        <f>Data!M63</f>
        <v>1440</v>
      </c>
      <c r="D60" t="str">
        <f t="shared" si="0"/>
        <v>OK</v>
      </c>
      <c r="E60" t="str">
        <f t="shared" si="1"/>
        <v>OK</v>
      </c>
    </row>
    <row r="61" spans="2:5" x14ac:dyDescent="0.25">
      <c r="B61">
        <v>60</v>
      </c>
      <c r="C61" s="12">
        <f>Data!M64</f>
        <v>1446</v>
      </c>
      <c r="D61" t="str">
        <f t="shared" si="0"/>
        <v>OK</v>
      </c>
      <c r="E61" t="str">
        <f t="shared" si="1"/>
        <v>OK</v>
      </c>
    </row>
    <row r="62" spans="2:5" x14ac:dyDescent="0.25">
      <c r="B62">
        <v>61</v>
      </c>
      <c r="C62" s="12">
        <f>Data!M65</f>
        <v>1179</v>
      </c>
      <c r="D62" t="str">
        <f t="shared" si="0"/>
        <v>OK</v>
      </c>
      <c r="E62" t="str">
        <f t="shared" si="1"/>
        <v>OK</v>
      </c>
    </row>
    <row r="63" spans="2:5" x14ac:dyDescent="0.25">
      <c r="B63">
        <v>62</v>
      </c>
      <c r="C63" s="12">
        <f>Data!M66</f>
        <v>1185</v>
      </c>
      <c r="D63" t="str">
        <f t="shared" si="0"/>
        <v>OK</v>
      </c>
      <c r="E63" t="str">
        <f t="shared" si="1"/>
        <v>OK</v>
      </c>
    </row>
    <row r="64" spans="2:5" x14ac:dyDescent="0.25">
      <c r="B64">
        <v>63</v>
      </c>
      <c r="C64" s="12">
        <f>Data!M67</f>
        <v>1191</v>
      </c>
      <c r="D64" t="str">
        <f t="shared" si="0"/>
        <v>OK</v>
      </c>
      <c r="E64" t="str">
        <f t="shared" si="1"/>
        <v>OK</v>
      </c>
    </row>
    <row r="65" spans="2:5" x14ac:dyDescent="0.25">
      <c r="B65">
        <v>64</v>
      </c>
      <c r="C65" s="12">
        <f>Data!M68</f>
        <v>1473</v>
      </c>
      <c r="D65" t="str">
        <f t="shared" si="0"/>
        <v>OK</v>
      </c>
      <c r="E65" t="str">
        <f t="shared" si="1"/>
        <v>OK</v>
      </c>
    </row>
    <row r="66" spans="2:5" x14ac:dyDescent="0.25">
      <c r="B66">
        <v>65</v>
      </c>
      <c r="C66" s="12">
        <f>Data!M69</f>
        <v>1481</v>
      </c>
      <c r="D66" t="str">
        <f t="shared" si="0"/>
        <v>OK</v>
      </c>
      <c r="E66" t="str">
        <f t="shared" si="1"/>
        <v>OK</v>
      </c>
    </row>
    <row r="67" spans="2:5" x14ac:dyDescent="0.25">
      <c r="B67">
        <v>66</v>
      </c>
      <c r="C67" s="12">
        <f>Data!M70</f>
        <v>1488</v>
      </c>
      <c r="D67" t="str">
        <f t="shared" ref="D67:D121" si="2">IF(C67&lt;=2000,"OK","CHECK")</f>
        <v>OK</v>
      </c>
      <c r="E67" t="str">
        <f t="shared" ref="E67:E121" si="3">IF(C67-INT(C67)=0,"OK","CHECK")</f>
        <v>OK</v>
      </c>
    </row>
    <row r="68" spans="2:5" x14ac:dyDescent="0.25">
      <c r="B68">
        <v>67</v>
      </c>
      <c r="C68" s="12">
        <f>Data!M71</f>
        <v>1495</v>
      </c>
      <c r="D68" t="str">
        <f t="shared" si="2"/>
        <v>OK</v>
      </c>
      <c r="E68" t="str">
        <f t="shared" si="3"/>
        <v>OK</v>
      </c>
    </row>
    <row r="69" spans="2:5" x14ac:dyDescent="0.25">
      <c r="B69">
        <v>68</v>
      </c>
      <c r="C69" s="12">
        <f>Data!M72</f>
        <v>1502</v>
      </c>
      <c r="D69" t="str">
        <f t="shared" si="2"/>
        <v>OK</v>
      </c>
      <c r="E69" t="str">
        <f t="shared" si="3"/>
        <v>OK</v>
      </c>
    </row>
    <row r="70" spans="2:5" x14ac:dyDescent="0.25">
      <c r="B70">
        <v>69</v>
      </c>
      <c r="C70" s="12">
        <f>Data!M73</f>
        <v>1510</v>
      </c>
      <c r="D70" t="str">
        <f t="shared" si="2"/>
        <v>OK</v>
      </c>
      <c r="E70" t="str">
        <f t="shared" si="3"/>
        <v>OK</v>
      </c>
    </row>
    <row r="71" spans="2:5" x14ac:dyDescent="0.25">
      <c r="B71">
        <v>70</v>
      </c>
      <c r="C71" s="12">
        <f>Data!M74</f>
        <v>1518</v>
      </c>
      <c r="D71" t="str">
        <f t="shared" si="2"/>
        <v>OK</v>
      </c>
      <c r="E71" t="str">
        <f t="shared" si="3"/>
        <v>OK</v>
      </c>
    </row>
    <row r="72" spans="2:5" x14ac:dyDescent="0.25">
      <c r="B72">
        <v>71</v>
      </c>
      <c r="C72" s="12">
        <f>Data!M75</f>
        <v>1526</v>
      </c>
      <c r="D72" t="str">
        <f t="shared" si="2"/>
        <v>OK</v>
      </c>
      <c r="E72" t="str">
        <f t="shared" si="3"/>
        <v>OK</v>
      </c>
    </row>
    <row r="73" spans="2:5" x14ac:dyDescent="0.25">
      <c r="B73">
        <v>72</v>
      </c>
      <c r="C73" s="12">
        <f>Data!M76</f>
        <v>1534</v>
      </c>
      <c r="D73" t="str">
        <f t="shared" si="2"/>
        <v>OK</v>
      </c>
      <c r="E73" t="str">
        <f t="shared" si="3"/>
        <v>OK</v>
      </c>
    </row>
    <row r="74" spans="2:5" x14ac:dyDescent="0.25">
      <c r="B74">
        <v>73</v>
      </c>
      <c r="C74" s="12">
        <f>Data!M77</f>
        <v>1249</v>
      </c>
      <c r="D74" t="str">
        <f t="shared" si="2"/>
        <v>OK</v>
      </c>
      <c r="E74" t="str">
        <f t="shared" si="3"/>
        <v>OK</v>
      </c>
    </row>
    <row r="75" spans="2:5" x14ac:dyDescent="0.25">
      <c r="B75">
        <v>74</v>
      </c>
      <c r="C75" s="12">
        <f>Data!M78</f>
        <v>1256</v>
      </c>
      <c r="D75" t="str">
        <f t="shared" si="2"/>
        <v>OK</v>
      </c>
      <c r="E75" t="str">
        <f t="shared" si="3"/>
        <v>OK</v>
      </c>
    </row>
    <row r="76" spans="2:5" x14ac:dyDescent="0.25">
      <c r="B76">
        <v>75</v>
      </c>
      <c r="C76" s="12">
        <f>Data!M79</f>
        <v>1263</v>
      </c>
      <c r="D76" t="str">
        <f t="shared" si="2"/>
        <v>OK</v>
      </c>
      <c r="E76" t="str">
        <f t="shared" si="3"/>
        <v>OK</v>
      </c>
    </row>
    <row r="77" spans="2:5" x14ac:dyDescent="0.25">
      <c r="B77">
        <v>76</v>
      </c>
      <c r="C77" s="12">
        <f>Data!M80</f>
        <v>1562</v>
      </c>
      <c r="D77" t="str">
        <f t="shared" si="2"/>
        <v>OK</v>
      </c>
      <c r="E77" t="str">
        <f t="shared" si="3"/>
        <v>OK</v>
      </c>
    </row>
    <row r="78" spans="2:5" x14ac:dyDescent="0.25">
      <c r="B78">
        <v>77</v>
      </c>
      <c r="C78" s="12">
        <f>Data!M81</f>
        <v>1570</v>
      </c>
      <c r="D78" t="str">
        <f t="shared" si="2"/>
        <v>OK</v>
      </c>
      <c r="E78" t="str">
        <f t="shared" si="3"/>
        <v>OK</v>
      </c>
    </row>
    <row r="79" spans="2:5" x14ac:dyDescent="0.25">
      <c r="B79">
        <v>78</v>
      </c>
      <c r="C79" s="12">
        <f>Data!M82</f>
        <v>1579</v>
      </c>
      <c r="D79" t="str">
        <f t="shared" si="2"/>
        <v>OK</v>
      </c>
      <c r="E79" t="str">
        <f t="shared" si="3"/>
        <v>OK</v>
      </c>
    </row>
    <row r="80" spans="2:5" x14ac:dyDescent="0.25">
      <c r="B80">
        <v>79</v>
      </c>
      <c r="C80" s="12">
        <f>Data!M83</f>
        <v>1588</v>
      </c>
      <c r="D80" t="str">
        <f t="shared" si="2"/>
        <v>OK</v>
      </c>
      <c r="E80" t="str">
        <f t="shared" si="3"/>
        <v>OK</v>
      </c>
    </row>
    <row r="81" spans="2:5" x14ac:dyDescent="0.25">
      <c r="B81">
        <v>80</v>
      </c>
      <c r="C81" s="12">
        <f>Data!M84</f>
        <v>1597</v>
      </c>
      <c r="D81" t="str">
        <f t="shared" si="2"/>
        <v>OK</v>
      </c>
      <c r="E81" t="str">
        <f t="shared" si="3"/>
        <v>OK</v>
      </c>
    </row>
    <row r="82" spans="2:5" x14ac:dyDescent="0.25">
      <c r="B82">
        <v>81</v>
      </c>
      <c r="C82" s="12">
        <f>Data!M85</f>
        <v>1606</v>
      </c>
      <c r="D82" t="str">
        <f t="shared" si="2"/>
        <v>OK</v>
      </c>
      <c r="E82" t="str">
        <f t="shared" si="3"/>
        <v>OK</v>
      </c>
    </row>
    <row r="83" spans="2:5" x14ac:dyDescent="0.25">
      <c r="B83">
        <v>82</v>
      </c>
      <c r="C83" s="12">
        <f>Data!M86</f>
        <v>1615</v>
      </c>
      <c r="D83" t="str">
        <f t="shared" si="2"/>
        <v>OK</v>
      </c>
      <c r="E83" t="str">
        <f t="shared" si="3"/>
        <v>OK</v>
      </c>
    </row>
    <row r="84" spans="2:5" x14ac:dyDescent="0.25">
      <c r="B84">
        <v>83</v>
      </c>
      <c r="C84" s="12">
        <f>Data!M87</f>
        <v>1624</v>
      </c>
      <c r="D84" t="str">
        <f t="shared" si="2"/>
        <v>OK</v>
      </c>
      <c r="E84" t="str">
        <f t="shared" si="3"/>
        <v>OK</v>
      </c>
    </row>
    <row r="85" spans="2:5" x14ac:dyDescent="0.25">
      <c r="B85">
        <v>84</v>
      </c>
      <c r="C85" s="12">
        <f>Data!M88</f>
        <v>1633</v>
      </c>
      <c r="D85" t="str">
        <f t="shared" si="2"/>
        <v>OK</v>
      </c>
      <c r="E85" t="str">
        <f t="shared" si="3"/>
        <v>OK</v>
      </c>
    </row>
    <row r="86" spans="2:5" x14ac:dyDescent="0.25">
      <c r="B86">
        <v>85</v>
      </c>
      <c r="C86" s="12">
        <f>Data!M89</f>
        <v>1332</v>
      </c>
      <c r="D86" t="str">
        <f t="shared" si="2"/>
        <v>OK</v>
      </c>
      <c r="E86" t="str">
        <f t="shared" si="3"/>
        <v>OK</v>
      </c>
    </row>
    <row r="87" spans="2:5" x14ac:dyDescent="0.25">
      <c r="B87">
        <v>86</v>
      </c>
      <c r="C87" s="12">
        <f>Data!M90</f>
        <v>1340</v>
      </c>
      <c r="D87" t="str">
        <f t="shared" si="2"/>
        <v>OK</v>
      </c>
      <c r="E87" t="str">
        <f t="shared" si="3"/>
        <v>OK</v>
      </c>
    </row>
    <row r="88" spans="2:5" x14ac:dyDescent="0.25">
      <c r="B88">
        <v>87</v>
      </c>
      <c r="C88" s="12">
        <f>Data!M91</f>
        <v>1348</v>
      </c>
      <c r="D88" t="str">
        <f t="shared" si="2"/>
        <v>OK</v>
      </c>
      <c r="E88" t="str">
        <f t="shared" si="3"/>
        <v>OK</v>
      </c>
    </row>
    <row r="89" spans="2:5" x14ac:dyDescent="0.25">
      <c r="B89">
        <v>88</v>
      </c>
      <c r="C89" s="12">
        <f>Data!M92</f>
        <v>1665</v>
      </c>
      <c r="D89" t="str">
        <f t="shared" si="2"/>
        <v>OK</v>
      </c>
      <c r="E89" t="str">
        <f t="shared" si="3"/>
        <v>OK</v>
      </c>
    </row>
    <row r="90" spans="2:5" x14ac:dyDescent="0.25">
      <c r="B90">
        <v>89</v>
      </c>
      <c r="C90" s="12">
        <f>Data!M93</f>
        <v>1675</v>
      </c>
      <c r="D90" t="str">
        <f t="shared" si="2"/>
        <v>OK</v>
      </c>
      <c r="E90" t="str">
        <f t="shared" si="3"/>
        <v>OK</v>
      </c>
    </row>
    <row r="91" spans="2:5" x14ac:dyDescent="0.25">
      <c r="B91">
        <v>90</v>
      </c>
      <c r="C91" s="12">
        <f>Data!M94</f>
        <v>1685</v>
      </c>
      <c r="D91" t="str">
        <f t="shared" si="2"/>
        <v>OK</v>
      </c>
      <c r="E91" t="str">
        <f t="shared" si="3"/>
        <v>OK</v>
      </c>
    </row>
    <row r="92" spans="2:5" x14ac:dyDescent="0.25">
      <c r="B92">
        <v>91</v>
      </c>
      <c r="C92" s="12">
        <f>Data!M95</f>
        <v>1695</v>
      </c>
      <c r="D92" t="str">
        <f t="shared" si="2"/>
        <v>OK</v>
      </c>
      <c r="E92" t="str">
        <f t="shared" si="3"/>
        <v>OK</v>
      </c>
    </row>
    <row r="93" spans="2:5" x14ac:dyDescent="0.25">
      <c r="B93">
        <v>92</v>
      </c>
      <c r="C93" s="12">
        <f>Data!M96</f>
        <v>1705</v>
      </c>
      <c r="D93" t="str">
        <f t="shared" si="2"/>
        <v>OK</v>
      </c>
      <c r="E93" t="str">
        <f t="shared" si="3"/>
        <v>OK</v>
      </c>
    </row>
    <row r="94" spans="2:5" x14ac:dyDescent="0.25">
      <c r="B94">
        <v>93</v>
      </c>
      <c r="C94" s="12">
        <f>Data!M97</f>
        <v>1715</v>
      </c>
      <c r="D94" t="str">
        <f t="shared" si="2"/>
        <v>OK</v>
      </c>
      <c r="E94" t="str">
        <f t="shared" si="3"/>
        <v>OK</v>
      </c>
    </row>
    <row r="95" spans="2:5" x14ac:dyDescent="0.25">
      <c r="B95">
        <v>94</v>
      </c>
      <c r="C95" s="12">
        <f>Data!M98</f>
        <v>1725</v>
      </c>
      <c r="D95" t="str">
        <f t="shared" si="2"/>
        <v>OK</v>
      </c>
      <c r="E95" t="str">
        <f t="shared" si="3"/>
        <v>OK</v>
      </c>
    </row>
    <row r="96" spans="2:5" x14ac:dyDescent="0.25">
      <c r="B96">
        <v>95</v>
      </c>
      <c r="C96" s="12">
        <f>Data!M99</f>
        <v>1735</v>
      </c>
      <c r="D96" t="str">
        <f t="shared" si="2"/>
        <v>OK</v>
      </c>
      <c r="E96" t="str">
        <f t="shared" si="3"/>
        <v>OK</v>
      </c>
    </row>
    <row r="97" spans="2:5" x14ac:dyDescent="0.25">
      <c r="B97">
        <v>96</v>
      </c>
      <c r="C97" s="12">
        <f>Data!M100</f>
        <v>1745</v>
      </c>
      <c r="D97" t="str">
        <f t="shared" si="2"/>
        <v>OK</v>
      </c>
      <c r="E97" t="str">
        <f t="shared" si="3"/>
        <v>OK</v>
      </c>
    </row>
    <row r="98" spans="2:5" x14ac:dyDescent="0.25">
      <c r="B98">
        <v>97</v>
      </c>
      <c r="C98" s="12">
        <f>Data!M101</f>
        <v>1428</v>
      </c>
      <c r="D98" t="str">
        <f t="shared" si="2"/>
        <v>OK</v>
      </c>
      <c r="E98" t="str">
        <f t="shared" si="3"/>
        <v>OK</v>
      </c>
    </row>
    <row r="99" spans="2:5" x14ac:dyDescent="0.25">
      <c r="B99">
        <v>98</v>
      </c>
      <c r="C99" s="12">
        <f>Data!M102</f>
        <v>1437</v>
      </c>
      <c r="D99" t="str">
        <f t="shared" si="2"/>
        <v>OK</v>
      </c>
      <c r="E99" t="str">
        <f t="shared" si="3"/>
        <v>OK</v>
      </c>
    </row>
    <row r="100" spans="2:5" x14ac:dyDescent="0.25">
      <c r="B100">
        <v>99</v>
      </c>
      <c r="C100" s="12">
        <f>Data!M103</f>
        <v>1446</v>
      </c>
      <c r="D100" t="str">
        <f t="shared" si="2"/>
        <v>OK</v>
      </c>
      <c r="E100" t="str">
        <f t="shared" si="3"/>
        <v>OK</v>
      </c>
    </row>
    <row r="101" spans="2:5" x14ac:dyDescent="0.25">
      <c r="B101">
        <v>100</v>
      </c>
      <c r="C101" s="12">
        <f>Data!M104</f>
        <v>1785</v>
      </c>
      <c r="D101" t="str">
        <f t="shared" si="2"/>
        <v>OK</v>
      </c>
      <c r="E101" t="str">
        <f t="shared" si="3"/>
        <v>OK</v>
      </c>
    </row>
    <row r="102" spans="2:5" x14ac:dyDescent="0.25">
      <c r="B102">
        <v>101</v>
      </c>
      <c r="C102" s="12">
        <f>Data!M105</f>
        <v>1796</v>
      </c>
      <c r="D102" t="str">
        <f t="shared" si="2"/>
        <v>OK</v>
      </c>
      <c r="E102" t="str">
        <f t="shared" si="3"/>
        <v>OK</v>
      </c>
    </row>
    <row r="103" spans="2:5" x14ac:dyDescent="0.25">
      <c r="B103">
        <v>102</v>
      </c>
      <c r="C103" s="12">
        <f>Data!M106</f>
        <v>1808</v>
      </c>
      <c r="D103" t="str">
        <f t="shared" si="2"/>
        <v>OK</v>
      </c>
      <c r="E103" t="str">
        <f t="shared" si="3"/>
        <v>OK</v>
      </c>
    </row>
    <row r="104" spans="2:5" x14ac:dyDescent="0.25">
      <c r="B104">
        <v>103</v>
      </c>
      <c r="C104" s="12">
        <f>Data!M107</f>
        <v>1820</v>
      </c>
      <c r="D104" t="str">
        <f t="shared" si="2"/>
        <v>OK</v>
      </c>
      <c r="E104" t="str">
        <f t="shared" si="3"/>
        <v>OK</v>
      </c>
    </row>
    <row r="105" spans="2:5" x14ac:dyDescent="0.25">
      <c r="B105">
        <v>104</v>
      </c>
      <c r="C105" s="12">
        <f>Data!M108</f>
        <v>1832</v>
      </c>
      <c r="D105" t="str">
        <f t="shared" si="2"/>
        <v>OK</v>
      </c>
      <c r="E105" t="str">
        <f t="shared" si="3"/>
        <v>OK</v>
      </c>
    </row>
    <row r="106" spans="2:5" x14ac:dyDescent="0.25">
      <c r="B106">
        <v>105</v>
      </c>
      <c r="C106" s="12">
        <f>Data!M109</f>
        <v>1844</v>
      </c>
      <c r="D106" t="str">
        <f t="shared" si="2"/>
        <v>OK</v>
      </c>
      <c r="E106" t="str">
        <f t="shared" si="3"/>
        <v>OK</v>
      </c>
    </row>
    <row r="107" spans="2:5" x14ac:dyDescent="0.25">
      <c r="B107">
        <v>106</v>
      </c>
      <c r="C107" s="12">
        <f>Data!M110</f>
        <v>1856</v>
      </c>
      <c r="D107" t="str">
        <f t="shared" si="2"/>
        <v>OK</v>
      </c>
      <c r="E107" t="str">
        <f t="shared" si="3"/>
        <v>OK</v>
      </c>
    </row>
    <row r="108" spans="2:5" x14ac:dyDescent="0.25">
      <c r="B108">
        <v>107</v>
      </c>
      <c r="C108" s="12">
        <f>Data!M111</f>
        <v>1868</v>
      </c>
      <c r="D108" t="str">
        <f t="shared" si="2"/>
        <v>OK</v>
      </c>
      <c r="E108" t="str">
        <f t="shared" si="3"/>
        <v>OK</v>
      </c>
    </row>
    <row r="109" spans="2:5" x14ac:dyDescent="0.25">
      <c r="B109">
        <v>108</v>
      </c>
      <c r="C109" s="12">
        <f>Data!M112</f>
        <v>1880</v>
      </c>
      <c r="D109" t="str">
        <f t="shared" si="2"/>
        <v>OK</v>
      </c>
      <c r="E109" t="str">
        <f t="shared" si="3"/>
        <v>OK</v>
      </c>
    </row>
    <row r="110" spans="2:5" x14ac:dyDescent="0.25">
      <c r="B110">
        <v>109</v>
      </c>
      <c r="C110" s="12">
        <f>Data!M113</f>
        <v>1539</v>
      </c>
      <c r="D110" t="str">
        <f t="shared" si="2"/>
        <v>OK</v>
      </c>
      <c r="E110" t="str">
        <f t="shared" si="3"/>
        <v>OK</v>
      </c>
    </row>
    <row r="111" spans="2:5" x14ac:dyDescent="0.25">
      <c r="B111">
        <v>110</v>
      </c>
      <c r="C111" s="12">
        <f>Data!M114</f>
        <v>1550</v>
      </c>
      <c r="D111" t="str">
        <f t="shared" si="2"/>
        <v>OK</v>
      </c>
      <c r="E111" t="str">
        <f t="shared" si="3"/>
        <v>OK</v>
      </c>
    </row>
    <row r="112" spans="2:5" x14ac:dyDescent="0.25">
      <c r="B112">
        <v>111</v>
      </c>
      <c r="C112" s="12">
        <f>Data!M115</f>
        <v>1561</v>
      </c>
      <c r="D112" t="str">
        <f t="shared" si="2"/>
        <v>OK</v>
      </c>
      <c r="E112" t="str">
        <f t="shared" si="3"/>
        <v>OK</v>
      </c>
    </row>
    <row r="113" spans="2:5" x14ac:dyDescent="0.25">
      <c r="B113">
        <v>112</v>
      </c>
      <c r="C113" s="12">
        <f>Data!M116</f>
        <v>1924</v>
      </c>
      <c r="D113" t="str">
        <f t="shared" si="2"/>
        <v>OK</v>
      </c>
      <c r="E113" t="str">
        <f t="shared" si="3"/>
        <v>OK</v>
      </c>
    </row>
    <row r="114" spans="2:5" x14ac:dyDescent="0.25">
      <c r="B114">
        <v>113</v>
      </c>
      <c r="C114" s="12">
        <f>Data!M117</f>
        <v>1937</v>
      </c>
      <c r="D114" t="str">
        <f t="shared" si="2"/>
        <v>OK</v>
      </c>
      <c r="E114" t="str">
        <f t="shared" si="3"/>
        <v>OK</v>
      </c>
    </row>
    <row r="115" spans="2:5" x14ac:dyDescent="0.25">
      <c r="B115">
        <v>114</v>
      </c>
      <c r="C115" s="12">
        <f>Data!M118</f>
        <v>1951</v>
      </c>
      <c r="D115" t="str">
        <f t="shared" si="2"/>
        <v>OK</v>
      </c>
      <c r="E115" t="str">
        <f t="shared" si="3"/>
        <v>OK</v>
      </c>
    </row>
    <row r="116" spans="2:5" x14ac:dyDescent="0.25">
      <c r="B116">
        <v>115</v>
      </c>
      <c r="C116" s="12">
        <f>Data!M119</f>
        <v>1965</v>
      </c>
      <c r="D116" t="str">
        <f t="shared" si="2"/>
        <v>OK</v>
      </c>
      <c r="E116" t="str">
        <f t="shared" si="3"/>
        <v>OK</v>
      </c>
    </row>
    <row r="117" spans="2:5" x14ac:dyDescent="0.25">
      <c r="B117">
        <v>116</v>
      </c>
      <c r="C117" s="12">
        <f>Data!M120</f>
        <v>1979</v>
      </c>
      <c r="D117" t="str">
        <f t="shared" si="2"/>
        <v>OK</v>
      </c>
      <c r="E117" t="str">
        <f t="shared" si="3"/>
        <v>OK</v>
      </c>
    </row>
    <row r="118" spans="2:5" x14ac:dyDescent="0.25">
      <c r="B118">
        <v>117</v>
      </c>
      <c r="C118" s="12">
        <f>Data!M121</f>
        <v>1993</v>
      </c>
      <c r="D118" t="str">
        <f t="shared" si="2"/>
        <v>OK</v>
      </c>
      <c r="E118" t="str">
        <f t="shared" si="3"/>
        <v>OK</v>
      </c>
    </row>
    <row r="119" spans="2:5" x14ac:dyDescent="0.25">
      <c r="B119">
        <v>118</v>
      </c>
      <c r="C119" s="12">
        <f>Data!M122</f>
        <v>2000</v>
      </c>
      <c r="D119" t="str">
        <f t="shared" si="2"/>
        <v>OK</v>
      </c>
      <c r="E119" t="str">
        <f t="shared" si="3"/>
        <v>OK</v>
      </c>
    </row>
    <row r="120" spans="2:5" x14ac:dyDescent="0.25">
      <c r="B120">
        <v>119</v>
      </c>
      <c r="C120" s="12">
        <f>Data!M123</f>
        <v>2000</v>
      </c>
      <c r="D120" t="str">
        <f t="shared" si="2"/>
        <v>OK</v>
      </c>
      <c r="E120" t="str">
        <f t="shared" si="3"/>
        <v>OK</v>
      </c>
    </row>
    <row r="121" spans="2:5" x14ac:dyDescent="0.25">
      <c r="B121">
        <v>120</v>
      </c>
      <c r="C121" s="12">
        <f>Data!M124</f>
        <v>2000</v>
      </c>
      <c r="D121" t="str">
        <f t="shared" si="2"/>
        <v>OK</v>
      </c>
      <c r="E121" t="str">
        <f t="shared" si="3"/>
        <v>OK</v>
      </c>
    </row>
  </sheetData>
  <autoFilter ref="B1:E121"/>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E26"/>
  <sheetViews>
    <sheetView workbookViewId="0"/>
  </sheetViews>
  <sheetFormatPr defaultRowHeight="15" x14ac:dyDescent="0.25"/>
  <cols>
    <col min="3" max="3" width="33.140625" customWidth="1"/>
    <col min="4" max="4" width="16" customWidth="1"/>
    <col min="5" max="5" width="12" customWidth="1"/>
    <col min="7" max="7" width="19.42578125" bestFit="1" customWidth="1"/>
  </cols>
  <sheetData>
    <row r="2" spans="3:5" ht="19.5" thickBot="1" x14ac:dyDescent="0.35">
      <c r="C2" s="10"/>
      <c r="E2" s="11"/>
    </row>
    <row r="3" spans="3:5" ht="15.75" thickBot="1" x14ac:dyDescent="0.3">
      <c r="C3" s="25" t="s">
        <v>56</v>
      </c>
      <c r="D3" s="26" t="s">
        <v>10</v>
      </c>
      <c r="E3" s="27" t="s">
        <v>11</v>
      </c>
    </row>
    <row r="4" spans="3:5" x14ac:dyDescent="0.25">
      <c r="C4" s="18" t="s">
        <v>4</v>
      </c>
      <c r="D4" s="19">
        <v>150</v>
      </c>
      <c r="E4" s="40"/>
    </row>
    <row r="5" spans="3:5" x14ac:dyDescent="0.25">
      <c r="C5" s="20" t="s">
        <v>5</v>
      </c>
      <c r="D5" s="8">
        <v>50</v>
      </c>
      <c r="E5" s="41"/>
    </row>
    <row r="6" spans="3:5" ht="15.75" thickBot="1" x14ac:dyDescent="0.3">
      <c r="C6" s="22" t="s">
        <v>6</v>
      </c>
      <c r="D6" s="23">
        <v>40</v>
      </c>
      <c r="E6" s="42"/>
    </row>
    <row r="7" spans="3:5" x14ac:dyDescent="0.25">
      <c r="C7" s="18"/>
      <c r="D7" s="19"/>
      <c r="E7" s="40"/>
    </row>
    <row r="8" spans="3:5" x14ac:dyDescent="0.25">
      <c r="C8" s="20" t="s">
        <v>30</v>
      </c>
      <c r="D8" s="8">
        <v>2</v>
      </c>
      <c r="E8" s="41"/>
    </row>
    <row r="9" spans="3:5" ht="15.75" thickBot="1" x14ac:dyDescent="0.3">
      <c r="C9" s="22" t="s">
        <v>31</v>
      </c>
      <c r="D9" s="23">
        <v>1</v>
      </c>
      <c r="E9" s="42"/>
    </row>
    <row r="10" spans="3:5" x14ac:dyDescent="0.25">
      <c r="C10" s="18"/>
      <c r="D10" s="19"/>
      <c r="E10" s="40"/>
    </row>
    <row r="11" spans="3:5" x14ac:dyDescent="0.25">
      <c r="C11" s="20" t="s">
        <v>7</v>
      </c>
      <c r="D11" s="8">
        <v>270</v>
      </c>
      <c r="E11" s="41">
        <v>250</v>
      </c>
    </row>
    <row r="12" spans="3:5" x14ac:dyDescent="0.25">
      <c r="C12" s="20" t="s">
        <v>8</v>
      </c>
      <c r="D12" s="8">
        <v>70</v>
      </c>
      <c r="E12" s="41"/>
    </row>
    <row r="13" spans="3:5" ht="15.75" thickBot="1" x14ac:dyDescent="0.3">
      <c r="C13" s="22" t="s">
        <v>9</v>
      </c>
      <c r="D13" s="23">
        <v>70</v>
      </c>
      <c r="E13" s="42"/>
    </row>
    <row r="14" spans="3:5" x14ac:dyDescent="0.25">
      <c r="C14" s="38" t="s">
        <v>17</v>
      </c>
      <c r="D14" s="19"/>
      <c r="E14" s="40"/>
    </row>
    <row r="15" spans="3:5" x14ac:dyDescent="0.25">
      <c r="C15" s="20" t="s">
        <v>14</v>
      </c>
      <c r="D15" s="21">
        <v>35000</v>
      </c>
      <c r="E15" s="43"/>
    </row>
    <row r="16" spans="3:5" x14ac:dyDescent="0.25">
      <c r="C16" s="20" t="s">
        <v>15</v>
      </c>
      <c r="D16" s="21">
        <v>30000</v>
      </c>
      <c r="E16" s="43"/>
    </row>
    <row r="17" spans="3:5" ht="15.75" thickBot="1" x14ac:dyDescent="0.3">
      <c r="C17" s="22" t="s">
        <v>16</v>
      </c>
      <c r="D17" s="28">
        <v>10000</v>
      </c>
      <c r="E17" s="44">
        <v>7000</v>
      </c>
    </row>
    <row r="18" spans="3:5" x14ac:dyDescent="0.25">
      <c r="C18" s="18"/>
      <c r="D18" s="19"/>
      <c r="E18" s="40"/>
    </row>
    <row r="19" spans="3:5" x14ac:dyDescent="0.25">
      <c r="C19" s="20" t="s">
        <v>51</v>
      </c>
      <c r="D19" s="39">
        <v>1.2</v>
      </c>
      <c r="E19" s="41"/>
    </row>
    <row r="20" spans="3:5" x14ac:dyDescent="0.25">
      <c r="C20" s="20" t="s">
        <v>26</v>
      </c>
      <c r="D20" s="21">
        <v>5000000</v>
      </c>
      <c r="E20" s="41"/>
    </row>
    <row r="21" spans="3:5" ht="15.75" thickBot="1" x14ac:dyDescent="0.3">
      <c r="C21" s="22" t="s">
        <v>27</v>
      </c>
      <c r="D21" s="24">
        <v>0.06</v>
      </c>
      <c r="E21" s="42" t="s">
        <v>28</v>
      </c>
    </row>
    <row r="22" spans="3:5" x14ac:dyDescent="0.25">
      <c r="C22" s="20"/>
      <c r="D22" s="8"/>
      <c r="E22" s="41"/>
    </row>
    <row r="23" spans="3:5" ht="15.75" thickBot="1" x14ac:dyDescent="0.3">
      <c r="C23" s="22" t="s">
        <v>33</v>
      </c>
      <c r="D23" s="24">
        <v>0.25</v>
      </c>
      <c r="E23" s="42"/>
    </row>
    <row r="24" spans="3:5" x14ac:dyDescent="0.25">
      <c r="C24" s="20"/>
      <c r="D24" s="8" t="s">
        <v>57</v>
      </c>
      <c r="E24" s="41" t="s">
        <v>58</v>
      </c>
    </row>
    <row r="25" spans="3:5" x14ac:dyDescent="0.25">
      <c r="C25" s="20" t="s">
        <v>49</v>
      </c>
      <c r="D25" s="56">
        <v>0.1</v>
      </c>
      <c r="E25" s="57">
        <f>+D25/12</f>
        <v>8.3333333333333332E-3</v>
      </c>
    </row>
    <row r="26" spans="3:5" ht="15.75" thickBot="1" x14ac:dyDescent="0.3">
      <c r="C26" s="22" t="s">
        <v>33</v>
      </c>
      <c r="D26" s="24">
        <v>0.25</v>
      </c>
      <c r="E26" s="42"/>
    </row>
  </sheetData>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62"/>
  <sheetViews>
    <sheetView showGridLines="0" workbookViewId="0"/>
  </sheetViews>
  <sheetFormatPr defaultRowHeight="15" x14ac:dyDescent="0.25"/>
  <cols>
    <col min="4" max="4" width="9.85546875" bestFit="1" customWidth="1"/>
    <col min="5" max="5" width="10.5703125" bestFit="1" customWidth="1"/>
    <col min="6" max="6" width="8.42578125" bestFit="1" customWidth="1"/>
    <col min="7" max="7" width="11.85546875" bestFit="1" customWidth="1"/>
    <col min="8" max="9" width="8" bestFit="1" customWidth="1"/>
    <col min="10" max="10" width="9.5703125" bestFit="1" customWidth="1"/>
    <col min="11" max="11" width="10.5703125" bestFit="1" customWidth="1"/>
    <col min="12" max="12" width="11" customWidth="1"/>
    <col min="13" max="13" width="11" bestFit="1" customWidth="1"/>
    <col min="14" max="14" width="9.5703125" style="8" bestFit="1" customWidth="1"/>
    <col min="16" max="16" width="17.5703125" customWidth="1"/>
    <col min="17" max="17" width="13.5703125" bestFit="1" customWidth="1"/>
  </cols>
  <sheetData>
    <row r="2" spans="1:17" s="1" customFormat="1" ht="30" x14ac:dyDescent="0.25">
      <c r="A2" s="45" t="s">
        <v>36</v>
      </c>
      <c r="B2" s="45" t="s">
        <v>21</v>
      </c>
      <c r="C2" s="45" t="s">
        <v>1</v>
      </c>
      <c r="D2" s="45" t="s">
        <v>2</v>
      </c>
      <c r="E2" s="45" t="s">
        <v>3</v>
      </c>
      <c r="F2" s="45" t="s">
        <v>12</v>
      </c>
      <c r="G2" s="45" t="s">
        <v>18</v>
      </c>
      <c r="H2" s="45" t="s">
        <v>14</v>
      </c>
      <c r="I2" s="45" t="s">
        <v>15</v>
      </c>
      <c r="J2" s="45" t="s">
        <v>16</v>
      </c>
      <c r="K2" s="45" t="s">
        <v>13</v>
      </c>
      <c r="L2" s="45" t="s">
        <v>38</v>
      </c>
      <c r="M2" s="45" t="s">
        <v>32</v>
      </c>
      <c r="N2" s="45" t="s">
        <v>19</v>
      </c>
      <c r="P2" s="45" t="s">
        <v>59</v>
      </c>
      <c r="Q2" s="58">
        <f>NPV(Disc_Rate_PM,N3:N122)</f>
        <v>10230678.635492597</v>
      </c>
    </row>
    <row r="3" spans="1:17" x14ac:dyDescent="0.25">
      <c r="A3" s="46">
        <v>1</v>
      </c>
      <c r="B3" s="46">
        <f>'Corrected data'!B2</f>
        <v>1</v>
      </c>
      <c r="C3" s="46">
        <f>'Corrected data'!C2</f>
        <v>960</v>
      </c>
      <c r="D3" s="46">
        <f t="shared" ref="D3:D34" si="0">prop_choc_syrup*C3</f>
        <v>1920</v>
      </c>
      <c r="E3" s="46">
        <f t="shared" ref="E3:E34" si="1">prop_straw_syrup*C3</f>
        <v>960</v>
      </c>
      <c r="F3" s="46" t="str">
        <f>IF(AND(MOD(B3,12)&lt;=3, MOD(B3,12)&lt;&gt;0),"Winter","Summer")</f>
        <v>Winter</v>
      </c>
      <c r="G3" s="48">
        <f>C3*Cost_Icecream+'Base Scenario'!D3*cost_choc_syrup+'Base Scenario'!E3*cost_straw_syrup</f>
        <v>278400</v>
      </c>
      <c r="H3" s="48">
        <f t="shared" ref="H3:H34" si="2">Rent</f>
        <v>35000</v>
      </c>
      <c r="I3" s="48">
        <f t="shared" ref="I3:I34" si="3">Salary</f>
        <v>30000</v>
      </c>
      <c r="J3" s="48">
        <f t="shared" ref="J3:J34" si="4">IF(F3="Winter",Electr_winter,Electr_Summer)</f>
        <v>7000</v>
      </c>
      <c r="K3" s="48">
        <f t="shared" ref="K3:K34" si="5">C3*IF(F3="Winter",SP_icecream_winter,SP_icecream)+D3*SP_choc_syrup+E3*SP_straw_syrup</f>
        <v>441600</v>
      </c>
      <c r="L3" s="48">
        <f t="shared" ref="L3:L34" si="6">SUM(G3:J3)</f>
        <v>350400</v>
      </c>
      <c r="M3" s="48">
        <f t="shared" ref="M3:M34" si="7">Tax_rate*(K3-L3)</f>
        <v>22800</v>
      </c>
      <c r="N3" s="49">
        <f t="shared" ref="N3:N34" si="8">K3-L3-M3</f>
        <v>68400</v>
      </c>
      <c r="P3" s="45" t="s">
        <v>60</v>
      </c>
      <c r="Q3" s="58">
        <f>NPV(Disc_Rate_PM,K3:K122)</f>
        <v>49336009.41672796</v>
      </c>
    </row>
    <row r="4" spans="1:17" x14ac:dyDescent="0.25">
      <c r="A4" s="46">
        <f>IF(MOD(B3,12)=0,A3+1,A3)</f>
        <v>1</v>
      </c>
      <c r="B4" s="46">
        <f>'Corrected data'!B3</f>
        <v>2</v>
      </c>
      <c r="C4" s="46">
        <f>'Corrected data'!C3</f>
        <v>962</v>
      </c>
      <c r="D4" s="46">
        <f t="shared" si="0"/>
        <v>1924</v>
      </c>
      <c r="E4" s="46">
        <f t="shared" si="1"/>
        <v>962</v>
      </c>
      <c r="F4" s="46" t="str">
        <f t="shared" ref="F4:F67" si="9">IF(AND(MOD(B4,12)&lt;=3, MOD(B4,12)&lt;&gt;0),"Winter","Summer")</f>
        <v>Winter</v>
      </c>
      <c r="G4" s="48">
        <f>C4*Cost_Icecream+'Base Scenario'!D4*cost_choc_syrup+'Base Scenario'!E4*cost_straw_syrup</f>
        <v>278980</v>
      </c>
      <c r="H4" s="48">
        <f t="shared" si="2"/>
        <v>35000</v>
      </c>
      <c r="I4" s="48">
        <f t="shared" si="3"/>
        <v>30000</v>
      </c>
      <c r="J4" s="48">
        <f t="shared" si="4"/>
        <v>7000</v>
      </c>
      <c r="K4" s="48">
        <f t="shared" si="5"/>
        <v>442520</v>
      </c>
      <c r="L4" s="48">
        <f t="shared" si="6"/>
        <v>350980</v>
      </c>
      <c r="M4" s="48">
        <f t="shared" si="7"/>
        <v>22885</v>
      </c>
      <c r="N4" s="49">
        <f t="shared" si="8"/>
        <v>68655</v>
      </c>
      <c r="P4" s="45" t="s">
        <v>61</v>
      </c>
      <c r="Q4" s="59">
        <f>Q2/Q3</f>
        <v>0.20736737236035477</v>
      </c>
    </row>
    <row r="5" spans="1:17" x14ac:dyDescent="0.25">
      <c r="A5" s="46">
        <f t="shared" ref="A5:A68" si="10">IF(MOD(B4,12)=0,A4+1,A4)</f>
        <v>1</v>
      </c>
      <c r="B5" s="46">
        <f>'Corrected data'!B4</f>
        <v>3</v>
      </c>
      <c r="C5" s="46">
        <f>'Corrected data'!C4</f>
        <v>964</v>
      </c>
      <c r="D5" s="46">
        <f t="shared" si="0"/>
        <v>1928</v>
      </c>
      <c r="E5" s="46">
        <f t="shared" si="1"/>
        <v>964</v>
      </c>
      <c r="F5" s="46" t="str">
        <f t="shared" si="9"/>
        <v>Winter</v>
      </c>
      <c r="G5" s="48">
        <f>C5*Cost_Icecream+'Base Scenario'!D5*cost_choc_syrup+'Base Scenario'!E5*cost_straw_syrup</f>
        <v>279560</v>
      </c>
      <c r="H5" s="48">
        <f t="shared" si="2"/>
        <v>35000</v>
      </c>
      <c r="I5" s="48">
        <f t="shared" si="3"/>
        <v>30000</v>
      </c>
      <c r="J5" s="48">
        <f t="shared" si="4"/>
        <v>7000</v>
      </c>
      <c r="K5" s="48">
        <f t="shared" si="5"/>
        <v>443440</v>
      </c>
      <c r="L5" s="48">
        <f t="shared" si="6"/>
        <v>351560</v>
      </c>
      <c r="M5" s="48">
        <f t="shared" si="7"/>
        <v>22970</v>
      </c>
      <c r="N5" s="49">
        <f t="shared" si="8"/>
        <v>68910</v>
      </c>
    </row>
    <row r="6" spans="1:17" x14ac:dyDescent="0.25">
      <c r="A6" s="46">
        <f t="shared" si="10"/>
        <v>1</v>
      </c>
      <c r="B6" s="46">
        <f>'Corrected data'!B5</f>
        <v>4</v>
      </c>
      <c r="C6" s="46">
        <f>'Corrected data'!C5</f>
        <v>1200</v>
      </c>
      <c r="D6" s="46">
        <f t="shared" si="0"/>
        <v>2400</v>
      </c>
      <c r="E6" s="46">
        <f t="shared" si="1"/>
        <v>1200</v>
      </c>
      <c r="F6" s="46" t="str">
        <f t="shared" si="9"/>
        <v>Summer</v>
      </c>
      <c r="G6" s="48">
        <f>C6*Cost_Icecream+'Base Scenario'!D6*cost_choc_syrup+'Base Scenario'!E6*cost_straw_syrup</f>
        <v>348000</v>
      </c>
      <c r="H6" s="48">
        <f t="shared" si="2"/>
        <v>35000</v>
      </c>
      <c r="I6" s="48">
        <f t="shared" si="3"/>
        <v>30000</v>
      </c>
      <c r="J6" s="48">
        <f t="shared" si="4"/>
        <v>10000</v>
      </c>
      <c r="K6" s="48">
        <f t="shared" si="5"/>
        <v>576000</v>
      </c>
      <c r="L6" s="48">
        <f t="shared" si="6"/>
        <v>423000</v>
      </c>
      <c r="M6" s="48">
        <f t="shared" si="7"/>
        <v>38250</v>
      </c>
      <c r="N6" s="49">
        <f t="shared" si="8"/>
        <v>114750</v>
      </c>
    </row>
    <row r="7" spans="1:17" x14ac:dyDescent="0.25">
      <c r="A7" s="46">
        <f t="shared" si="10"/>
        <v>1</v>
      </c>
      <c r="B7" s="46">
        <f>'Corrected data'!B6</f>
        <v>5</v>
      </c>
      <c r="C7" s="46">
        <f>'Corrected data'!C6</f>
        <v>1203</v>
      </c>
      <c r="D7" s="46">
        <f t="shared" si="0"/>
        <v>2406</v>
      </c>
      <c r="E7" s="46">
        <f t="shared" si="1"/>
        <v>1203</v>
      </c>
      <c r="F7" s="46" t="str">
        <f t="shared" si="9"/>
        <v>Summer</v>
      </c>
      <c r="G7" s="48">
        <f>C7*Cost_Icecream+'Base Scenario'!D7*cost_choc_syrup+'Base Scenario'!E7*cost_straw_syrup</f>
        <v>348870</v>
      </c>
      <c r="H7" s="48">
        <f t="shared" si="2"/>
        <v>35000</v>
      </c>
      <c r="I7" s="48">
        <f t="shared" si="3"/>
        <v>30000</v>
      </c>
      <c r="J7" s="48">
        <f t="shared" si="4"/>
        <v>10000</v>
      </c>
      <c r="K7" s="48">
        <f t="shared" si="5"/>
        <v>577440</v>
      </c>
      <c r="L7" s="48">
        <f t="shared" si="6"/>
        <v>423870</v>
      </c>
      <c r="M7" s="48">
        <f t="shared" si="7"/>
        <v>38392.5</v>
      </c>
      <c r="N7" s="49">
        <f t="shared" si="8"/>
        <v>115177.5</v>
      </c>
    </row>
    <row r="8" spans="1:17" x14ac:dyDescent="0.25">
      <c r="A8" s="46">
        <f t="shared" si="10"/>
        <v>1</v>
      </c>
      <c r="B8" s="46">
        <f>'Corrected data'!B7</f>
        <v>6</v>
      </c>
      <c r="C8" s="46">
        <f>'Corrected data'!C7</f>
        <v>1206</v>
      </c>
      <c r="D8" s="46">
        <f t="shared" si="0"/>
        <v>2412</v>
      </c>
      <c r="E8" s="46">
        <f t="shared" si="1"/>
        <v>1206</v>
      </c>
      <c r="F8" s="46" t="str">
        <f t="shared" si="9"/>
        <v>Summer</v>
      </c>
      <c r="G8" s="48">
        <f>C8*Cost_Icecream+'Base Scenario'!D8*cost_choc_syrup+'Base Scenario'!E8*cost_straw_syrup</f>
        <v>349740</v>
      </c>
      <c r="H8" s="48">
        <f t="shared" si="2"/>
        <v>35000</v>
      </c>
      <c r="I8" s="48">
        <f t="shared" si="3"/>
        <v>30000</v>
      </c>
      <c r="J8" s="48">
        <f t="shared" si="4"/>
        <v>10000</v>
      </c>
      <c r="K8" s="48">
        <f t="shared" si="5"/>
        <v>578880</v>
      </c>
      <c r="L8" s="48">
        <f t="shared" si="6"/>
        <v>424740</v>
      </c>
      <c r="M8" s="48">
        <f t="shared" si="7"/>
        <v>38535</v>
      </c>
      <c r="N8" s="49">
        <f t="shared" si="8"/>
        <v>115605</v>
      </c>
    </row>
    <row r="9" spans="1:17" x14ac:dyDescent="0.25">
      <c r="A9" s="46">
        <f t="shared" si="10"/>
        <v>1</v>
      </c>
      <c r="B9" s="46">
        <f>'Corrected data'!B8</f>
        <v>7</v>
      </c>
      <c r="C9" s="46">
        <f>'Corrected data'!C8</f>
        <v>1209</v>
      </c>
      <c r="D9" s="46">
        <f t="shared" si="0"/>
        <v>2418</v>
      </c>
      <c r="E9" s="46">
        <f t="shared" si="1"/>
        <v>1209</v>
      </c>
      <c r="F9" s="46" t="str">
        <f t="shared" si="9"/>
        <v>Summer</v>
      </c>
      <c r="G9" s="48">
        <f>C9*Cost_Icecream+'Base Scenario'!D9*cost_choc_syrup+'Base Scenario'!E9*cost_straw_syrup</f>
        <v>350610</v>
      </c>
      <c r="H9" s="48">
        <f t="shared" si="2"/>
        <v>35000</v>
      </c>
      <c r="I9" s="48">
        <f t="shared" si="3"/>
        <v>30000</v>
      </c>
      <c r="J9" s="48">
        <f t="shared" si="4"/>
        <v>10000</v>
      </c>
      <c r="K9" s="48">
        <f t="shared" si="5"/>
        <v>580320</v>
      </c>
      <c r="L9" s="48">
        <f t="shared" si="6"/>
        <v>425610</v>
      </c>
      <c r="M9" s="48">
        <f t="shared" si="7"/>
        <v>38677.5</v>
      </c>
      <c r="N9" s="49">
        <f t="shared" si="8"/>
        <v>116032.5</v>
      </c>
    </row>
    <row r="10" spans="1:17" x14ac:dyDescent="0.25">
      <c r="A10" s="46">
        <f t="shared" si="10"/>
        <v>1</v>
      </c>
      <c r="B10" s="46">
        <f>'Corrected data'!B9</f>
        <v>8</v>
      </c>
      <c r="C10" s="46">
        <f>'Corrected data'!C9</f>
        <v>1212</v>
      </c>
      <c r="D10" s="46">
        <f t="shared" si="0"/>
        <v>2424</v>
      </c>
      <c r="E10" s="46">
        <f t="shared" si="1"/>
        <v>1212</v>
      </c>
      <c r="F10" s="46" t="str">
        <f t="shared" si="9"/>
        <v>Summer</v>
      </c>
      <c r="G10" s="48">
        <f>C10*Cost_Icecream+'Base Scenario'!D10*cost_choc_syrup+'Base Scenario'!E10*cost_straw_syrup</f>
        <v>351480</v>
      </c>
      <c r="H10" s="48">
        <f t="shared" si="2"/>
        <v>35000</v>
      </c>
      <c r="I10" s="48">
        <f t="shared" si="3"/>
        <v>30000</v>
      </c>
      <c r="J10" s="48">
        <f t="shared" si="4"/>
        <v>10000</v>
      </c>
      <c r="K10" s="48">
        <f t="shared" si="5"/>
        <v>581760</v>
      </c>
      <c r="L10" s="48">
        <f t="shared" si="6"/>
        <v>426480</v>
      </c>
      <c r="M10" s="48">
        <f t="shared" si="7"/>
        <v>38820</v>
      </c>
      <c r="N10" s="49">
        <f t="shared" si="8"/>
        <v>116460</v>
      </c>
    </row>
    <row r="11" spans="1:17" x14ac:dyDescent="0.25">
      <c r="A11" s="46">
        <f t="shared" si="10"/>
        <v>1</v>
      </c>
      <c r="B11" s="46">
        <f>'Corrected data'!B10</f>
        <v>9</v>
      </c>
      <c r="C11" s="46">
        <f>'Corrected data'!C10</f>
        <v>1215</v>
      </c>
      <c r="D11" s="46">
        <f t="shared" si="0"/>
        <v>2430</v>
      </c>
      <c r="E11" s="46">
        <f t="shared" si="1"/>
        <v>1215</v>
      </c>
      <c r="F11" s="46" t="str">
        <f t="shared" si="9"/>
        <v>Summer</v>
      </c>
      <c r="G11" s="48">
        <f>C11*Cost_Icecream+'Base Scenario'!D11*cost_choc_syrup+'Base Scenario'!E11*cost_straw_syrup</f>
        <v>352350</v>
      </c>
      <c r="H11" s="48">
        <f t="shared" si="2"/>
        <v>35000</v>
      </c>
      <c r="I11" s="48">
        <f t="shared" si="3"/>
        <v>30000</v>
      </c>
      <c r="J11" s="48">
        <f t="shared" si="4"/>
        <v>10000</v>
      </c>
      <c r="K11" s="48">
        <f t="shared" si="5"/>
        <v>583200</v>
      </c>
      <c r="L11" s="48">
        <f t="shared" si="6"/>
        <v>427350</v>
      </c>
      <c r="M11" s="48">
        <f t="shared" si="7"/>
        <v>38962.5</v>
      </c>
      <c r="N11" s="49">
        <f t="shared" si="8"/>
        <v>116887.5</v>
      </c>
    </row>
    <row r="12" spans="1:17" x14ac:dyDescent="0.25">
      <c r="A12" s="46">
        <f t="shared" si="10"/>
        <v>1</v>
      </c>
      <c r="B12" s="46">
        <f>'Corrected data'!B11</f>
        <v>10</v>
      </c>
      <c r="C12" s="46">
        <f>'Corrected data'!C11</f>
        <v>1218</v>
      </c>
      <c r="D12" s="46">
        <f t="shared" si="0"/>
        <v>2436</v>
      </c>
      <c r="E12" s="46">
        <f t="shared" si="1"/>
        <v>1218</v>
      </c>
      <c r="F12" s="46" t="str">
        <f t="shared" si="9"/>
        <v>Summer</v>
      </c>
      <c r="G12" s="48">
        <f>C12*Cost_Icecream+'Base Scenario'!D12*cost_choc_syrup+'Base Scenario'!E12*cost_straw_syrup</f>
        <v>353220</v>
      </c>
      <c r="H12" s="48">
        <f t="shared" si="2"/>
        <v>35000</v>
      </c>
      <c r="I12" s="48">
        <f t="shared" si="3"/>
        <v>30000</v>
      </c>
      <c r="J12" s="48">
        <f t="shared" si="4"/>
        <v>10000</v>
      </c>
      <c r="K12" s="48">
        <f t="shared" si="5"/>
        <v>584640</v>
      </c>
      <c r="L12" s="48">
        <f t="shared" si="6"/>
        <v>428220</v>
      </c>
      <c r="M12" s="48">
        <f t="shared" si="7"/>
        <v>39105</v>
      </c>
      <c r="N12" s="49">
        <f t="shared" si="8"/>
        <v>117315</v>
      </c>
    </row>
    <row r="13" spans="1:17" x14ac:dyDescent="0.25">
      <c r="A13" s="46">
        <f t="shared" si="10"/>
        <v>1</v>
      </c>
      <c r="B13" s="46">
        <f>'Corrected data'!B12</f>
        <v>11</v>
      </c>
      <c r="C13" s="46">
        <f>'Corrected data'!C12</f>
        <v>1221</v>
      </c>
      <c r="D13" s="46">
        <f t="shared" si="0"/>
        <v>2442</v>
      </c>
      <c r="E13" s="46">
        <f t="shared" si="1"/>
        <v>1221</v>
      </c>
      <c r="F13" s="46" t="str">
        <f t="shared" si="9"/>
        <v>Summer</v>
      </c>
      <c r="G13" s="48">
        <f>C13*Cost_Icecream+'Base Scenario'!D13*cost_choc_syrup+'Base Scenario'!E13*cost_straw_syrup</f>
        <v>354090</v>
      </c>
      <c r="H13" s="48">
        <f t="shared" si="2"/>
        <v>35000</v>
      </c>
      <c r="I13" s="48">
        <f t="shared" si="3"/>
        <v>30000</v>
      </c>
      <c r="J13" s="48">
        <f t="shared" si="4"/>
        <v>10000</v>
      </c>
      <c r="K13" s="48">
        <f t="shared" si="5"/>
        <v>586080</v>
      </c>
      <c r="L13" s="48">
        <f t="shared" si="6"/>
        <v>429090</v>
      </c>
      <c r="M13" s="48">
        <f t="shared" si="7"/>
        <v>39247.5</v>
      </c>
      <c r="N13" s="49">
        <f t="shared" si="8"/>
        <v>117742.5</v>
      </c>
    </row>
    <row r="14" spans="1:17" x14ac:dyDescent="0.25">
      <c r="A14" s="46">
        <f t="shared" si="10"/>
        <v>1</v>
      </c>
      <c r="B14" s="46">
        <f>'Corrected data'!B13</f>
        <v>12</v>
      </c>
      <c r="C14" s="46">
        <f>'Corrected data'!C13</f>
        <v>1224</v>
      </c>
      <c r="D14" s="46">
        <f t="shared" si="0"/>
        <v>2448</v>
      </c>
      <c r="E14" s="46">
        <f t="shared" si="1"/>
        <v>1224</v>
      </c>
      <c r="F14" s="46" t="str">
        <f t="shared" si="9"/>
        <v>Summer</v>
      </c>
      <c r="G14" s="48">
        <f>C14*Cost_Icecream+'Base Scenario'!D14*cost_choc_syrup+'Base Scenario'!E14*cost_straw_syrup</f>
        <v>354960</v>
      </c>
      <c r="H14" s="48">
        <f t="shared" si="2"/>
        <v>35000</v>
      </c>
      <c r="I14" s="48">
        <f t="shared" si="3"/>
        <v>30000</v>
      </c>
      <c r="J14" s="48">
        <f t="shared" si="4"/>
        <v>10000</v>
      </c>
      <c r="K14" s="48">
        <f t="shared" si="5"/>
        <v>587520</v>
      </c>
      <c r="L14" s="48">
        <f t="shared" si="6"/>
        <v>429960</v>
      </c>
      <c r="M14" s="48">
        <f t="shared" si="7"/>
        <v>39390</v>
      </c>
      <c r="N14" s="49">
        <f t="shared" si="8"/>
        <v>118170</v>
      </c>
    </row>
    <row r="15" spans="1:17" x14ac:dyDescent="0.25">
      <c r="A15" s="46">
        <f t="shared" si="10"/>
        <v>2</v>
      </c>
      <c r="B15" s="46">
        <f>'Corrected data'!B14</f>
        <v>13</v>
      </c>
      <c r="C15" s="46">
        <f>'Corrected data'!C14</f>
        <v>989</v>
      </c>
      <c r="D15" s="46">
        <f t="shared" si="0"/>
        <v>1978</v>
      </c>
      <c r="E15" s="46">
        <f t="shared" si="1"/>
        <v>989</v>
      </c>
      <c r="F15" s="46" t="str">
        <f t="shared" si="9"/>
        <v>Winter</v>
      </c>
      <c r="G15" s="48">
        <f>C15*Cost_Icecream+'Base Scenario'!D15*cost_choc_syrup+'Base Scenario'!E15*cost_straw_syrup</f>
        <v>286810</v>
      </c>
      <c r="H15" s="48">
        <f t="shared" si="2"/>
        <v>35000</v>
      </c>
      <c r="I15" s="48">
        <f t="shared" si="3"/>
        <v>30000</v>
      </c>
      <c r="J15" s="48">
        <f t="shared" si="4"/>
        <v>7000</v>
      </c>
      <c r="K15" s="48">
        <f t="shared" si="5"/>
        <v>454940</v>
      </c>
      <c r="L15" s="48">
        <f t="shared" si="6"/>
        <v>358810</v>
      </c>
      <c r="M15" s="48">
        <f t="shared" si="7"/>
        <v>24032.5</v>
      </c>
      <c r="N15" s="49">
        <f t="shared" si="8"/>
        <v>72097.5</v>
      </c>
    </row>
    <row r="16" spans="1:17" x14ac:dyDescent="0.25">
      <c r="A16" s="46">
        <f t="shared" si="10"/>
        <v>2</v>
      </c>
      <c r="B16" s="46">
        <f>'Corrected data'!B15</f>
        <v>14</v>
      </c>
      <c r="C16" s="46">
        <f>'Corrected data'!C15</f>
        <v>992</v>
      </c>
      <c r="D16" s="46">
        <f t="shared" si="0"/>
        <v>1984</v>
      </c>
      <c r="E16" s="46">
        <f t="shared" si="1"/>
        <v>992</v>
      </c>
      <c r="F16" s="46" t="str">
        <f t="shared" si="9"/>
        <v>Winter</v>
      </c>
      <c r="G16" s="48">
        <f>C16*Cost_Icecream+'Base Scenario'!D16*cost_choc_syrup+'Base Scenario'!E16*cost_straw_syrup</f>
        <v>287680</v>
      </c>
      <c r="H16" s="48">
        <f t="shared" si="2"/>
        <v>35000</v>
      </c>
      <c r="I16" s="48">
        <f t="shared" si="3"/>
        <v>30000</v>
      </c>
      <c r="J16" s="48">
        <f t="shared" si="4"/>
        <v>7000</v>
      </c>
      <c r="K16" s="48">
        <f t="shared" si="5"/>
        <v>456320</v>
      </c>
      <c r="L16" s="48">
        <f t="shared" si="6"/>
        <v>359680</v>
      </c>
      <c r="M16" s="48">
        <f t="shared" si="7"/>
        <v>24160</v>
      </c>
      <c r="N16" s="49">
        <f t="shared" si="8"/>
        <v>72480</v>
      </c>
    </row>
    <row r="17" spans="1:14" x14ac:dyDescent="0.25">
      <c r="A17" s="46">
        <f t="shared" si="10"/>
        <v>2</v>
      </c>
      <c r="B17" s="46">
        <f>'Corrected data'!B16</f>
        <v>15</v>
      </c>
      <c r="C17" s="46">
        <f>'Corrected data'!C16</f>
        <v>995</v>
      </c>
      <c r="D17" s="46">
        <f t="shared" si="0"/>
        <v>1990</v>
      </c>
      <c r="E17" s="46">
        <f t="shared" si="1"/>
        <v>995</v>
      </c>
      <c r="F17" s="46" t="str">
        <f t="shared" si="9"/>
        <v>Winter</v>
      </c>
      <c r="G17" s="48">
        <f>C17*Cost_Icecream+'Base Scenario'!D17*cost_choc_syrup+'Base Scenario'!E17*cost_straw_syrup</f>
        <v>288550</v>
      </c>
      <c r="H17" s="48">
        <f t="shared" si="2"/>
        <v>35000</v>
      </c>
      <c r="I17" s="48">
        <f t="shared" si="3"/>
        <v>30000</v>
      </c>
      <c r="J17" s="48">
        <f t="shared" si="4"/>
        <v>7000</v>
      </c>
      <c r="K17" s="48">
        <f t="shared" si="5"/>
        <v>457700</v>
      </c>
      <c r="L17" s="48">
        <f t="shared" si="6"/>
        <v>360550</v>
      </c>
      <c r="M17" s="48">
        <f t="shared" si="7"/>
        <v>24287.5</v>
      </c>
      <c r="N17" s="49">
        <f t="shared" si="8"/>
        <v>72862.5</v>
      </c>
    </row>
    <row r="18" spans="1:14" x14ac:dyDescent="0.25">
      <c r="A18" s="46">
        <f t="shared" si="10"/>
        <v>2</v>
      </c>
      <c r="B18" s="46">
        <f>'Corrected data'!B17</f>
        <v>16</v>
      </c>
      <c r="C18" s="46">
        <f>'Corrected data'!C17</f>
        <v>1236</v>
      </c>
      <c r="D18" s="46">
        <f t="shared" si="0"/>
        <v>2472</v>
      </c>
      <c r="E18" s="46">
        <f t="shared" si="1"/>
        <v>1236</v>
      </c>
      <c r="F18" s="46" t="str">
        <f t="shared" si="9"/>
        <v>Summer</v>
      </c>
      <c r="G18" s="48">
        <f>C18*Cost_Icecream+'Base Scenario'!D18*cost_choc_syrup+'Base Scenario'!E18*cost_straw_syrup</f>
        <v>358440</v>
      </c>
      <c r="H18" s="48">
        <f t="shared" si="2"/>
        <v>35000</v>
      </c>
      <c r="I18" s="48">
        <f t="shared" si="3"/>
        <v>30000</v>
      </c>
      <c r="J18" s="48">
        <f t="shared" si="4"/>
        <v>10000</v>
      </c>
      <c r="K18" s="48">
        <f t="shared" si="5"/>
        <v>593280</v>
      </c>
      <c r="L18" s="48">
        <f t="shared" si="6"/>
        <v>433440</v>
      </c>
      <c r="M18" s="48">
        <f t="shared" si="7"/>
        <v>39960</v>
      </c>
      <c r="N18" s="49">
        <f t="shared" si="8"/>
        <v>119880</v>
      </c>
    </row>
    <row r="19" spans="1:14" x14ac:dyDescent="0.25">
      <c r="A19" s="46">
        <f t="shared" si="10"/>
        <v>2</v>
      </c>
      <c r="B19" s="46">
        <f>'Corrected data'!B18</f>
        <v>17</v>
      </c>
      <c r="C19" s="46">
        <f>'Corrected data'!C18</f>
        <v>1240</v>
      </c>
      <c r="D19" s="46">
        <f t="shared" si="0"/>
        <v>2480</v>
      </c>
      <c r="E19" s="46">
        <f t="shared" si="1"/>
        <v>1240</v>
      </c>
      <c r="F19" s="46" t="str">
        <f t="shared" si="9"/>
        <v>Summer</v>
      </c>
      <c r="G19" s="48">
        <f>C19*Cost_Icecream+'Base Scenario'!D19*cost_choc_syrup+'Base Scenario'!E19*cost_straw_syrup</f>
        <v>359600</v>
      </c>
      <c r="H19" s="48">
        <f t="shared" si="2"/>
        <v>35000</v>
      </c>
      <c r="I19" s="48">
        <f t="shared" si="3"/>
        <v>30000</v>
      </c>
      <c r="J19" s="48">
        <f t="shared" si="4"/>
        <v>10000</v>
      </c>
      <c r="K19" s="48">
        <f t="shared" si="5"/>
        <v>595200</v>
      </c>
      <c r="L19" s="48">
        <f t="shared" si="6"/>
        <v>434600</v>
      </c>
      <c r="M19" s="48">
        <f t="shared" si="7"/>
        <v>40150</v>
      </c>
      <c r="N19" s="49">
        <f t="shared" si="8"/>
        <v>120450</v>
      </c>
    </row>
    <row r="20" spans="1:14" x14ac:dyDescent="0.25">
      <c r="A20" s="46">
        <f t="shared" si="10"/>
        <v>2</v>
      </c>
      <c r="B20" s="46">
        <f>'Corrected data'!B19</f>
        <v>18</v>
      </c>
      <c r="C20" s="46">
        <f>'Corrected data'!C19</f>
        <v>1244</v>
      </c>
      <c r="D20" s="46">
        <f t="shared" si="0"/>
        <v>2488</v>
      </c>
      <c r="E20" s="46">
        <f t="shared" si="1"/>
        <v>1244</v>
      </c>
      <c r="F20" s="46" t="str">
        <f t="shared" si="9"/>
        <v>Summer</v>
      </c>
      <c r="G20" s="48">
        <f>C20*Cost_Icecream+'Base Scenario'!D20*cost_choc_syrup+'Base Scenario'!E20*cost_straw_syrup</f>
        <v>360760</v>
      </c>
      <c r="H20" s="48">
        <f t="shared" si="2"/>
        <v>35000</v>
      </c>
      <c r="I20" s="48">
        <f t="shared" si="3"/>
        <v>30000</v>
      </c>
      <c r="J20" s="48">
        <f t="shared" si="4"/>
        <v>10000</v>
      </c>
      <c r="K20" s="48">
        <f t="shared" si="5"/>
        <v>597120</v>
      </c>
      <c r="L20" s="48">
        <f t="shared" si="6"/>
        <v>435760</v>
      </c>
      <c r="M20" s="48">
        <f t="shared" si="7"/>
        <v>40340</v>
      </c>
      <c r="N20" s="49">
        <f t="shared" si="8"/>
        <v>121020</v>
      </c>
    </row>
    <row r="21" spans="1:14" x14ac:dyDescent="0.25">
      <c r="A21" s="46">
        <f t="shared" si="10"/>
        <v>2</v>
      </c>
      <c r="B21" s="46">
        <f>'Corrected data'!B20</f>
        <v>19</v>
      </c>
      <c r="C21" s="46">
        <f>'Corrected data'!C20</f>
        <v>1248</v>
      </c>
      <c r="D21" s="46">
        <f t="shared" si="0"/>
        <v>2496</v>
      </c>
      <c r="E21" s="46">
        <f t="shared" si="1"/>
        <v>1248</v>
      </c>
      <c r="F21" s="46" t="str">
        <f t="shared" si="9"/>
        <v>Summer</v>
      </c>
      <c r="G21" s="48">
        <f>C21*Cost_Icecream+'Base Scenario'!D21*cost_choc_syrup+'Base Scenario'!E21*cost_straw_syrup</f>
        <v>361920</v>
      </c>
      <c r="H21" s="48">
        <f t="shared" si="2"/>
        <v>35000</v>
      </c>
      <c r="I21" s="48">
        <f t="shared" si="3"/>
        <v>30000</v>
      </c>
      <c r="J21" s="48">
        <f t="shared" si="4"/>
        <v>10000</v>
      </c>
      <c r="K21" s="48">
        <f t="shared" si="5"/>
        <v>599040</v>
      </c>
      <c r="L21" s="48">
        <f t="shared" si="6"/>
        <v>436920</v>
      </c>
      <c r="M21" s="48">
        <f t="shared" si="7"/>
        <v>40530</v>
      </c>
      <c r="N21" s="49">
        <f t="shared" si="8"/>
        <v>121590</v>
      </c>
    </row>
    <row r="22" spans="1:14" x14ac:dyDescent="0.25">
      <c r="A22" s="46">
        <f t="shared" si="10"/>
        <v>2</v>
      </c>
      <c r="B22" s="46">
        <f>'Corrected data'!B21</f>
        <v>20</v>
      </c>
      <c r="C22" s="46">
        <f>'Corrected data'!C21</f>
        <v>1279</v>
      </c>
      <c r="D22" s="46">
        <f t="shared" si="0"/>
        <v>2558</v>
      </c>
      <c r="E22" s="46">
        <f t="shared" si="1"/>
        <v>1279</v>
      </c>
      <c r="F22" s="46" t="str">
        <f t="shared" si="9"/>
        <v>Summer</v>
      </c>
      <c r="G22" s="48">
        <f>C22*Cost_Icecream+'Base Scenario'!D22*cost_choc_syrup+'Base Scenario'!E22*cost_straw_syrup</f>
        <v>370910</v>
      </c>
      <c r="H22" s="48">
        <f t="shared" si="2"/>
        <v>35000</v>
      </c>
      <c r="I22" s="48">
        <f t="shared" si="3"/>
        <v>30000</v>
      </c>
      <c r="J22" s="48">
        <f t="shared" si="4"/>
        <v>10000</v>
      </c>
      <c r="K22" s="48">
        <f t="shared" si="5"/>
        <v>613920</v>
      </c>
      <c r="L22" s="48">
        <f t="shared" si="6"/>
        <v>445910</v>
      </c>
      <c r="M22" s="48">
        <f t="shared" si="7"/>
        <v>42002.5</v>
      </c>
      <c r="N22" s="49">
        <f t="shared" si="8"/>
        <v>126007.5</v>
      </c>
    </row>
    <row r="23" spans="1:14" x14ac:dyDescent="0.25">
      <c r="A23" s="46">
        <f t="shared" si="10"/>
        <v>2</v>
      </c>
      <c r="B23" s="46">
        <f>'Corrected data'!B22</f>
        <v>21</v>
      </c>
      <c r="C23" s="46">
        <f>'Corrected data'!C22</f>
        <v>1256</v>
      </c>
      <c r="D23" s="46">
        <f t="shared" si="0"/>
        <v>2512</v>
      </c>
      <c r="E23" s="46">
        <f t="shared" si="1"/>
        <v>1256</v>
      </c>
      <c r="F23" s="46" t="str">
        <f t="shared" si="9"/>
        <v>Summer</v>
      </c>
      <c r="G23" s="48">
        <f>C23*Cost_Icecream+'Base Scenario'!D23*cost_choc_syrup+'Base Scenario'!E23*cost_straw_syrup</f>
        <v>364240</v>
      </c>
      <c r="H23" s="48">
        <f t="shared" si="2"/>
        <v>35000</v>
      </c>
      <c r="I23" s="48">
        <f t="shared" si="3"/>
        <v>30000</v>
      </c>
      <c r="J23" s="48">
        <f t="shared" si="4"/>
        <v>10000</v>
      </c>
      <c r="K23" s="48">
        <f t="shared" si="5"/>
        <v>602880</v>
      </c>
      <c r="L23" s="48">
        <f t="shared" si="6"/>
        <v>439240</v>
      </c>
      <c r="M23" s="48">
        <f t="shared" si="7"/>
        <v>40910</v>
      </c>
      <c r="N23" s="49">
        <f t="shared" si="8"/>
        <v>122730</v>
      </c>
    </row>
    <row r="24" spans="1:14" x14ac:dyDescent="0.25">
      <c r="A24" s="46">
        <f t="shared" si="10"/>
        <v>2</v>
      </c>
      <c r="B24" s="46">
        <f>'Corrected data'!B23</f>
        <v>22</v>
      </c>
      <c r="C24" s="46">
        <f>'Corrected data'!C23</f>
        <v>1260</v>
      </c>
      <c r="D24" s="46">
        <f t="shared" si="0"/>
        <v>2520</v>
      </c>
      <c r="E24" s="46">
        <f t="shared" si="1"/>
        <v>1260</v>
      </c>
      <c r="F24" s="46" t="str">
        <f t="shared" si="9"/>
        <v>Summer</v>
      </c>
      <c r="G24" s="48">
        <f>C24*Cost_Icecream+'Base Scenario'!D24*cost_choc_syrup+'Base Scenario'!E24*cost_straw_syrup</f>
        <v>365400</v>
      </c>
      <c r="H24" s="48">
        <f t="shared" si="2"/>
        <v>35000</v>
      </c>
      <c r="I24" s="48">
        <f t="shared" si="3"/>
        <v>30000</v>
      </c>
      <c r="J24" s="48">
        <f t="shared" si="4"/>
        <v>10000</v>
      </c>
      <c r="K24" s="48">
        <f t="shared" si="5"/>
        <v>604800</v>
      </c>
      <c r="L24" s="48">
        <f t="shared" si="6"/>
        <v>440400</v>
      </c>
      <c r="M24" s="48">
        <f t="shared" si="7"/>
        <v>41100</v>
      </c>
      <c r="N24" s="49">
        <f t="shared" si="8"/>
        <v>123300</v>
      </c>
    </row>
    <row r="25" spans="1:14" x14ac:dyDescent="0.25">
      <c r="A25" s="46">
        <f t="shared" si="10"/>
        <v>2</v>
      </c>
      <c r="B25" s="46">
        <f>'Corrected data'!B24</f>
        <v>23</v>
      </c>
      <c r="C25" s="46">
        <f>'Corrected data'!C24</f>
        <v>1264</v>
      </c>
      <c r="D25" s="46">
        <f t="shared" si="0"/>
        <v>2528</v>
      </c>
      <c r="E25" s="46">
        <f t="shared" si="1"/>
        <v>1264</v>
      </c>
      <c r="F25" s="46" t="str">
        <f t="shared" si="9"/>
        <v>Summer</v>
      </c>
      <c r="G25" s="48">
        <f>C25*Cost_Icecream+'Base Scenario'!D25*cost_choc_syrup+'Base Scenario'!E25*cost_straw_syrup</f>
        <v>366560</v>
      </c>
      <c r="H25" s="48">
        <f t="shared" si="2"/>
        <v>35000</v>
      </c>
      <c r="I25" s="48">
        <f t="shared" si="3"/>
        <v>30000</v>
      </c>
      <c r="J25" s="48">
        <f t="shared" si="4"/>
        <v>10000</v>
      </c>
      <c r="K25" s="48">
        <f t="shared" si="5"/>
        <v>606720</v>
      </c>
      <c r="L25" s="48">
        <f t="shared" si="6"/>
        <v>441560</v>
      </c>
      <c r="M25" s="48">
        <f t="shared" si="7"/>
        <v>41290</v>
      </c>
      <c r="N25" s="49">
        <f t="shared" si="8"/>
        <v>123870</v>
      </c>
    </row>
    <row r="26" spans="1:14" x14ac:dyDescent="0.25">
      <c r="A26" s="46">
        <f t="shared" si="10"/>
        <v>2</v>
      </c>
      <c r="B26" s="46">
        <f>'Corrected data'!B25</f>
        <v>24</v>
      </c>
      <c r="C26" s="46">
        <f>'Corrected data'!C25</f>
        <v>1268</v>
      </c>
      <c r="D26" s="46">
        <f t="shared" si="0"/>
        <v>2536</v>
      </c>
      <c r="E26" s="46">
        <f t="shared" si="1"/>
        <v>1268</v>
      </c>
      <c r="F26" s="46" t="str">
        <f t="shared" si="9"/>
        <v>Summer</v>
      </c>
      <c r="G26" s="48">
        <f>C26*Cost_Icecream+'Base Scenario'!D26*cost_choc_syrup+'Base Scenario'!E26*cost_straw_syrup</f>
        <v>367720</v>
      </c>
      <c r="H26" s="48">
        <f t="shared" si="2"/>
        <v>35000</v>
      </c>
      <c r="I26" s="48">
        <f t="shared" si="3"/>
        <v>30000</v>
      </c>
      <c r="J26" s="48">
        <f t="shared" si="4"/>
        <v>10000</v>
      </c>
      <c r="K26" s="48">
        <f t="shared" si="5"/>
        <v>608640</v>
      </c>
      <c r="L26" s="48">
        <f t="shared" si="6"/>
        <v>442720</v>
      </c>
      <c r="M26" s="48">
        <f t="shared" si="7"/>
        <v>41480</v>
      </c>
      <c r="N26" s="49">
        <f t="shared" si="8"/>
        <v>124440</v>
      </c>
    </row>
    <row r="27" spans="1:14" x14ac:dyDescent="0.25">
      <c r="A27" s="46">
        <f t="shared" si="10"/>
        <v>3</v>
      </c>
      <c r="B27" s="46">
        <f>'Corrected data'!B26</f>
        <v>25</v>
      </c>
      <c r="C27" s="46">
        <f>'Corrected data'!C26</f>
        <v>1024</v>
      </c>
      <c r="D27" s="46">
        <f t="shared" si="0"/>
        <v>2048</v>
      </c>
      <c r="E27" s="46">
        <f t="shared" si="1"/>
        <v>1024</v>
      </c>
      <c r="F27" s="46" t="str">
        <f t="shared" si="9"/>
        <v>Winter</v>
      </c>
      <c r="G27" s="48">
        <f>C27*Cost_Icecream+'Base Scenario'!D27*cost_choc_syrup+'Base Scenario'!E27*cost_straw_syrup</f>
        <v>296960</v>
      </c>
      <c r="H27" s="48">
        <f t="shared" si="2"/>
        <v>35000</v>
      </c>
      <c r="I27" s="48">
        <f t="shared" si="3"/>
        <v>30000</v>
      </c>
      <c r="J27" s="48">
        <f t="shared" si="4"/>
        <v>7000</v>
      </c>
      <c r="K27" s="48">
        <f t="shared" si="5"/>
        <v>471040</v>
      </c>
      <c r="L27" s="48">
        <f t="shared" si="6"/>
        <v>368960</v>
      </c>
      <c r="M27" s="48">
        <f t="shared" si="7"/>
        <v>25520</v>
      </c>
      <c r="N27" s="49">
        <f t="shared" si="8"/>
        <v>76560</v>
      </c>
    </row>
    <row r="28" spans="1:14" x14ac:dyDescent="0.25">
      <c r="A28" s="46">
        <f t="shared" si="10"/>
        <v>3</v>
      </c>
      <c r="B28" s="46">
        <f>'Corrected data'!B27</f>
        <v>26</v>
      </c>
      <c r="C28" s="46">
        <f>'Corrected data'!C27</f>
        <v>1028</v>
      </c>
      <c r="D28" s="46">
        <f t="shared" si="0"/>
        <v>2056</v>
      </c>
      <c r="E28" s="46">
        <f t="shared" si="1"/>
        <v>1028</v>
      </c>
      <c r="F28" s="46" t="str">
        <f t="shared" si="9"/>
        <v>Winter</v>
      </c>
      <c r="G28" s="48">
        <f>C28*Cost_Icecream+'Base Scenario'!D28*cost_choc_syrup+'Base Scenario'!E28*cost_straw_syrup</f>
        <v>298120</v>
      </c>
      <c r="H28" s="48">
        <f t="shared" si="2"/>
        <v>35000</v>
      </c>
      <c r="I28" s="48">
        <f t="shared" si="3"/>
        <v>30000</v>
      </c>
      <c r="J28" s="48">
        <f t="shared" si="4"/>
        <v>7000</v>
      </c>
      <c r="K28" s="48">
        <f t="shared" si="5"/>
        <v>472880</v>
      </c>
      <c r="L28" s="48">
        <f t="shared" si="6"/>
        <v>370120</v>
      </c>
      <c r="M28" s="48">
        <f t="shared" si="7"/>
        <v>25690</v>
      </c>
      <c r="N28" s="49">
        <f t="shared" si="8"/>
        <v>77070</v>
      </c>
    </row>
    <row r="29" spans="1:14" x14ac:dyDescent="0.25">
      <c r="A29" s="46">
        <f t="shared" si="10"/>
        <v>3</v>
      </c>
      <c r="B29" s="46">
        <f>'Corrected data'!B28</f>
        <v>27</v>
      </c>
      <c r="C29" s="46">
        <f>'Corrected data'!C28</f>
        <v>1050</v>
      </c>
      <c r="D29" s="46">
        <f t="shared" si="0"/>
        <v>2100</v>
      </c>
      <c r="E29" s="46">
        <f t="shared" si="1"/>
        <v>1050</v>
      </c>
      <c r="F29" s="46" t="str">
        <f t="shared" si="9"/>
        <v>Winter</v>
      </c>
      <c r="G29" s="48">
        <f>C29*Cost_Icecream+'Base Scenario'!D29*cost_choc_syrup+'Base Scenario'!E29*cost_straw_syrup</f>
        <v>304500</v>
      </c>
      <c r="H29" s="48">
        <f t="shared" si="2"/>
        <v>35000</v>
      </c>
      <c r="I29" s="48">
        <f t="shared" si="3"/>
        <v>30000</v>
      </c>
      <c r="J29" s="48">
        <f t="shared" si="4"/>
        <v>7000</v>
      </c>
      <c r="K29" s="48">
        <f t="shared" si="5"/>
        <v>483000</v>
      </c>
      <c r="L29" s="48">
        <f t="shared" si="6"/>
        <v>376500</v>
      </c>
      <c r="M29" s="48">
        <f t="shared" si="7"/>
        <v>26625</v>
      </c>
      <c r="N29" s="49">
        <f t="shared" si="8"/>
        <v>79875</v>
      </c>
    </row>
    <row r="30" spans="1:14" x14ac:dyDescent="0.25">
      <c r="A30" s="46">
        <f t="shared" si="10"/>
        <v>3</v>
      </c>
      <c r="B30" s="46">
        <f>'Corrected data'!B29</f>
        <v>28</v>
      </c>
      <c r="C30" s="46">
        <f>'Corrected data'!C29</f>
        <v>1280</v>
      </c>
      <c r="D30" s="46">
        <f t="shared" si="0"/>
        <v>2560</v>
      </c>
      <c r="E30" s="46">
        <f t="shared" si="1"/>
        <v>1280</v>
      </c>
      <c r="F30" s="46" t="str">
        <f t="shared" si="9"/>
        <v>Summer</v>
      </c>
      <c r="G30" s="48">
        <f>C30*Cost_Icecream+'Base Scenario'!D30*cost_choc_syrup+'Base Scenario'!E30*cost_straw_syrup</f>
        <v>371200</v>
      </c>
      <c r="H30" s="48">
        <f t="shared" si="2"/>
        <v>35000</v>
      </c>
      <c r="I30" s="48">
        <f t="shared" si="3"/>
        <v>30000</v>
      </c>
      <c r="J30" s="48">
        <f t="shared" si="4"/>
        <v>10000</v>
      </c>
      <c r="K30" s="48">
        <f t="shared" si="5"/>
        <v>614400</v>
      </c>
      <c r="L30" s="48">
        <f t="shared" si="6"/>
        <v>446200</v>
      </c>
      <c r="M30" s="48">
        <f t="shared" si="7"/>
        <v>42050</v>
      </c>
      <c r="N30" s="49">
        <f t="shared" si="8"/>
        <v>126150</v>
      </c>
    </row>
    <row r="31" spans="1:14" x14ac:dyDescent="0.25">
      <c r="A31" s="46">
        <f t="shared" si="10"/>
        <v>3</v>
      </c>
      <c r="B31" s="46">
        <f>'Corrected data'!B30</f>
        <v>29</v>
      </c>
      <c r="C31" s="46">
        <f>'Corrected data'!C30</f>
        <v>1284</v>
      </c>
      <c r="D31" s="46">
        <f t="shared" si="0"/>
        <v>2568</v>
      </c>
      <c r="E31" s="46">
        <f t="shared" si="1"/>
        <v>1284</v>
      </c>
      <c r="F31" s="46" t="str">
        <f t="shared" si="9"/>
        <v>Summer</v>
      </c>
      <c r="G31" s="48">
        <f>C31*Cost_Icecream+'Base Scenario'!D31*cost_choc_syrup+'Base Scenario'!E31*cost_straw_syrup</f>
        <v>372360</v>
      </c>
      <c r="H31" s="48">
        <f t="shared" si="2"/>
        <v>35000</v>
      </c>
      <c r="I31" s="48">
        <f t="shared" si="3"/>
        <v>30000</v>
      </c>
      <c r="J31" s="48">
        <f t="shared" si="4"/>
        <v>10000</v>
      </c>
      <c r="K31" s="48">
        <f t="shared" si="5"/>
        <v>616320</v>
      </c>
      <c r="L31" s="48">
        <f t="shared" si="6"/>
        <v>447360</v>
      </c>
      <c r="M31" s="48">
        <f t="shared" si="7"/>
        <v>42240</v>
      </c>
      <c r="N31" s="49">
        <f t="shared" si="8"/>
        <v>126720</v>
      </c>
    </row>
    <row r="32" spans="1:14" x14ac:dyDescent="0.25">
      <c r="A32" s="46">
        <f t="shared" si="10"/>
        <v>3</v>
      </c>
      <c r="B32" s="46">
        <f>'Corrected data'!B31</f>
        <v>30</v>
      </c>
      <c r="C32" s="46">
        <f>'Corrected data'!C31</f>
        <v>1288</v>
      </c>
      <c r="D32" s="46">
        <f t="shared" si="0"/>
        <v>2576</v>
      </c>
      <c r="E32" s="46">
        <f t="shared" si="1"/>
        <v>1288</v>
      </c>
      <c r="F32" s="46" t="str">
        <f t="shared" si="9"/>
        <v>Summer</v>
      </c>
      <c r="G32" s="48">
        <f>C32*Cost_Icecream+'Base Scenario'!D32*cost_choc_syrup+'Base Scenario'!E32*cost_straw_syrup</f>
        <v>373520</v>
      </c>
      <c r="H32" s="48">
        <f t="shared" si="2"/>
        <v>35000</v>
      </c>
      <c r="I32" s="48">
        <f t="shared" si="3"/>
        <v>30000</v>
      </c>
      <c r="J32" s="48">
        <f t="shared" si="4"/>
        <v>10000</v>
      </c>
      <c r="K32" s="48">
        <f t="shared" si="5"/>
        <v>618240</v>
      </c>
      <c r="L32" s="48">
        <f t="shared" si="6"/>
        <v>448520</v>
      </c>
      <c r="M32" s="48">
        <f t="shared" si="7"/>
        <v>42430</v>
      </c>
      <c r="N32" s="49">
        <f t="shared" si="8"/>
        <v>127290</v>
      </c>
    </row>
    <row r="33" spans="1:14" x14ac:dyDescent="0.25">
      <c r="A33" s="46">
        <f t="shared" si="10"/>
        <v>3</v>
      </c>
      <c r="B33" s="46">
        <f>'Corrected data'!B32</f>
        <v>31</v>
      </c>
      <c r="C33" s="46">
        <f>'Corrected data'!C32</f>
        <v>1293</v>
      </c>
      <c r="D33" s="46">
        <f t="shared" si="0"/>
        <v>2586</v>
      </c>
      <c r="E33" s="46">
        <f t="shared" si="1"/>
        <v>1293</v>
      </c>
      <c r="F33" s="46" t="str">
        <f t="shared" si="9"/>
        <v>Summer</v>
      </c>
      <c r="G33" s="48">
        <f>C33*Cost_Icecream+'Base Scenario'!D33*cost_choc_syrup+'Base Scenario'!E33*cost_straw_syrup</f>
        <v>374970</v>
      </c>
      <c r="H33" s="48">
        <f t="shared" si="2"/>
        <v>35000</v>
      </c>
      <c r="I33" s="48">
        <f t="shared" si="3"/>
        <v>30000</v>
      </c>
      <c r="J33" s="48">
        <f t="shared" si="4"/>
        <v>10000</v>
      </c>
      <c r="K33" s="48">
        <f t="shared" si="5"/>
        <v>620640</v>
      </c>
      <c r="L33" s="48">
        <f t="shared" si="6"/>
        <v>449970</v>
      </c>
      <c r="M33" s="48">
        <f t="shared" si="7"/>
        <v>42667.5</v>
      </c>
      <c r="N33" s="49">
        <f t="shared" si="8"/>
        <v>128002.5</v>
      </c>
    </row>
    <row r="34" spans="1:14" x14ac:dyDescent="0.25">
      <c r="A34" s="46">
        <f t="shared" si="10"/>
        <v>3</v>
      </c>
      <c r="B34" s="46">
        <f>'Corrected data'!B33</f>
        <v>32</v>
      </c>
      <c r="C34" s="46">
        <f>'Corrected data'!C33</f>
        <v>1350</v>
      </c>
      <c r="D34" s="46">
        <f t="shared" si="0"/>
        <v>2700</v>
      </c>
      <c r="E34" s="46">
        <f t="shared" si="1"/>
        <v>1350</v>
      </c>
      <c r="F34" s="46" t="str">
        <f t="shared" si="9"/>
        <v>Summer</v>
      </c>
      <c r="G34" s="48">
        <f>C34*Cost_Icecream+'Base Scenario'!D34*cost_choc_syrup+'Base Scenario'!E34*cost_straw_syrup</f>
        <v>391500</v>
      </c>
      <c r="H34" s="48">
        <f t="shared" si="2"/>
        <v>35000</v>
      </c>
      <c r="I34" s="48">
        <f t="shared" si="3"/>
        <v>30000</v>
      </c>
      <c r="J34" s="48">
        <f t="shared" si="4"/>
        <v>10000</v>
      </c>
      <c r="K34" s="48">
        <f t="shared" si="5"/>
        <v>648000</v>
      </c>
      <c r="L34" s="48">
        <f t="shared" si="6"/>
        <v>466500</v>
      </c>
      <c r="M34" s="48">
        <f t="shared" si="7"/>
        <v>45375</v>
      </c>
      <c r="N34" s="49">
        <f t="shared" si="8"/>
        <v>136125</v>
      </c>
    </row>
    <row r="35" spans="1:14" x14ac:dyDescent="0.25">
      <c r="A35" s="46">
        <f t="shared" si="10"/>
        <v>3</v>
      </c>
      <c r="B35" s="46">
        <f>'Corrected data'!B34</f>
        <v>33</v>
      </c>
      <c r="C35" s="46">
        <f>'Corrected data'!C34</f>
        <v>1303</v>
      </c>
      <c r="D35" s="46">
        <f t="shared" ref="D35:D66" si="11">prop_choc_syrup*C35</f>
        <v>2606</v>
      </c>
      <c r="E35" s="46">
        <f t="shared" ref="E35:E66" si="12">prop_straw_syrup*C35</f>
        <v>1303</v>
      </c>
      <c r="F35" s="46" t="str">
        <f t="shared" si="9"/>
        <v>Summer</v>
      </c>
      <c r="G35" s="48">
        <f>C35*Cost_Icecream+'Base Scenario'!D35*cost_choc_syrup+'Base Scenario'!E35*cost_straw_syrup</f>
        <v>377870</v>
      </c>
      <c r="H35" s="48">
        <f t="shared" ref="H35:H66" si="13">Rent</f>
        <v>35000</v>
      </c>
      <c r="I35" s="48">
        <f t="shared" ref="I35:I66" si="14">Salary</f>
        <v>30000</v>
      </c>
      <c r="J35" s="48">
        <f t="shared" ref="J35:J66" si="15">IF(F35="Winter",Electr_winter,Electr_Summer)</f>
        <v>10000</v>
      </c>
      <c r="K35" s="48">
        <f t="shared" ref="K35:K66" si="16">C35*IF(F35="Winter",SP_icecream_winter,SP_icecream)+D35*SP_choc_syrup+E35*SP_straw_syrup</f>
        <v>625440</v>
      </c>
      <c r="L35" s="48">
        <f t="shared" ref="L35:L66" si="17">SUM(G35:J35)</f>
        <v>452870</v>
      </c>
      <c r="M35" s="48">
        <f t="shared" ref="M35:M66" si="18">Tax_rate*(K35-L35)</f>
        <v>43142.5</v>
      </c>
      <c r="N35" s="49">
        <f t="shared" ref="N35:N66" si="19">K35-L35-M35</f>
        <v>129427.5</v>
      </c>
    </row>
    <row r="36" spans="1:14" x14ac:dyDescent="0.25">
      <c r="A36" s="46">
        <f t="shared" si="10"/>
        <v>3</v>
      </c>
      <c r="B36" s="46">
        <f>'Corrected data'!B35</f>
        <v>34</v>
      </c>
      <c r="C36" s="46">
        <f>'Corrected data'!C35</f>
        <v>1308</v>
      </c>
      <c r="D36" s="46">
        <f t="shared" si="11"/>
        <v>2616</v>
      </c>
      <c r="E36" s="46">
        <f t="shared" si="12"/>
        <v>1308</v>
      </c>
      <c r="F36" s="46" t="str">
        <f t="shared" si="9"/>
        <v>Summer</v>
      </c>
      <c r="G36" s="48">
        <f>C36*Cost_Icecream+'Base Scenario'!D36*cost_choc_syrup+'Base Scenario'!E36*cost_straw_syrup</f>
        <v>379320</v>
      </c>
      <c r="H36" s="48">
        <f t="shared" si="13"/>
        <v>35000</v>
      </c>
      <c r="I36" s="48">
        <f t="shared" si="14"/>
        <v>30000</v>
      </c>
      <c r="J36" s="48">
        <f t="shared" si="15"/>
        <v>10000</v>
      </c>
      <c r="K36" s="48">
        <f t="shared" si="16"/>
        <v>627840</v>
      </c>
      <c r="L36" s="48">
        <f t="shared" si="17"/>
        <v>454320</v>
      </c>
      <c r="M36" s="48">
        <f t="shared" si="18"/>
        <v>43380</v>
      </c>
      <c r="N36" s="49">
        <f t="shared" si="19"/>
        <v>130140</v>
      </c>
    </row>
    <row r="37" spans="1:14" x14ac:dyDescent="0.25">
      <c r="A37" s="46">
        <f t="shared" si="10"/>
        <v>3</v>
      </c>
      <c r="B37" s="46">
        <f>'Corrected data'!B36</f>
        <v>35</v>
      </c>
      <c r="C37" s="46">
        <f>'Corrected data'!C36</f>
        <v>1313</v>
      </c>
      <c r="D37" s="46">
        <f t="shared" si="11"/>
        <v>2626</v>
      </c>
      <c r="E37" s="46">
        <f t="shared" si="12"/>
        <v>1313</v>
      </c>
      <c r="F37" s="46" t="str">
        <f t="shared" si="9"/>
        <v>Summer</v>
      </c>
      <c r="G37" s="48">
        <f>C37*Cost_Icecream+'Base Scenario'!D37*cost_choc_syrup+'Base Scenario'!E37*cost_straw_syrup</f>
        <v>380770</v>
      </c>
      <c r="H37" s="48">
        <f t="shared" si="13"/>
        <v>35000</v>
      </c>
      <c r="I37" s="48">
        <f t="shared" si="14"/>
        <v>30000</v>
      </c>
      <c r="J37" s="48">
        <f t="shared" si="15"/>
        <v>10000</v>
      </c>
      <c r="K37" s="48">
        <f t="shared" si="16"/>
        <v>630240</v>
      </c>
      <c r="L37" s="48">
        <f t="shared" si="17"/>
        <v>455770</v>
      </c>
      <c r="M37" s="48">
        <f t="shared" si="18"/>
        <v>43617.5</v>
      </c>
      <c r="N37" s="49">
        <f t="shared" si="19"/>
        <v>130852.5</v>
      </c>
    </row>
    <row r="38" spans="1:14" x14ac:dyDescent="0.25">
      <c r="A38" s="46">
        <f t="shared" si="10"/>
        <v>3</v>
      </c>
      <c r="B38" s="46">
        <f>'Corrected data'!B37</f>
        <v>36</v>
      </c>
      <c r="C38" s="46">
        <f>'Corrected data'!C37</f>
        <v>1318</v>
      </c>
      <c r="D38" s="46">
        <f t="shared" si="11"/>
        <v>2636</v>
      </c>
      <c r="E38" s="46">
        <f t="shared" si="12"/>
        <v>1318</v>
      </c>
      <c r="F38" s="46" t="str">
        <f t="shared" si="9"/>
        <v>Summer</v>
      </c>
      <c r="G38" s="48">
        <f>C38*Cost_Icecream+'Base Scenario'!D38*cost_choc_syrup+'Base Scenario'!E38*cost_straw_syrup</f>
        <v>382220</v>
      </c>
      <c r="H38" s="48">
        <f t="shared" si="13"/>
        <v>35000</v>
      </c>
      <c r="I38" s="48">
        <f t="shared" si="14"/>
        <v>30000</v>
      </c>
      <c r="J38" s="48">
        <f t="shared" si="15"/>
        <v>10000</v>
      </c>
      <c r="K38" s="48">
        <f t="shared" si="16"/>
        <v>632640</v>
      </c>
      <c r="L38" s="48">
        <f t="shared" si="17"/>
        <v>457220</v>
      </c>
      <c r="M38" s="48">
        <f t="shared" si="18"/>
        <v>43855</v>
      </c>
      <c r="N38" s="49">
        <f t="shared" si="19"/>
        <v>131565</v>
      </c>
    </row>
    <row r="39" spans="1:14" x14ac:dyDescent="0.25">
      <c r="A39" s="46">
        <f t="shared" si="10"/>
        <v>4</v>
      </c>
      <c r="B39" s="46">
        <f>'Corrected data'!B38</f>
        <v>37</v>
      </c>
      <c r="C39" s="46">
        <f>'Corrected data'!C38</f>
        <v>1067</v>
      </c>
      <c r="D39" s="46">
        <f t="shared" si="11"/>
        <v>2134</v>
      </c>
      <c r="E39" s="46">
        <f t="shared" si="12"/>
        <v>1067</v>
      </c>
      <c r="F39" s="46" t="str">
        <f t="shared" si="9"/>
        <v>Winter</v>
      </c>
      <c r="G39" s="48">
        <f>C39*Cost_Icecream+'Base Scenario'!D39*cost_choc_syrup+'Base Scenario'!E39*cost_straw_syrup</f>
        <v>309430</v>
      </c>
      <c r="H39" s="48">
        <f t="shared" si="13"/>
        <v>35000</v>
      </c>
      <c r="I39" s="48">
        <f t="shared" si="14"/>
        <v>30000</v>
      </c>
      <c r="J39" s="48">
        <f t="shared" si="15"/>
        <v>7000</v>
      </c>
      <c r="K39" s="48">
        <f t="shared" si="16"/>
        <v>490820</v>
      </c>
      <c r="L39" s="48">
        <f t="shared" si="17"/>
        <v>381430</v>
      </c>
      <c r="M39" s="48">
        <f t="shared" si="18"/>
        <v>27347.5</v>
      </c>
      <c r="N39" s="49">
        <f t="shared" si="19"/>
        <v>82042.5</v>
      </c>
    </row>
    <row r="40" spans="1:14" x14ac:dyDescent="0.25">
      <c r="A40" s="46">
        <f t="shared" si="10"/>
        <v>4</v>
      </c>
      <c r="B40" s="46">
        <f>'Corrected data'!B39</f>
        <v>38</v>
      </c>
      <c r="C40" s="46">
        <f>'Corrected data'!C39</f>
        <v>1071</v>
      </c>
      <c r="D40" s="46">
        <f t="shared" si="11"/>
        <v>2142</v>
      </c>
      <c r="E40" s="46">
        <f t="shared" si="12"/>
        <v>1071</v>
      </c>
      <c r="F40" s="46" t="str">
        <f t="shared" si="9"/>
        <v>Winter</v>
      </c>
      <c r="G40" s="48">
        <f>C40*Cost_Icecream+'Base Scenario'!D40*cost_choc_syrup+'Base Scenario'!E40*cost_straw_syrup</f>
        <v>310590</v>
      </c>
      <c r="H40" s="48">
        <f t="shared" si="13"/>
        <v>35000</v>
      </c>
      <c r="I40" s="48">
        <f t="shared" si="14"/>
        <v>30000</v>
      </c>
      <c r="J40" s="48">
        <f t="shared" si="15"/>
        <v>7000</v>
      </c>
      <c r="K40" s="48">
        <f t="shared" si="16"/>
        <v>492660</v>
      </c>
      <c r="L40" s="48">
        <f t="shared" si="17"/>
        <v>382590</v>
      </c>
      <c r="M40" s="48">
        <f t="shared" si="18"/>
        <v>27517.5</v>
      </c>
      <c r="N40" s="49">
        <f t="shared" si="19"/>
        <v>82552.5</v>
      </c>
    </row>
    <row r="41" spans="1:14" x14ac:dyDescent="0.25">
      <c r="A41" s="46">
        <f t="shared" si="10"/>
        <v>4</v>
      </c>
      <c r="B41" s="46">
        <f>'Corrected data'!B40</f>
        <v>39</v>
      </c>
      <c r="C41" s="46">
        <f>'Corrected data'!C40</f>
        <v>1075</v>
      </c>
      <c r="D41" s="46">
        <f t="shared" si="11"/>
        <v>2150</v>
      </c>
      <c r="E41" s="46">
        <f t="shared" si="12"/>
        <v>1075</v>
      </c>
      <c r="F41" s="46" t="str">
        <f t="shared" si="9"/>
        <v>Winter</v>
      </c>
      <c r="G41" s="48">
        <f>C41*Cost_Icecream+'Base Scenario'!D41*cost_choc_syrup+'Base Scenario'!E41*cost_straw_syrup</f>
        <v>311750</v>
      </c>
      <c r="H41" s="48">
        <f t="shared" si="13"/>
        <v>35000</v>
      </c>
      <c r="I41" s="48">
        <f t="shared" si="14"/>
        <v>30000</v>
      </c>
      <c r="J41" s="48">
        <f t="shared" si="15"/>
        <v>7000</v>
      </c>
      <c r="K41" s="48">
        <f t="shared" si="16"/>
        <v>494500</v>
      </c>
      <c r="L41" s="48">
        <f t="shared" si="17"/>
        <v>383750</v>
      </c>
      <c r="M41" s="48">
        <f t="shared" si="18"/>
        <v>27687.5</v>
      </c>
      <c r="N41" s="49">
        <f t="shared" si="19"/>
        <v>83062.5</v>
      </c>
    </row>
    <row r="42" spans="1:14" x14ac:dyDescent="0.25">
      <c r="A42" s="46">
        <f t="shared" si="10"/>
        <v>4</v>
      </c>
      <c r="B42" s="46">
        <f>'Corrected data'!B41</f>
        <v>40</v>
      </c>
      <c r="C42" s="46">
        <f>'Corrected data'!C41</f>
        <v>1334</v>
      </c>
      <c r="D42" s="46">
        <f t="shared" si="11"/>
        <v>2668</v>
      </c>
      <c r="E42" s="46">
        <f t="shared" si="12"/>
        <v>1334</v>
      </c>
      <c r="F42" s="46" t="str">
        <f t="shared" si="9"/>
        <v>Summer</v>
      </c>
      <c r="G42" s="48">
        <f>C42*Cost_Icecream+'Base Scenario'!D42*cost_choc_syrup+'Base Scenario'!E42*cost_straw_syrup</f>
        <v>386860</v>
      </c>
      <c r="H42" s="48">
        <f t="shared" si="13"/>
        <v>35000</v>
      </c>
      <c r="I42" s="48">
        <f t="shared" si="14"/>
        <v>30000</v>
      </c>
      <c r="J42" s="48">
        <f t="shared" si="15"/>
        <v>10000</v>
      </c>
      <c r="K42" s="48">
        <f t="shared" si="16"/>
        <v>640320</v>
      </c>
      <c r="L42" s="48">
        <f t="shared" si="17"/>
        <v>461860</v>
      </c>
      <c r="M42" s="48">
        <f t="shared" si="18"/>
        <v>44615</v>
      </c>
      <c r="N42" s="49">
        <f t="shared" si="19"/>
        <v>133845</v>
      </c>
    </row>
    <row r="43" spans="1:14" x14ac:dyDescent="0.25">
      <c r="A43" s="46">
        <f t="shared" si="10"/>
        <v>4</v>
      </c>
      <c r="B43" s="46">
        <f>'Corrected data'!B42</f>
        <v>41</v>
      </c>
      <c r="C43" s="46">
        <f>'Corrected data'!C42</f>
        <v>1339</v>
      </c>
      <c r="D43" s="46">
        <f t="shared" si="11"/>
        <v>2678</v>
      </c>
      <c r="E43" s="46">
        <f t="shared" si="12"/>
        <v>1339</v>
      </c>
      <c r="F43" s="46" t="str">
        <f t="shared" si="9"/>
        <v>Summer</v>
      </c>
      <c r="G43" s="48">
        <f>C43*Cost_Icecream+'Base Scenario'!D43*cost_choc_syrup+'Base Scenario'!E43*cost_straw_syrup</f>
        <v>388310</v>
      </c>
      <c r="H43" s="48">
        <f t="shared" si="13"/>
        <v>35000</v>
      </c>
      <c r="I43" s="48">
        <f t="shared" si="14"/>
        <v>30000</v>
      </c>
      <c r="J43" s="48">
        <f t="shared" si="15"/>
        <v>10000</v>
      </c>
      <c r="K43" s="48">
        <f t="shared" si="16"/>
        <v>642720</v>
      </c>
      <c r="L43" s="48">
        <f t="shared" si="17"/>
        <v>463310</v>
      </c>
      <c r="M43" s="48">
        <f t="shared" si="18"/>
        <v>44852.5</v>
      </c>
      <c r="N43" s="49">
        <f t="shared" si="19"/>
        <v>134557.5</v>
      </c>
    </row>
    <row r="44" spans="1:14" x14ac:dyDescent="0.25">
      <c r="A44" s="46">
        <f t="shared" si="10"/>
        <v>4</v>
      </c>
      <c r="B44" s="46">
        <f>'Corrected data'!B43</f>
        <v>42</v>
      </c>
      <c r="C44" s="46">
        <f>'Corrected data'!C43</f>
        <v>1344</v>
      </c>
      <c r="D44" s="46">
        <f t="shared" si="11"/>
        <v>2688</v>
      </c>
      <c r="E44" s="46">
        <f t="shared" si="12"/>
        <v>1344</v>
      </c>
      <c r="F44" s="46" t="str">
        <f t="shared" si="9"/>
        <v>Summer</v>
      </c>
      <c r="G44" s="48">
        <f>C44*Cost_Icecream+'Base Scenario'!D44*cost_choc_syrup+'Base Scenario'!E44*cost_straw_syrup</f>
        <v>389760</v>
      </c>
      <c r="H44" s="48">
        <f t="shared" si="13"/>
        <v>35000</v>
      </c>
      <c r="I44" s="48">
        <f t="shared" si="14"/>
        <v>30000</v>
      </c>
      <c r="J44" s="48">
        <f t="shared" si="15"/>
        <v>10000</v>
      </c>
      <c r="K44" s="48">
        <f t="shared" si="16"/>
        <v>645120</v>
      </c>
      <c r="L44" s="48">
        <f t="shared" si="17"/>
        <v>464760</v>
      </c>
      <c r="M44" s="48">
        <f t="shared" si="18"/>
        <v>45090</v>
      </c>
      <c r="N44" s="49">
        <f t="shared" si="19"/>
        <v>135270</v>
      </c>
    </row>
    <row r="45" spans="1:14" x14ac:dyDescent="0.25">
      <c r="A45" s="46">
        <f t="shared" si="10"/>
        <v>4</v>
      </c>
      <c r="B45" s="46">
        <f>'Corrected data'!B44</f>
        <v>43</v>
      </c>
      <c r="C45" s="46">
        <f>'Corrected data'!C44</f>
        <v>1349</v>
      </c>
      <c r="D45" s="46">
        <f t="shared" si="11"/>
        <v>2698</v>
      </c>
      <c r="E45" s="46">
        <f t="shared" si="12"/>
        <v>1349</v>
      </c>
      <c r="F45" s="46" t="str">
        <f t="shared" si="9"/>
        <v>Summer</v>
      </c>
      <c r="G45" s="48">
        <f>C45*Cost_Icecream+'Base Scenario'!D45*cost_choc_syrup+'Base Scenario'!E45*cost_straw_syrup</f>
        <v>391210</v>
      </c>
      <c r="H45" s="48">
        <f t="shared" si="13"/>
        <v>35000</v>
      </c>
      <c r="I45" s="48">
        <f t="shared" si="14"/>
        <v>30000</v>
      </c>
      <c r="J45" s="48">
        <f t="shared" si="15"/>
        <v>10000</v>
      </c>
      <c r="K45" s="48">
        <f t="shared" si="16"/>
        <v>647520</v>
      </c>
      <c r="L45" s="48">
        <f t="shared" si="17"/>
        <v>466210</v>
      </c>
      <c r="M45" s="48">
        <f t="shared" si="18"/>
        <v>45327.5</v>
      </c>
      <c r="N45" s="49">
        <f t="shared" si="19"/>
        <v>135982.5</v>
      </c>
    </row>
    <row r="46" spans="1:14" x14ac:dyDescent="0.25">
      <c r="A46" s="46">
        <f t="shared" si="10"/>
        <v>4</v>
      </c>
      <c r="B46" s="46">
        <f>'Corrected data'!B45</f>
        <v>44</v>
      </c>
      <c r="C46" s="46">
        <f>'Corrected data'!C45</f>
        <v>1354</v>
      </c>
      <c r="D46" s="46">
        <f t="shared" si="11"/>
        <v>2708</v>
      </c>
      <c r="E46" s="46">
        <f t="shared" si="12"/>
        <v>1354</v>
      </c>
      <c r="F46" s="46" t="str">
        <f t="shared" si="9"/>
        <v>Summer</v>
      </c>
      <c r="G46" s="48">
        <f>C46*Cost_Icecream+'Base Scenario'!D46*cost_choc_syrup+'Base Scenario'!E46*cost_straw_syrup</f>
        <v>392660</v>
      </c>
      <c r="H46" s="48">
        <f t="shared" si="13"/>
        <v>35000</v>
      </c>
      <c r="I46" s="48">
        <f t="shared" si="14"/>
        <v>30000</v>
      </c>
      <c r="J46" s="48">
        <f t="shared" si="15"/>
        <v>10000</v>
      </c>
      <c r="K46" s="48">
        <f t="shared" si="16"/>
        <v>649920</v>
      </c>
      <c r="L46" s="48">
        <f t="shared" si="17"/>
        <v>467660</v>
      </c>
      <c r="M46" s="48">
        <f t="shared" si="18"/>
        <v>45565</v>
      </c>
      <c r="N46" s="49">
        <f t="shared" si="19"/>
        <v>136695</v>
      </c>
    </row>
    <row r="47" spans="1:14" x14ac:dyDescent="0.25">
      <c r="A47" s="46">
        <f t="shared" si="10"/>
        <v>4</v>
      </c>
      <c r="B47" s="46">
        <f>'Corrected data'!B46</f>
        <v>45</v>
      </c>
      <c r="C47" s="46">
        <f>'Corrected data'!C46</f>
        <v>1359</v>
      </c>
      <c r="D47" s="46">
        <f t="shared" si="11"/>
        <v>2718</v>
      </c>
      <c r="E47" s="46">
        <f t="shared" si="12"/>
        <v>1359</v>
      </c>
      <c r="F47" s="46" t="str">
        <f t="shared" si="9"/>
        <v>Summer</v>
      </c>
      <c r="G47" s="48">
        <f>C47*Cost_Icecream+'Base Scenario'!D47*cost_choc_syrup+'Base Scenario'!E47*cost_straw_syrup</f>
        <v>394110</v>
      </c>
      <c r="H47" s="48">
        <f t="shared" si="13"/>
        <v>35000</v>
      </c>
      <c r="I47" s="48">
        <f t="shared" si="14"/>
        <v>30000</v>
      </c>
      <c r="J47" s="48">
        <f t="shared" si="15"/>
        <v>10000</v>
      </c>
      <c r="K47" s="48">
        <f t="shared" si="16"/>
        <v>652320</v>
      </c>
      <c r="L47" s="48">
        <f t="shared" si="17"/>
        <v>469110</v>
      </c>
      <c r="M47" s="48">
        <f t="shared" si="18"/>
        <v>45802.5</v>
      </c>
      <c r="N47" s="49">
        <f t="shared" si="19"/>
        <v>137407.5</v>
      </c>
    </row>
    <row r="48" spans="1:14" x14ac:dyDescent="0.25">
      <c r="A48" s="46">
        <f t="shared" si="10"/>
        <v>4</v>
      </c>
      <c r="B48" s="46">
        <f>'Corrected data'!B47</f>
        <v>46</v>
      </c>
      <c r="C48" s="46">
        <f>'Corrected data'!C47</f>
        <v>1364</v>
      </c>
      <c r="D48" s="46">
        <f t="shared" si="11"/>
        <v>2728</v>
      </c>
      <c r="E48" s="46">
        <f t="shared" si="12"/>
        <v>1364</v>
      </c>
      <c r="F48" s="46" t="str">
        <f t="shared" si="9"/>
        <v>Summer</v>
      </c>
      <c r="G48" s="48">
        <f>C48*Cost_Icecream+'Base Scenario'!D48*cost_choc_syrup+'Base Scenario'!E48*cost_straw_syrup</f>
        <v>395560</v>
      </c>
      <c r="H48" s="48">
        <f t="shared" si="13"/>
        <v>35000</v>
      </c>
      <c r="I48" s="48">
        <f t="shared" si="14"/>
        <v>30000</v>
      </c>
      <c r="J48" s="48">
        <f t="shared" si="15"/>
        <v>10000</v>
      </c>
      <c r="K48" s="48">
        <f t="shared" si="16"/>
        <v>654720</v>
      </c>
      <c r="L48" s="48">
        <f t="shared" si="17"/>
        <v>470560</v>
      </c>
      <c r="M48" s="48">
        <f t="shared" si="18"/>
        <v>46040</v>
      </c>
      <c r="N48" s="49">
        <f t="shared" si="19"/>
        <v>138120</v>
      </c>
    </row>
    <row r="49" spans="1:14" x14ac:dyDescent="0.25">
      <c r="A49" s="46">
        <f t="shared" si="10"/>
        <v>4</v>
      </c>
      <c r="B49" s="46">
        <f>'Corrected data'!B48</f>
        <v>47</v>
      </c>
      <c r="C49" s="46">
        <f>'Corrected data'!C48</f>
        <v>1369</v>
      </c>
      <c r="D49" s="46">
        <f t="shared" si="11"/>
        <v>2738</v>
      </c>
      <c r="E49" s="46">
        <f t="shared" si="12"/>
        <v>1369</v>
      </c>
      <c r="F49" s="46" t="str">
        <f t="shared" si="9"/>
        <v>Summer</v>
      </c>
      <c r="G49" s="48">
        <f>C49*Cost_Icecream+'Base Scenario'!D49*cost_choc_syrup+'Base Scenario'!E49*cost_straw_syrup</f>
        <v>397010</v>
      </c>
      <c r="H49" s="48">
        <f t="shared" si="13"/>
        <v>35000</v>
      </c>
      <c r="I49" s="48">
        <f t="shared" si="14"/>
        <v>30000</v>
      </c>
      <c r="J49" s="48">
        <f t="shared" si="15"/>
        <v>10000</v>
      </c>
      <c r="K49" s="48">
        <f t="shared" si="16"/>
        <v>657120</v>
      </c>
      <c r="L49" s="48">
        <f t="shared" si="17"/>
        <v>472010</v>
      </c>
      <c r="M49" s="48">
        <f t="shared" si="18"/>
        <v>46277.5</v>
      </c>
      <c r="N49" s="49">
        <f t="shared" si="19"/>
        <v>138832.5</v>
      </c>
    </row>
    <row r="50" spans="1:14" x14ac:dyDescent="0.25">
      <c r="A50" s="46">
        <f t="shared" si="10"/>
        <v>4</v>
      </c>
      <c r="B50" s="46">
        <f>'Corrected data'!B49</f>
        <v>48</v>
      </c>
      <c r="C50" s="46">
        <f>'Corrected data'!C49</f>
        <v>1374</v>
      </c>
      <c r="D50" s="46">
        <f t="shared" si="11"/>
        <v>2748</v>
      </c>
      <c r="E50" s="46">
        <f t="shared" si="12"/>
        <v>1374</v>
      </c>
      <c r="F50" s="46" t="str">
        <f t="shared" si="9"/>
        <v>Summer</v>
      </c>
      <c r="G50" s="48">
        <f>C50*Cost_Icecream+'Base Scenario'!D50*cost_choc_syrup+'Base Scenario'!E50*cost_straw_syrup</f>
        <v>398460</v>
      </c>
      <c r="H50" s="48">
        <f t="shared" si="13"/>
        <v>35000</v>
      </c>
      <c r="I50" s="48">
        <f t="shared" si="14"/>
        <v>30000</v>
      </c>
      <c r="J50" s="48">
        <f t="shared" si="15"/>
        <v>10000</v>
      </c>
      <c r="K50" s="48">
        <f t="shared" si="16"/>
        <v>659520</v>
      </c>
      <c r="L50" s="48">
        <f t="shared" si="17"/>
        <v>473460</v>
      </c>
      <c r="M50" s="48">
        <f t="shared" si="18"/>
        <v>46515</v>
      </c>
      <c r="N50" s="49">
        <f t="shared" si="19"/>
        <v>139545</v>
      </c>
    </row>
    <row r="51" spans="1:14" x14ac:dyDescent="0.25">
      <c r="A51" s="46">
        <f t="shared" si="10"/>
        <v>5</v>
      </c>
      <c r="B51" s="46">
        <f>'Corrected data'!B50</f>
        <v>49</v>
      </c>
      <c r="C51" s="46">
        <f>'Corrected data'!C50</f>
        <v>1118</v>
      </c>
      <c r="D51" s="46">
        <f t="shared" si="11"/>
        <v>2236</v>
      </c>
      <c r="E51" s="46">
        <f t="shared" si="12"/>
        <v>1118</v>
      </c>
      <c r="F51" s="46" t="str">
        <f t="shared" si="9"/>
        <v>Winter</v>
      </c>
      <c r="G51" s="48">
        <f>C51*Cost_Icecream+'Base Scenario'!D51*cost_choc_syrup+'Base Scenario'!E51*cost_straw_syrup</f>
        <v>324220</v>
      </c>
      <c r="H51" s="48">
        <f t="shared" si="13"/>
        <v>35000</v>
      </c>
      <c r="I51" s="48">
        <f t="shared" si="14"/>
        <v>30000</v>
      </c>
      <c r="J51" s="48">
        <f t="shared" si="15"/>
        <v>7000</v>
      </c>
      <c r="K51" s="48">
        <f t="shared" si="16"/>
        <v>514280</v>
      </c>
      <c r="L51" s="48">
        <f t="shared" si="17"/>
        <v>396220</v>
      </c>
      <c r="M51" s="48">
        <f t="shared" si="18"/>
        <v>29515</v>
      </c>
      <c r="N51" s="49">
        <f t="shared" si="19"/>
        <v>88545</v>
      </c>
    </row>
    <row r="52" spans="1:14" x14ac:dyDescent="0.25">
      <c r="A52" s="46">
        <f t="shared" si="10"/>
        <v>5</v>
      </c>
      <c r="B52" s="46">
        <f>'Corrected data'!B51</f>
        <v>50</v>
      </c>
      <c r="C52" s="46">
        <f>'Corrected data'!C51</f>
        <v>1123</v>
      </c>
      <c r="D52" s="46">
        <f t="shared" si="11"/>
        <v>2246</v>
      </c>
      <c r="E52" s="46">
        <f t="shared" si="12"/>
        <v>1123</v>
      </c>
      <c r="F52" s="46" t="str">
        <f t="shared" si="9"/>
        <v>Winter</v>
      </c>
      <c r="G52" s="48">
        <f>C52*Cost_Icecream+'Base Scenario'!D52*cost_choc_syrup+'Base Scenario'!E52*cost_straw_syrup</f>
        <v>325670</v>
      </c>
      <c r="H52" s="48">
        <f t="shared" si="13"/>
        <v>35000</v>
      </c>
      <c r="I52" s="48">
        <f t="shared" si="14"/>
        <v>30000</v>
      </c>
      <c r="J52" s="48">
        <f t="shared" si="15"/>
        <v>7000</v>
      </c>
      <c r="K52" s="48">
        <f t="shared" si="16"/>
        <v>516580</v>
      </c>
      <c r="L52" s="48">
        <f t="shared" si="17"/>
        <v>397670</v>
      </c>
      <c r="M52" s="48">
        <f t="shared" si="18"/>
        <v>29727.5</v>
      </c>
      <c r="N52" s="49">
        <f t="shared" si="19"/>
        <v>89182.5</v>
      </c>
    </row>
    <row r="53" spans="1:14" x14ac:dyDescent="0.25">
      <c r="A53" s="46">
        <f t="shared" si="10"/>
        <v>5</v>
      </c>
      <c r="B53" s="46">
        <f>'Corrected data'!B52</f>
        <v>51</v>
      </c>
      <c r="C53" s="46">
        <f>'Corrected data'!C52</f>
        <v>1128</v>
      </c>
      <c r="D53" s="46">
        <f t="shared" si="11"/>
        <v>2256</v>
      </c>
      <c r="E53" s="46">
        <f t="shared" si="12"/>
        <v>1128</v>
      </c>
      <c r="F53" s="46" t="str">
        <f t="shared" si="9"/>
        <v>Winter</v>
      </c>
      <c r="G53" s="48">
        <f>C53*Cost_Icecream+'Base Scenario'!D53*cost_choc_syrup+'Base Scenario'!E53*cost_straw_syrup</f>
        <v>327120</v>
      </c>
      <c r="H53" s="48">
        <f t="shared" si="13"/>
        <v>35000</v>
      </c>
      <c r="I53" s="48">
        <f t="shared" si="14"/>
        <v>30000</v>
      </c>
      <c r="J53" s="48">
        <f t="shared" si="15"/>
        <v>7000</v>
      </c>
      <c r="K53" s="48">
        <f t="shared" si="16"/>
        <v>518880</v>
      </c>
      <c r="L53" s="48">
        <f t="shared" si="17"/>
        <v>399120</v>
      </c>
      <c r="M53" s="48">
        <f t="shared" si="18"/>
        <v>29940</v>
      </c>
      <c r="N53" s="49">
        <f t="shared" si="19"/>
        <v>89820</v>
      </c>
    </row>
    <row r="54" spans="1:14" x14ac:dyDescent="0.25">
      <c r="A54" s="46">
        <f t="shared" si="10"/>
        <v>5</v>
      </c>
      <c r="B54" s="46">
        <f>'Corrected data'!B53</f>
        <v>52</v>
      </c>
      <c r="C54" s="46">
        <f>'Corrected data'!C53</f>
        <v>1398</v>
      </c>
      <c r="D54" s="46">
        <f t="shared" si="11"/>
        <v>2796</v>
      </c>
      <c r="E54" s="46">
        <f t="shared" si="12"/>
        <v>1398</v>
      </c>
      <c r="F54" s="46" t="str">
        <f t="shared" si="9"/>
        <v>Summer</v>
      </c>
      <c r="G54" s="48">
        <f>C54*Cost_Icecream+'Base Scenario'!D54*cost_choc_syrup+'Base Scenario'!E54*cost_straw_syrup</f>
        <v>405420</v>
      </c>
      <c r="H54" s="48">
        <f t="shared" si="13"/>
        <v>35000</v>
      </c>
      <c r="I54" s="48">
        <f t="shared" si="14"/>
        <v>30000</v>
      </c>
      <c r="J54" s="48">
        <f t="shared" si="15"/>
        <v>10000</v>
      </c>
      <c r="K54" s="48">
        <f t="shared" si="16"/>
        <v>671040</v>
      </c>
      <c r="L54" s="48">
        <f t="shared" si="17"/>
        <v>480420</v>
      </c>
      <c r="M54" s="48">
        <f t="shared" si="18"/>
        <v>47655</v>
      </c>
      <c r="N54" s="49">
        <f t="shared" si="19"/>
        <v>142965</v>
      </c>
    </row>
    <row r="55" spans="1:14" x14ac:dyDescent="0.25">
      <c r="A55" s="46">
        <f t="shared" si="10"/>
        <v>5</v>
      </c>
      <c r="B55" s="46">
        <f>'Corrected data'!B54</f>
        <v>53</v>
      </c>
      <c r="C55" s="46">
        <f>'Corrected data'!C54</f>
        <v>1404</v>
      </c>
      <c r="D55" s="46">
        <f t="shared" si="11"/>
        <v>2808</v>
      </c>
      <c r="E55" s="46">
        <f t="shared" si="12"/>
        <v>1404</v>
      </c>
      <c r="F55" s="46" t="str">
        <f t="shared" si="9"/>
        <v>Summer</v>
      </c>
      <c r="G55" s="48">
        <f>C55*Cost_Icecream+'Base Scenario'!D55*cost_choc_syrup+'Base Scenario'!E55*cost_straw_syrup</f>
        <v>407160</v>
      </c>
      <c r="H55" s="48">
        <f t="shared" si="13"/>
        <v>35000</v>
      </c>
      <c r="I55" s="48">
        <f t="shared" si="14"/>
        <v>30000</v>
      </c>
      <c r="J55" s="48">
        <f t="shared" si="15"/>
        <v>10000</v>
      </c>
      <c r="K55" s="48">
        <f t="shared" si="16"/>
        <v>673920</v>
      </c>
      <c r="L55" s="48">
        <f t="shared" si="17"/>
        <v>482160</v>
      </c>
      <c r="M55" s="48">
        <f t="shared" si="18"/>
        <v>47940</v>
      </c>
      <c r="N55" s="49">
        <f t="shared" si="19"/>
        <v>143820</v>
      </c>
    </row>
    <row r="56" spans="1:14" x14ac:dyDescent="0.25">
      <c r="A56" s="46">
        <f t="shared" si="10"/>
        <v>5</v>
      </c>
      <c r="B56" s="46">
        <f>'Corrected data'!B55</f>
        <v>54</v>
      </c>
      <c r="C56" s="46">
        <f>'Corrected data'!C55</f>
        <v>1410</v>
      </c>
      <c r="D56" s="46">
        <f t="shared" si="11"/>
        <v>2820</v>
      </c>
      <c r="E56" s="46">
        <f t="shared" si="12"/>
        <v>1410</v>
      </c>
      <c r="F56" s="46" t="str">
        <f t="shared" si="9"/>
        <v>Summer</v>
      </c>
      <c r="G56" s="48">
        <f>C56*Cost_Icecream+'Base Scenario'!D56*cost_choc_syrup+'Base Scenario'!E56*cost_straw_syrup</f>
        <v>408900</v>
      </c>
      <c r="H56" s="48">
        <f t="shared" si="13"/>
        <v>35000</v>
      </c>
      <c r="I56" s="48">
        <f t="shared" si="14"/>
        <v>30000</v>
      </c>
      <c r="J56" s="48">
        <f t="shared" si="15"/>
        <v>10000</v>
      </c>
      <c r="K56" s="48">
        <f t="shared" si="16"/>
        <v>676800</v>
      </c>
      <c r="L56" s="48">
        <f t="shared" si="17"/>
        <v>483900</v>
      </c>
      <c r="M56" s="48">
        <f t="shared" si="18"/>
        <v>48225</v>
      </c>
      <c r="N56" s="49">
        <f t="shared" si="19"/>
        <v>144675</v>
      </c>
    </row>
    <row r="57" spans="1:14" x14ac:dyDescent="0.25">
      <c r="A57" s="46">
        <f t="shared" si="10"/>
        <v>5</v>
      </c>
      <c r="B57" s="46">
        <f>'Corrected data'!B56</f>
        <v>55</v>
      </c>
      <c r="C57" s="46">
        <f>'Corrected data'!C56</f>
        <v>1416</v>
      </c>
      <c r="D57" s="46">
        <f t="shared" si="11"/>
        <v>2832</v>
      </c>
      <c r="E57" s="46">
        <f t="shared" si="12"/>
        <v>1416</v>
      </c>
      <c r="F57" s="46" t="str">
        <f t="shared" si="9"/>
        <v>Summer</v>
      </c>
      <c r="G57" s="48">
        <f>C57*Cost_Icecream+'Base Scenario'!D57*cost_choc_syrup+'Base Scenario'!E57*cost_straw_syrup</f>
        <v>410640</v>
      </c>
      <c r="H57" s="48">
        <f t="shared" si="13"/>
        <v>35000</v>
      </c>
      <c r="I57" s="48">
        <f t="shared" si="14"/>
        <v>30000</v>
      </c>
      <c r="J57" s="48">
        <f t="shared" si="15"/>
        <v>10000</v>
      </c>
      <c r="K57" s="48">
        <f t="shared" si="16"/>
        <v>679680</v>
      </c>
      <c r="L57" s="48">
        <f t="shared" si="17"/>
        <v>485640</v>
      </c>
      <c r="M57" s="48">
        <f t="shared" si="18"/>
        <v>48510</v>
      </c>
      <c r="N57" s="49">
        <f t="shared" si="19"/>
        <v>145530</v>
      </c>
    </row>
    <row r="58" spans="1:14" x14ac:dyDescent="0.25">
      <c r="A58" s="46">
        <f t="shared" si="10"/>
        <v>5</v>
      </c>
      <c r="B58" s="46">
        <f>'Corrected data'!B57</f>
        <v>56</v>
      </c>
      <c r="C58" s="46">
        <f>'Corrected data'!C57</f>
        <v>1422</v>
      </c>
      <c r="D58" s="46">
        <f t="shared" si="11"/>
        <v>2844</v>
      </c>
      <c r="E58" s="46">
        <f t="shared" si="12"/>
        <v>1422</v>
      </c>
      <c r="F58" s="46" t="str">
        <f t="shared" si="9"/>
        <v>Summer</v>
      </c>
      <c r="G58" s="48">
        <f>C58*Cost_Icecream+'Base Scenario'!D58*cost_choc_syrup+'Base Scenario'!E58*cost_straw_syrup</f>
        <v>412380</v>
      </c>
      <c r="H58" s="48">
        <f t="shared" si="13"/>
        <v>35000</v>
      </c>
      <c r="I58" s="48">
        <f t="shared" si="14"/>
        <v>30000</v>
      </c>
      <c r="J58" s="48">
        <f t="shared" si="15"/>
        <v>10000</v>
      </c>
      <c r="K58" s="48">
        <f t="shared" si="16"/>
        <v>682560</v>
      </c>
      <c r="L58" s="48">
        <f t="shared" si="17"/>
        <v>487380</v>
      </c>
      <c r="M58" s="48">
        <f t="shared" si="18"/>
        <v>48795</v>
      </c>
      <c r="N58" s="49">
        <f t="shared" si="19"/>
        <v>146385</v>
      </c>
    </row>
    <row r="59" spans="1:14" x14ac:dyDescent="0.25">
      <c r="A59" s="46">
        <f t="shared" si="10"/>
        <v>5</v>
      </c>
      <c r="B59" s="46">
        <f>'Corrected data'!B58</f>
        <v>57</v>
      </c>
      <c r="C59" s="46">
        <f>'Corrected data'!C58</f>
        <v>1428</v>
      </c>
      <c r="D59" s="46">
        <f t="shared" si="11"/>
        <v>2856</v>
      </c>
      <c r="E59" s="46">
        <f t="shared" si="12"/>
        <v>1428</v>
      </c>
      <c r="F59" s="46" t="str">
        <f t="shared" si="9"/>
        <v>Summer</v>
      </c>
      <c r="G59" s="48">
        <f>C59*Cost_Icecream+'Base Scenario'!D59*cost_choc_syrup+'Base Scenario'!E59*cost_straw_syrup</f>
        <v>414120</v>
      </c>
      <c r="H59" s="48">
        <f t="shared" si="13"/>
        <v>35000</v>
      </c>
      <c r="I59" s="48">
        <f t="shared" si="14"/>
        <v>30000</v>
      </c>
      <c r="J59" s="48">
        <f t="shared" si="15"/>
        <v>10000</v>
      </c>
      <c r="K59" s="48">
        <f t="shared" si="16"/>
        <v>685440</v>
      </c>
      <c r="L59" s="48">
        <f t="shared" si="17"/>
        <v>489120</v>
      </c>
      <c r="M59" s="48">
        <f t="shared" si="18"/>
        <v>49080</v>
      </c>
      <c r="N59" s="49">
        <f t="shared" si="19"/>
        <v>147240</v>
      </c>
    </row>
    <row r="60" spans="1:14" x14ac:dyDescent="0.25">
      <c r="A60" s="46">
        <f t="shared" si="10"/>
        <v>5</v>
      </c>
      <c r="B60" s="46">
        <f>'Corrected data'!B59</f>
        <v>58</v>
      </c>
      <c r="C60" s="46">
        <f>'Corrected data'!C59</f>
        <v>1434</v>
      </c>
      <c r="D60" s="46">
        <f t="shared" si="11"/>
        <v>2868</v>
      </c>
      <c r="E60" s="46">
        <f t="shared" si="12"/>
        <v>1434</v>
      </c>
      <c r="F60" s="46" t="str">
        <f t="shared" si="9"/>
        <v>Summer</v>
      </c>
      <c r="G60" s="48">
        <f>C60*Cost_Icecream+'Base Scenario'!D60*cost_choc_syrup+'Base Scenario'!E60*cost_straw_syrup</f>
        <v>415860</v>
      </c>
      <c r="H60" s="48">
        <f t="shared" si="13"/>
        <v>35000</v>
      </c>
      <c r="I60" s="48">
        <f t="shared" si="14"/>
        <v>30000</v>
      </c>
      <c r="J60" s="48">
        <f t="shared" si="15"/>
        <v>10000</v>
      </c>
      <c r="K60" s="48">
        <f t="shared" si="16"/>
        <v>688320</v>
      </c>
      <c r="L60" s="48">
        <f t="shared" si="17"/>
        <v>490860</v>
      </c>
      <c r="M60" s="48">
        <f t="shared" si="18"/>
        <v>49365</v>
      </c>
      <c r="N60" s="49">
        <f t="shared" si="19"/>
        <v>148095</v>
      </c>
    </row>
    <row r="61" spans="1:14" x14ac:dyDescent="0.25">
      <c r="A61" s="46">
        <f t="shared" si="10"/>
        <v>5</v>
      </c>
      <c r="B61" s="46">
        <f>'Corrected data'!B60</f>
        <v>59</v>
      </c>
      <c r="C61" s="46">
        <f>'Corrected data'!C60</f>
        <v>1440</v>
      </c>
      <c r="D61" s="46">
        <f t="shared" si="11"/>
        <v>2880</v>
      </c>
      <c r="E61" s="46">
        <f t="shared" si="12"/>
        <v>1440</v>
      </c>
      <c r="F61" s="46" t="str">
        <f t="shared" si="9"/>
        <v>Summer</v>
      </c>
      <c r="G61" s="48">
        <f>C61*Cost_Icecream+'Base Scenario'!D61*cost_choc_syrup+'Base Scenario'!E61*cost_straw_syrup</f>
        <v>417600</v>
      </c>
      <c r="H61" s="48">
        <f t="shared" si="13"/>
        <v>35000</v>
      </c>
      <c r="I61" s="48">
        <f t="shared" si="14"/>
        <v>30000</v>
      </c>
      <c r="J61" s="48">
        <f t="shared" si="15"/>
        <v>10000</v>
      </c>
      <c r="K61" s="48">
        <f t="shared" si="16"/>
        <v>691200</v>
      </c>
      <c r="L61" s="48">
        <f t="shared" si="17"/>
        <v>492600</v>
      </c>
      <c r="M61" s="48">
        <f t="shared" si="18"/>
        <v>49650</v>
      </c>
      <c r="N61" s="49">
        <f t="shared" si="19"/>
        <v>148950</v>
      </c>
    </row>
    <row r="62" spans="1:14" x14ac:dyDescent="0.25">
      <c r="A62" s="46">
        <f t="shared" si="10"/>
        <v>5</v>
      </c>
      <c r="B62" s="46">
        <f>'Corrected data'!B61</f>
        <v>60</v>
      </c>
      <c r="C62" s="46">
        <f>'Corrected data'!C61</f>
        <v>1446</v>
      </c>
      <c r="D62" s="46">
        <f t="shared" si="11"/>
        <v>2892</v>
      </c>
      <c r="E62" s="46">
        <f t="shared" si="12"/>
        <v>1446</v>
      </c>
      <c r="F62" s="46" t="str">
        <f t="shared" si="9"/>
        <v>Summer</v>
      </c>
      <c r="G62" s="48">
        <f>C62*Cost_Icecream+'Base Scenario'!D62*cost_choc_syrup+'Base Scenario'!E62*cost_straw_syrup</f>
        <v>419340</v>
      </c>
      <c r="H62" s="48">
        <f t="shared" si="13"/>
        <v>35000</v>
      </c>
      <c r="I62" s="48">
        <f t="shared" si="14"/>
        <v>30000</v>
      </c>
      <c r="J62" s="48">
        <f t="shared" si="15"/>
        <v>10000</v>
      </c>
      <c r="K62" s="48">
        <f t="shared" si="16"/>
        <v>694080</v>
      </c>
      <c r="L62" s="48">
        <f t="shared" si="17"/>
        <v>494340</v>
      </c>
      <c r="M62" s="48">
        <f t="shared" si="18"/>
        <v>49935</v>
      </c>
      <c r="N62" s="49">
        <f t="shared" si="19"/>
        <v>149805</v>
      </c>
    </row>
    <row r="63" spans="1:14" x14ac:dyDescent="0.25">
      <c r="A63" s="46">
        <f t="shared" si="10"/>
        <v>6</v>
      </c>
      <c r="B63" s="46">
        <f>'Corrected data'!B62</f>
        <v>61</v>
      </c>
      <c r="C63" s="46">
        <f>'Corrected data'!C62</f>
        <v>1179</v>
      </c>
      <c r="D63" s="46">
        <f t="shared" si="11"/>
        <v>2358</v>
      </c>
      <c r="E63" s="46">
        <f t="shared" si="12"/>
        <v>1179</v>
      </c>
      <c r="F63" s="46" t="str">
        <f t="shared" si="9"/>
        <v>Winter</v>
      </c>
      <c r="G63" s="48">
        <f>C63*Cost_Icecream+'Base Scenario'!D63*cost_choc_syrup+'Base Scenario'!E63*cost_straw_syrup</f>
        <v>341910</v>
      </c>
      <c r="H63" s="48">
        <f t="shared" si="13"/>
        <v>35000</v>
      </c>
      <c r="I63" s="48">
        <f t="shared" si="14"/>
        <v>30000</v>
      </c>
      <c r="J63" s="48">
        <f t="shared" si="15"/>
        <v>7000</v>
      </c>
      <c r="K63" s="48">
        <f t="shared" si="16"/>
        <v>542340</v>
      </c>
      <c r="L63" s="48">
        <f t="shared" si="17"/>
        <v>413910</v>
      </c>
      <c r="M63" s="48">
        <f t="shared" si="18"/>
        <v>32107.5</v>
      </c>
      <c r="N63" s="49">
        <f t="shared" si="19"/>
        <v>96322.5</v>
      </c>
    </row>
    <row r="64" spans="1:14" x14ac:dyDescent="0.25">
      <c r="A64" s="46">
        <f t="shared" si="10"/>
        <v>6</v>
      </c>
      <c r="B64" s="46">
        <f>'Corrected data'!B63</f>
        <v>62</v>
      </c>
      <c r="C64" s="46">
        <f>'Corrected data'!C63</f>
        <v>1185</v>
      </c>
      <c r="D64" s="46">
        <f t="shared" si="11"/>
        <v>2370</v>
      </c>
      <c r="E64" s="46">
        <f t="shared" si="12"/>
        <v>1185</v>
      </c>
      <c r="F64" s="46" t="str">
        <f t="shared" si="9"/>
        <v>Winter</v>
      </c>
      <c r="G64" s="48">
        <f>C64*Cost_Icecream+'Base Scenario'!D64*cost_choc_syrup+'Base Scenario'!E64*cost_straw_syrup</f>
        <v>343650</v>
      </c>
      <c r="H64" s="48">
        <f t="shared" si="13"/>
        <v>35000</v>
      </c>
      <c r="I64" s="48">
        <f t="shared" si="14"/>
        <v>30000</v>
      </c>
      <c r="J64" s="48">
        <f t="shared" si="15"/>
        <v>7000</v>
      </c>
      <c r="K64" s="48">
        <f t="shared" si="16"/>
        <v>545100</v>
      </c>
      <c r="L64" s="48">
        <f t="shared" si="17"/>
        <v>415650</v>
      </c>
      <c r="M64" s="48">
        <f t="shared" si="18"/>
        <v>32362.5</v>
      </c>
      <c r="N64" s="49">
        <f t="shared" si="19"/>
        <v>97087.5</v>
      </c>
    </row>
    <row r="65" spans="1:14" x14ac:dyDescent="0.25">
      <c r="A65" s="46">
        <f t="shared" si="10"/>
        <v>6</v>
      </c>
      <c r="B65" s="46">
        <f>'Corrected data'!B64</f>
        <v>63</v>
      </c>
      <c r="C65" s="46">
        <f>'Corrected data'!C64</f>
        <v>1191</v>
      </c>
      <c r="D65" s="46">
        <f t="shared" si="11"/>
        <v>2382</v>
      </c>
      <c r="E65" s="46">
        <f t="shared" si="12"/>
        <v>1191</v>
      </c>
      <c r="F65" s="46" t="str">
        <f t="shared" si="9"/>
        <v>Winter</v>
      </c>
      <c r="G65" s="48">
        <f>C65*Cost_Icecream+'Base Scenario'!D65*cost_choc_syrup+'Base Scenario'!E65*cost_straw_syrup</f>
        <v>345390</v>
      </c>
      <c r="H65" s="48">
        <f t="shared" si="13"/>
        <v>35000</v>
      </c>
      <c r="I65" s="48">
        <f t="shared" si="14"/>
        <v>30000</v>
      </c>
      <c r="J65" s="48">
        <f t="shared" si="15"/>
        <v>7000</v>
      </c>
      <c r="K65" s="48">
        <f t="shared" si="16"/>
        <v>547860</v>
      </c>
      <c r="L65" s="48">
        <f t="shared" si="17"/>
        <v>417390</v>
      </c>
      <c r="M65" s="48">
        <f t="shared" si="18"/>
        <v>32617.5</v>
      </c>
      <c r="N65" s="49">
        <f t="shared" si="19"/>
        <v>97852.5</v>
      </c>
    </row>
    <row r="66" spans="1:14" x14ac:dyDescent="0.25">
      <c r="A66" s="46">
        <f t="shared" si="10"/>
        <v>6</v>
      </c>
      <c r="B66" s="46">
        <f>'Corrected data'!B65</f>
        <v>64</v>
      </c>
      <c r="C66" s="46">
        <f>'Corrected data'!C65</f>
        <v>1473</v>
      </c>
      <c r="D66" s="46">
        <f t="shared" si="11"/>
        <v>2946</v>
      </c>
      <c r="E66" s="46">
        <f t="shared" si="12"/>
        <v>1473</v>
      </c>
      <c r="F66" s="46" t="str">
        <f t="shared" si="9"/>
        <v>Summer</v>
      </c>
      <c r="G66" s="48">
        <f>C66*Cost_Icecream+'Base Scenario'!D66*cost_choc_syrup+'Base Scenario'!E66*cost_straw_syrup</f>
        <v>427170</v>
      </c>
      <c r="H66" s="48">
        <f t="shared" si="13"/>
        <v>35000</v>
      </c>
      <c r="I66" s="48">
        <f t="shared" si="14"/>
        <v>30000</v>
      </c>
      <c r="J66" s="48">
        <f t="shared" si="15"/>
        <v>10000</v>
      </c>
      <c r="K66" s="48">
        <f t="shared" si="16"/>
        <v>707040</v>
      </c>
      <c r="L66" s="48">
        <f t="shared" si="17"/>
        <v>502170</v>
      </c>
      <c r="M66" s="48">
        <f t="shared" si="18"/>
        <v>51217.5</v>
      </c>
      <c r="N66" s="49">
        <f t="shared" si="19"/>
        <v>153652.5</v>
      </c>
    </row>
    <row r="67" spans="1:14" x14ac:dyDescent="0.25">
      <c r="A67" s="46">
        <f t="shared" si="10"/>
        <v>6</v>
      </c>
      <c r="B67" s="46">
        <f>'Corrected data'!B66</f>
        <v>65</v>
      </c>
      <c r="C67" s="46">
        <f>'Corrected data'!C66</f>
        <v>1481</v>
      </c>
      <c r="D67" s="46">
        <f t="shared" ref="D67:D98" si="20">prop_choc_syrup*C67</f>
        <v>2962</v>
      </c>
      <c r="E67" s="46">
        <f t="shared" ref="E67:E98" si="21">prop_straw_syrup*C67</f>
        <v>1481</v>
      </c>
      <c r="F67" s="46" t="str">
        <f t="shared" si="9"/>
        <v>Summer</v>
      </c>
      <c r="G67" s="48">
        <f>C67*Cost_Icecream+'Base Scenario'!D67*cost_choc_syrup+'Base Scenario'!E67*cost_straw_syrup</f>
        <v>429490</v>
      </c>
      <c r="H67" s="48">
        <f t="shared" ref="H67:H98" si="22">Rent</f>
        <v>35000</v>
      </c>
      <c r="I67" s="48">
        <f t="shared" ref="I67:I98" si="23">Salary</f>
        <v>30000</v>
      </c>
      <c r="J67" s="48">
        <f t="shared" ref="J67:J98" si="24">IF(F67="Winter",Electr_winter,Electr_Summer)</f>
        <v>10000</v>
      </c>
      <c r="K67" s="48">
        <f t="shared" ref="K67:K98" si="25">C67*IF(F67="Winter",SP_icecream_winter,SP_icecream)+D67*SP_choc_syrup+E67*SP_straw_syrup</f>
        <v>710880</v>
      </c>
      <c r="L67" s="48">
        <f t="shared" ref="L67:L98" si="26">SUM(G67:J67)</f>
        <v>504490</v>
      </c>
      <c r="M67" s="48">
        <f t="shared" ref="M67:M98" si="27">Tax_rate*(K67-L67)</f>
        <v>51597.5</v>
      </c>
      <c r="N67" s="49">
        <f t="shared" ref="N67:N98" si="28">K67-L67-M67</f>
        <v>154792.5</v>
      </c>
    </row>
    <row r="68" spans="1:14" x14ac:dyDescent="0.25">
      <c r="A68" s="46">
        <f t="shared" si="10"/>
        <v>6</v>
      </c>
      <c r="B68" s="46">
        <f>'Corrected data'!B67</f>
        <v>66</v>
      </c>
      <c r="C68" s="46">
        <f>'Corrected data'!C67</f>
        <v>1488</v>
      </c>
      <c r="D68" s="46">
        <f t="shared" si="20"/>
        <v>2976</v>
      </c>
      <c r="E68" s="46">
        <f t="shared" si="21"/>
        <v>1488</v>
      </c>
      <c r="F68" s="46" t="str">
        <f t="shared" ref="F68:F122" si="29">IF(AND(MOD(B68,12)&lt;=3, MOD(B68,12)&lt;&gt;0),"Winter","Summer")</f>
        <v>Summer</v>
      </c>
      <c r="G68" s="48">
        <f>C68*Cost_Icecream+'Base Scenario'!D68*cost_choc_syrup+'Base Scenario'!E68*cost_straw_syrup</f>
        <v>431520</v>
      </c>
      <c r="H68" s="48">
        <f t="shared" si="22"/>
        <v>35000</v>
      </c>
      <c r="I68" s="48">
        <f t="shared" si="23"/>
        <v>30000</v>
      </c>
      <c r="J68" s="48">
        <f t="shared" si="24"/>
        <v>10000</v>
      </c>
      <c r="K68" s="48">
        <f t="shared" si="25"/>
        <v>714240</v>
      </c>
      <c r="L68" s="48">
        <f t="shared" si="26"/>
        <v>506520</v>
      </c>
      <c r="M68" s="48">
        <f t="shared" si="27"/>
        <v>51930</v>
      </c>
      <c r="N68" s="49">
        <f t="shared" si="28"/>
        <v>155790</v>
      </c>
    </row>
    <row r="69" spans="1:14" x14ac:dyDescent="0.25">
      <c r="A69" s="46">
        <f t="shared" ref="A69:A122" si="30">IF(MOD(B68,12)=0,A68+1,A68)</f>
        <v>6</v>
      </c>
      <c r="B69" s="46">
        <f>'Corrected data'!B68</f>
        <v>67</v>
      </c>
      <c r="C69" s="46">
        <f>'Corrected data'!C68</f>
        <v>1495</v>
      </c>
      <c r="D69" s="46">
        <f t="shared" si="20"/>
        <v>2990</v>
      </c>
      <c r="E69" s="46">
        <f t="shared" si="21"/>
        <v>1495</v>
      </c>
      <c r="F69" s="46" t="str">
        <f t="shared" si="29"/>
        <v>Summer</v>
      </c>
      <c r="G69" s="48">
        <f>C69*Cost_Icecream+'Base Scenario'!D69*cost_choc_syrup+'Base Scenario'!E69*cost_straw_syrup</f>
        <v>433550</v>
      </c>
      <c r="H69" s="48">
        <f t="shared" si="22"/>
        <v>35000</v>
      </c>
      <c r="I69" s="48">
        <f t="shared" si="23"/>
        <v>30000</v>
      </c>
      <c r="J69" s="48">
        <f t="shared" si="24"/>
        <v>10000</v>
      </c>
      <c r="K69" s="48">
        <f t="shared" si="25"/>
        <v>717600</v>
      </c>
      <c r="L69" s="48">
        <f t="shared" si="26"/>
        <v>508550</v>
      </c>
      <c r="M69" s="48">
        <f t="shared" si="27"/>
        <v>52262.5</v>
      </c>
      <c r="N69" s="49">
        <f t="shared" si="28"/>
        <v>156787.5</v>
      </c>
    </row>
    <row r="70" spans="1:14" x14ac:dyDescent="0.25">
      <c r="A70" s="46">
        <f t="shared" si="30"/>
        <v>6</v>
      </c>
      <c r="B70" s="46">
        <f>'Corrected data'!B69</f>
        <v>68</v>
      </c>
      <c r="C70" s="46">
        <f>'Corrected data'!C69</f>
        <v>1502</v>
      </c>
      <c r="D70" s="46">
        <f t="shared" si="20"/>
        <v>3004</v>
      </c>
      <c r="E70" s="46">
        <f t="shared" si="21"/>
        <v>1502</v>
      </c>
      <c r="F70" s="46" t="str">
        <f t="shared" si="29"/>
        <v>Summer</v>
      </c>
      <c r="G70" s="48">
        <f>C70*Cost_Icecream+'Base Scenario'!D70*cost_choc_syrup+'Base Scenario'!E70*cost_straw_syrup</f>
        <v>435580</v>
      </c>
      <c r="H70" s="48">
        <f t="shared" si="22"/>
        <v>35000</v>
      </c>
      <c r="I70" s="48">
        <f t="shared" si="23"/>
        <v>30000</v>
      </c>
      <c r="J70" s="48">
        <f t="shared" si="24"/>
        <v>10000</v>
      </c>
      <c r="K70" s="48">
        <f t="shared" si="25"/>
        <v>720960</v>
      </c>
      <c r="L70" s="48">
        <f t="shared" si="26"/>
        <v>510580</v>
      </c>
      <c r="M70" s="48">
        <f t="shared" si="27"/>
        <v>52595</v>
      </c>
      <c r="N70" s="49">
        <f t="shared" si="28"/>
        <v>157785</v>
      </c>
    </row>
    <row r="71" spans="1:14" x14ac:dyDescent="0.25">
      <c r="A71" s="46">
        <f t="shared" si="30"/>
        <v>6</v>
      </c>
      <c r="B71" s="46">
        <f>'Corrected data'!B70</f>
        <v>69</v>
      </c>
      <c r="C71" s="46">
        <f>'Corrected data'!C70</f>
        <v>1510</v>
      </c>
      <c r="D71" s="46">
        <f t="shared" si="20"/>
        <v>3020</v>
      </c>
      <c r="E71" s="46">
        <f t="shared" si="21"/>
        <v>1510</v>
      </c>
      <c r="F71" s="46" t="str">
        <f t="shared" si="29"/>
        <v>Summer</v>
      </c>
      <c r="G71" s="48">
        <f>C71*Cost_Icecream+'Base Scenario'!D71*cost_choc_syrup+'Base Scenario'!E71*cost_straw_syrup</f>
        <v>437900</v>
      </c>
      <c r="H71" s="48">
        <f t="shared" si="22"/>
        <v>35000</v>
      </c>
      <c r="I71" s="48">
        <f t="shared" si="23"/>
        <v>30000</v>
      </c>
      <c r="J71" s="48">
        <f t="shared" si="24"/>
        <v>10000</v>
      </c>
      <c r="K71" s="48">
        <f t="shared" si="25"/>
        <v>724800</v>
      </c>
      <c r="L71" s="48">
        <f t="shared" si="26"/>
        <v>512900</v>
      </c>
      <c r="M71" s="48">
        <f t="shared" si="27"/>
        <v>52975</v>
      </c>
      <c r="N71" s="49">
        <f t="shared" si="28"/>
        <v>158925</v>
      </c>
    </row>
    <row r="72" spans="1:14" x14ac:dyDescent="0.25">
      <c r="A72" s="46">
        <f t="shared" si="30"/>
        <v>6</v>
      </c>
      <c r="B72" s="46">
        <f>'Corrected data'!B71</f>
        <v>70</v>
      </c>
      <c r="C72" s="46">
        <f>'Corrected data'!C71</f>
        <v>1518</v>
      </c>
      <c r="D72" s="46">
        <f t="shared" si="20"/>
        <v>3036</v>
      </c>
      <c r="E72" s="46">
        <f t="shared" si="21"/>
        <v>1518</v>
      </c>
      <c r="F72" s="46" t="str">
        <f t="shared" si="29"/>
        <v>Summer</v>
      </c>
      <c r="G72" s="48">
        <f>C72*Cost_Icecream+'Base Scenario'!D72*cost_choc_syrup+'Base Scenario'!E72*cost_straw_syrup</f>
        <v>440220</v>
      </c>
      <c r="H72" s="48">
        <f t="shared" si="22"/>
        <v>35000</v>
      </c>
      <c r="I72" s="48">
        <f t="shared" si="23"/>
        <v>30000</v>
      </c>
      <c r="J72" s="48">
        <f t="shared" si="24"/>
        <v>10000</v>
      </c>
      <c r="K72" s="48">
        <f t="shared" si="25"/>
        <v>728640</v>
      </c>
      <c r="L72" s="48">
        <f t="shared" si="26"/>
        <v>515220</v>
      </c>
      <c r="M72" s="48">
        <f t="shared" si="27"/>
        <v>53355</v>
      </c>
      <c r="N72" s="49">
        <f t="shared" si="28"/>
        <v>160065</v>
      </c>
    </row>
    <row r="73" spans="1:14" x14ac:dyDescent="0.25">
      <c r="A73" s="46">
        <f t="shared" si="30"/>
        <v>6</v>
      </c>
      <c r="B73" s="46">
        <f>'Corrected data'!B72</f>
        <v>71</v>
      </c>
      <c r="C73" s="46">
        <f>'Corrected data'!C72</f>
        <v>1526</v>
      </c>
      <c r="D73" s="46">
        <f t="shared" si="20"/>
        <v>3052</v>
      </c>
      <c r="E73" s="46">
        <f t="shared" si="21"/>
        <v>1526</v>
      </c>
      <c r="F73" s="46" t="str">
        <f t="shared" si="29"/>
        <v>Summer</v>
      </c>
      <c r="G73" s="48">
        <f>C73*Cost_Icecream+'Base Scenario'!D73*cost_choc_syrup+'Base Scenario'!E73*cost_straw_syrup</f>
        <v>442540</v>
      </c>
      <c r="H73" s="48">
        <f t="shared" si="22"/>
        <v>35000</v>
      </c>
      <c r="I73" s="48">
        <f t="shared" si="23"/>
        <v>30000</v>
      </c>
      <c r="J73" s="48">
        <f t="shared" si="24"/>
        <v>10000</v>
      </c>
      <c r="K73" s="48">
        <f t="shared" si="25"/>
        <v>732480</v>
      </c>
      <c r="L73" s="48">
        <f t="shared" si="26"/>
        <v>517540</v>
      </c>
      <c r="M73" s="48">
        <f t="shared" si="27"/>
        <v>53735</v>
      </c>
      <c r="N73" s="49">
        <f t="shared" si="28"/>
        <v>161205</v>
      </c>
    </row>
    <row r="74" spans="1:14" x14ac:dyDescent="0.25">
      <c r="A74" s="46">
        <f t="shared" si="30"/>
        <v>6</v>
      </c>
      <c r="B74" s="46">
        <f>'Corrected data'!B73</f>
        <v>72</v>
      </c>
      <c r="C74" s="46">
        <f>'Corrected data'!C73</f>
        <v>1534</v>
      </c>
      <c r="D74" s="46">
        <f t="shared" si="20"/>
        <v>3068</v>
      </c>
      <c r="E74" s="46">
        <f t="shared" si="21"/>
        <v>1534</v>
      </c>
      <c r="F74" s="46" t="str">
        <f t="shared" si="29"/>
        <v>Summer</v>
      </c>
      <c r="G74" s="48">
        <f>C74*Cost_Icecream+'Base Scenario'!D74*cost_choc_syrup+'Base Scenario'!E74*cost_straw_syrup</f>
        <v>444860</v>
      </c>
      <c r="H74" s="48">
        <f t="shared" si="22"/>
        <v>35000</v>
      </c>
      <c r="I74" s="48">
        <f t="shared" si="23"/>
        <v>30000</v>
      </c>
      <c r="J74" s="48">
        <f t="shared" si="24"/>
        <v>10000</v>
      </c>
      <c r="K74" s="48">
        <f t="shared" si="25"/>
        <v>736320</v>
      </c>
      <c r="L74" s="48">
        <f t="shared" si="26"/>
        <v>519860</v>
      </c>
      <c r="M74" s="48">
        <f t="shared" si="27"/>
        <v>54115</v>
      </c>
      <c r="N74" s="49">
        <f t="shared" si="28"/>
        <v>162345</v>
      </c>
    </row>
    <row r="75" spans="1:14" x14ac:dyDescent="0.25">
      <c r="A75" s="46">
        <f t="shared" si="30"/>
        <v>7</v>
      </c>
      <c r="B75" s="46">
        <f>'Corrected data'!B74</f>
        <v>73</v>
      </c>
      <c r="C75" s="46">
        <f>'Corrected data'!C74</f>
        <v>1249</v>
      </c>
      <c r="D75" s="46">
        <f t="shared" si="20"/>
        <v>2498</v>
      </c>
      <c r="E75" s="46">
        <f t="shared" si="21"/>
        <v>1249</v>
      </c>
      <c r="F75" s="46" t="str">
        <f t="shared" si="29"/>
        <v>Winter</v>
      </c>
      <c r="G75" s="48">
        <f>C75*Cost_Icecream+'Base Scenario'!D75*cost_choc_syrup+'Base Scenario'!E75*cost_straw_syrup</f>
        <v>362210</v>
      </c>
      <c r="H75" s="48">
        <f t="shared" si="22"/>
        <v>35000</v>
      </c>
      <c r="I75" s="48">
        <f t="shared" si="23"/>
        <v>30000</v>
      </c>
      <c r="J75" s="48">
        <f t="shared" si="24"/>
        <v>7000</v>
      </c>
      <c r="K75" s="48">
        <f t="shared" si="25"/>
        <v>574540</v>
      </c>
      <c r="L75" s="48">
        <f t="shared" si="26"/>
        <v>434210</v>
      </c>
      <c r="M75" s="48">
        <f t="shared" si="27"/>
        <v>35082.5</v>
      </c>
      <c r="N75" s="49">
        <f t="shared" si="28"/>
        <v>105247.5</v>
      </c>
    </row>
    <row r="76" spans="1:14" x14ac:dyDescent="0.25">
      <c r="A76" s="46">
        <f t="shared" si="30"/>
        <v>7</v>
      </c>
      <c r="B76" s="46">
        <f>'Corrected data'!B75</f>
        <v>74</v>
      </c>
      <c r="C76" s="46">
        <f>'Corrected data'!C75</f>
        <v>1256</v>
      </c>
      <c r="D76" s="46">
        <f t="shared" si="20"/>
        <v>2512</v>
      </c>
      <c r="E76" s="46">
        <f t="shared" si="21"/>
        <v>1256</v>
      </c>
      <c r="F76" s="46" t="str">
        <f t="shared" si="29"/>
        <v>Winter</v>
      </c>
      <c r="G76" s="48">
        <f>C76*Cost_Icecream+'Base Scenario'!D76*cost_choc_syrup+'Base Scenario'!E76*cost_straw_syrup</f>
        <v>364240</v>
      </c>
      <c r="H76" s="48">
        <f t="shared" si="22"/>
        <v>35000</v>
      </c>
      <c r="I76" s="48">
        <f t="shared" si="23"/>
        <v>30000</v>
      </c>
      <c r="J76" s="48">
        <f t="shared" si="24"/>
        <v>7000</v>
      </c>
      <c r="K76" s="48">
        <f t="shared" si="25"/>
        <v>577760</v>
      </c>
      <c r="L76" s="48">
        <f t="shared" si="26"/>
        <v>436240</v>
      </c>
      <c r="M76" s="48">
        <f t="shared" si="27"/>
        <v>35380</v>
      </c>
      <c r="N76" s="49">
        <f t="shared" si="28"/>
        <v>106140</v>
      </c>
    </row>
    <row r="77" spans="1:14" x14ac:dyDescent="0.25">
      <c r="A77" s="46">
        <f t="shared" si="30"/>
        <v>7</v>
      </c>
      <c r="B77" s="46">
        <f>'Corrected data'!B76</f>
        <v>75</v>
      </c>
      <c r="C77" s="46">
        <f>'Corrected data'!C76</f>
        <v>1263</v>
      </c>
      <c r="D77" s="46">
        <f t="shared" si="20"/>
        <v>2526</v>
      </c>
      <c r="E77" s="46">
        <f t="shared" si="21"/>
        <v>1263</v>
      </c>
      <c r="F77" s="46" t="str">
        <f t="shared" si="29"/>
        <v>Winter</v>
      </c>
      <c r="G77" s="48">
        <f>C77*Cost_Icecream+'Base Scenario'!D77*cost_choc_syrup+'Base Scenario'!E77*cost_straw_syrup</f>
        <v>366270</v>
      </c>
      <c r="H77" s="48">
        <f t="shared" si="22"/>
        <v>35000</v>
      </c>
      <c r="I77" s="48">
        <f t="shared" si="23"/>
        <v>30000</v>
      </c>
      <c r="J77" s="48">
        <f t="shared" si="24"/>
        <v>7000</v>
      </c>
      <c r="K77" s="48">
        <f t="shared" si="25"/>
        <v>580980</v>
      </c>
      <c r="L77" s="48">
        <f t="shared" si="26"/>
        <v>438270</v>
      </c>
      <c r="M77" s="48">
        <f t="shared" si="27"/>
        <v>35677.5</v>
      </c>
      <c r="N77" s="49">
        <f t="shared" si="28"/>
        <v>107032.5</v>
      </c>
    </row>
    <row r="78" spans="1:14" x14ac:dyDescent="0.25">
      <c r="A78" s="46">
        <f t="shared" si="30"/>
        <v>7</v>
      </c>
      <c r="B78" s="46">
        <f>'Corrected data'!B77</f>
        <v>76</v>
      </c>
      <c r="C78" s="46">
        <f>'Corrected data'!C77</f>
        <v>1562</v>
      </c>
      <c r="D78" s="46">
        <f t="shared" si="20"/>
        <v>3124</v>
      </c>
      <c r="E78" s="46">
        <f t="shared" si="21"/>
        <v>1562</v>
      </c>
      <c r="F78" s="46" t="str">
        <f t="shared" si="29"/>
        <v>Summer</v>
      </c>
      <c r="G78" s="48">
        <f>C78*Cost_Icecream+'Base Scenario'!D78*cost_choc_syrup+'Base Scenario'!E78*cost_straw_syrup</f>
        <v>452980</v>
      </c>
      <c r="H78" s="48">
        <f t="shared" si="22"/>
        <v>35000</v>
      </c>
      <c r="I78" s="48">
        <f t="shared" si="23"/>
        <v>30000</v>
      </c>
      <c r="J78" s="48">
        <f t="shared" si="24"/>
        <v>10000</v>
      </c>
      <c r="K78" s="48">
        <f t="shared" si="25"/>
        <v>749760</v>
      </c>
      <c r="L78" s="48">
        <f t="shared" si="26"/>
        <v>527980</v>
      </c>
      <c r="M78" s="48">
        <f t="shared" si="27"/>
        <v>55445</v>
      </c>
      <c r="N78" s="49">
        <f t="shared" si="28"/>
        <v>166335</v>
      </c>
    </row>
    <row r="79" spans="1:14" x14ac:dyDescent="0.25">
      <c r="A79" s="46">
        <f t="shared" si="30"/>
        <v>7</v>
      </c>
      <c r="B79" s="46">
        <f>'Corrected data'!B78</f>
        <v>77</v>
      </c>
      <c r="C79" s="46">
        <f>'Corrected data'!C78</f>
        <v>1570</v>
      </c>
      <c r="D79" s="46">
        <f t="shared" si="20"/>
        <v>3140</v>
      </c>
      <c r="E79" s="46">
        <f t="shared" si="21"/>
        <v>1570</v>
      </c>
      <c r="F79" s="46" t="str">
        <f t="shared" si="29"/>
        <v>Summer</v>
      </c>
      <c r="G79" s="48">
        <f>C79*Cost_Icecream+'Base Scenario'!D79*cost_choc_syrup+'Base Scenario'!E79*cost_straw_syrup</f>
        <v>455300</v>
      </c>
      <c r="H79" s="48">
        <f t="shared" si="22"/>
        <v>35000</v>
      </c>
      <c r="I79" s="48">
        <f t="shared" si="23"/>
        <v>30000</v>
      </c>
      <c r="J79" s="48">
        <f t="shared" si="24"/>
        <v>10000</v>
      </c>
      <c r="K79" s="48">
        <f t="shared" si="25"/>
        <v>753600</v>
      </c>
      <c r="L79" s="48">
        <f t="shared" si="26"/>
        <v>530300</v>
      </c>
      <c r="M79" s="48">
        <f t="shared" si="27"/>
        <v>55825</v>
      </c>
      <c r="N79" s="49">
        <f t="shared" si="28"/>
        <v>167475</v>
      </c>
    </row>
    <row r="80" spans="1:14" x14ac:dyDescent="0.25">
      <c r="A80" s="46">
        <f t="shared" si="30"/>
        <v>7</v>
      </c>
      <c r="B80" s="46">
        <f>'Corrected data'!B79</f>
        <v>78</v>
      </c>
      <c r="C80" s="46">
        <f>'Corrected data'!C79</f>
        <v>1579</v>
      </c>
      <c r="D80" s="46">
        <f t="shared" si="20"/>
        <v>3158</v>
      </c>
      <c r="E80" s="46">
        <f t="shared" si="21"/>
        <v>1579</v>
      </c>
      <c r="F80" s="46" t="str">
        <f t="shared" si="29"/>
        <v>Summer</v>
      </c>
      <c r="G80" s="48">
        <f>C80*Cost_Icecream+'Base Scenario'!D80*cost_choc_syrup+'Base Scenario'!E80*cost_straw_syrup</f>
        <v>457910</v>
      </c>
      <c r="H80" s="48">
        <f t="shared" si="22"/>
        <v>35000</v>
      </c>
      <c r="I80" s="48">
        <f t="shared" si="23"/>
        <v>30000</v>
      </c>
      <c r="J80" s="48">
        <f t="shared" si="24"/>
        <v>10000</v>
      </c>
      <c r="K80" s="48">
        <f t="shared" si="25"/>
        <v>757920</v>
      </c>
      <c r="L80" s="48">
        <f t="shared" si="26"/>
        <v>532910</v>
      </c>
      <c r="M80" s="48">
        <f t="shared" si="27"/>
        <v>56252.5</v>
      </c>
      <c r="N80" s="49">
        <f t="shared" si="28"/>
        <v>168757.5</v>
      </c>
    </row>
    <row r="81" spans="1:14" x14ac:dyDescent="0.25">
      <c r="A81" s="46">
        <f t="shared" si="30"/>
        <v>7</v>
      </c>
      <c r="B81" s="46">
        <f>'Corrected data'!B80</f>
        <v>79</v>
      </c>
      <c r="C81" s="46">
        <f>'Corrected data'!C80</f>
        <v>1588</v>
      </c>
      <c r="D81" s="46">
        <f t="shared" si="20"/>
        <v>3176</v>
      </c>
      <c r="E81" s="46">
        <f t="shared" si="21"/>
        <v>1588</v>
      </c>
      <c r="F81" s="46" t="str">
        <f t="shared" si="29"/>
        <v>Summer</v>
      </c>
      <c r="G81" s="48">
        <f>C81*Cost_Icecream+'Base Scenario'!D81*cost_choc_syrup+'Base Scenario'!E81*cost_straw_syrup</f>
        <v>460520</v>
      </c>
      <c r="H81" s="48">
        <f t="shared" si="22"/>
        <v>35000</v>
      </c>
      <c r="I81" s="48">
        <f t="shared" si="23"/>
        <v>30000</v>
      </c>
      <c r="J81" s="48">
        <f t="shared" si="24"/>
        <v>10000</v>
      </c>
      <c r="K81" s="48">
        <f t="shared" si="25"/>
        <v>762240</v>
      </c>
      <c r="L81" s="48">
        <f t="shared" si="26"/>
        <v>535520</v>
      </c>
      <c r="M81" s="48">
        <f t="shared" si="27"/>
        <v>56680</v>
      </c>
      <c r="N81" s="49">
        <f t="shared" si="28"/>
        <v>170040</v>
      </c>
    </row>
    <row r="82" spans="1:14" x14ac:dyDescent="0.25">
      <c r="A82" s="46">
        <f t="shared" si="30"/>
        <v>7</v>
      </c>
      <c r="B82" s="46">
        <f>'Corrected data'!B81</f>
        <v>80</v>
      </c>
      <c r="C82" s="46">
        <f>'Corrected data'!C81</f>
        <v>1597</v>
      </c>
      <c r="D82" s="46">
        <f t="shared" si="20"/>
        <v>3194</v>
      </c>
      <c r="E82" s="46">
        <f t="shared" si="21"/>
        <v>1597</v>
      </c>
      <c r="F82" s="46" t="str">
        <f t="shared" si="29"/>
        <v>Summer</v>
      </c>
      <c r="G82" s="48">
        <f>C82*Cost_Icecream+'Base Scenario'!D82*cost_choc_syrup+'Base Scenario'!E82*cost_straw_syrup</f>
        <v>463130</v>
      </c>
      <c r="H82" s="48">
        <f t="shared" si="22"/>
        <v>35000</v>
      </c>
      <c r="I82" s="48">
        <f t="shared" si="23"/>
        <v>30000</v>
      </c>
      <c r="J82" s="48">
        <f t="shared" si="24"/>
        <v>10000</v>
      </c>
      <c r="K82" s="48">
        <f t="shared" si="25"/>
        <v>766560</v>
      </c>
      <c r="L82" s="48">
        <f t="shared" si="26"/>
        <v>538130</v>
      </c>
      <c r="M82" s="48">
        <f t="shared" si="27"/>
        <v>57107.5</v>
      </c>
      <c r="N82" s="49">
        <f t="shared" si="28"/>
        <v>171322.5</v>
      </c>
    </row>
    <row r="83" spans="1:14" x14ac:dyDescent="0.25">
      <c r="A83" s="46">
        <f t="shared" si="30"/>
        <v>7</v>
      </c>
      <c r="B83" s="46">
        <f>'Corrected data'!B82</f>
        <v>81</v>
      </c>
      <c r="C83" s="46">
        <f>'Corrected data'!C82</f>
        <v>1606</v>
      </c>
      <c r="D83" s="46">
        <f t="shared" si="20"/>
        <v>3212</v>
      </c>
      <c r="E83" s="46">
        <f t="shared" si="21"/>
        <v>1606</v>
      </c>
      <c r="F83" s="46" t="str">
        <f t="shared" si="29"/>
        <v>Summer</v>
      </c>
      <c r="G83" s="48">
        <f>C83*Cost_Icecream+'Base Scenario'!D83*cost_choc_syrup+'Base Scenario'!E83*cost_straw_syrup</f>
        <v>465740</v>
      </c>
      <c r="H83" s="48">
        <f t="shared" si="22"/>
        <v>35000</v>
      </c>
      <c r="I83" s="48">
        <f t="shared" si="23"/>
        <v>30000</v>
      </c>
      <c r="J83" s="48">
        <f t="shared" si="24"/>
        <v>10000</v>
      </c>
      <c r="K83" s="48">
        <f t="shared" si="25"/>
        <v>770880</v>
      </c>
      <c r="L83" s="48">
        <f t="shared" si="26"/>
        <v>540740</v>
      </c>
      <c r="M83" s="48">
        <f t="shared" si="27"/>
        <v>57535</v>
      </c>
      <c r="N83" s="49">
        <f t="shared" si="28"/>
        <v>172605</v>
      </c>
    </row>
    <row r="84" spans="1:14" x14ac:dyDescent="0.25">
      <c r="A84" s="46">
        <f t="shared" si="30"/>
        <v>7</v>
      </c>
      <c r="B84" s="46">
        <f>'Corrected data'!B83</f>
        <v>82</v>
      </c>
      <c r="C84" s="46">
        <f>'Corrected data'!C83</f>
        <v>1615</v>
      </c>
      <c r="D84" s="46">
        <f t="shared" si="20"/>
        <v>3230</v>
      </c>
      <c r="E84" s="46">
        <f t="shared" si="21"/>
        <v>1615</v>
      </c>
      <c r="F84" s="46" t="str">
        <f t="shared" si="29"/>
        <v>Summer</v>
      </c>
      <c r="G84" s="48">
        <f>C84*Cost_Icecream+'Base Scenario'!D84*cost_choc_syrup+'Base Scenario'!E84*cost_straw_syrup</f>
        <v>468350</v>
      </c>
      <c r="H84" s="48">
        <f t="shared" si="22"/>
        <v>35000</v>
      </c>
      <c r="I84" s="48">
        <f t="shared" si="23"/>
        <v>30000</v>
      </c>
      <c r="J84" s="48">
        <f t="shared" si="24"/>
        <v>10000</v>
      </c>
      <c r="K84" s="48">
        <f t="shared" si="25"/>
        <v>775200</v>
      </c>
      <c r="L84" s="48">
        <f t="shared" si="26"/>
        <v>543350</v>
      </c>
      <c r="M84" s="48">
        <f t="shared" si="27"/>
        <v>57962.5</v>
      </c>
      <c r="N84" s="49">
        <f t="shared" si="28"/>
        <v>173887.5</v>
      </c>
    </row>
    <row r="85" spans="1:14" x14ac:dyDescent="0.25">
      <c r="A85" s="46">
        <f t="shared" si="30"/>
        <v>7</v>
      </c>
      <c r="B85" s="46">
        <f>'Corrected data'!B84</f>
        <v>83</v>
      </c>
      <c r="C85" s="46">
        <f>'Corrected data'!C84</f>
        <v>1624</v>
      </c>
      <c r="D85" s="46">
        <f t="shared" si="20"/>
        <v>3248</v>
      </c>
      <c r="E85" s="46">
        <f t="shared" si="21"/>
        <v>1624</v>
      </c>
      <c r="F85" s="46" t="str">
        <f t="shared" si="29"/>
        <v>Summer</v>
      </c>
      <c r="G85" s="48">
        <f>C85*Cost_Icecream+'Base Scenario'!D85*cost_choc_syrup+'Base Scenario'!E85*cost_straw_syrup</f>
        <v>470960</v>
      </c>
      <c r="H85" s="48">
        <f t="shared" si="22"/>
        <v>35000</v>
      </c>
      <c r="I85" s="48">
        <f t="shared" si="23"/>
        <v>30000</v>
      </c>
      <c r="J85" s="48">
        <f t="shared" si="24"/>
        <v>10000</v>
      </c>
      <c r="K85" s="48">
        <f t="shared" si="25"/>
        <v>779520</v>
      </c>
      <c r="L85" s="48">
        <f t="shared" si="26"/>
        <v>545960</v>
      </c>
      <c r="M85" s="48">
        <f t="shared" si="27"/>
        <v>58390</v>
      </c>
      <c r="N85" s="49">
        <f t="shared" si="28"/>
        <v>175170</v>
      </c>
    </row>
    <row r="86" spans="1:14" x14ac:dyDescent="0.25">
      <c r="A86" s="46">
        <f t="shared" si="30"/>
        <v>7</v>
      </c>
      <c r="B86" s="46">
        <f>'Corrected data'!B85</f>
        <v>84</v>
      </c>
      <c r="C86" s="46">
        <f>'Corrected data'!C85</f>
        <v>1633</v>
      </c>
      <c r="D86" s="46">
        <f t="shared" si="20"/>
        <v>3266</v>
      </c>
      <c r="E86" s="46">
        <f t="shared" si="21"/>
        <v>1633</v>
      </c>
      <c r="F86" s="46" t="str">
        <f t="shared" si="29"/>
        <v>Summer</v>
      </c>
      <c r="G86" s="48">
        <f>C86*Cost_Icecream+'Base Scenario'!D86*cost_choc_syrup+'Base Scenario'!E86*cost_straw_syrup</f>
        <v>473570</v>
      </c>
      <c r="H86" s="48">
        <f t="shared" si="22"/>
        <v>35000</v>
      </c>
      <c r="I86" s="48">
        <f t="shared" si="23"/>
        <v>30000</v>
      </c>
      <c r="J86" s="48">
        <f t="shared" si="24"/>
        <v>10000</v>
      </c>
      <c r="K86" s="48">
        <f t="shared" si="25"/>
        <v>783840</v>
      </c>
      <c r="L86" s="48">
        <f t="shared" si="26"/>
        <v>548570</v>
      </c>
      <c r="M86" s="48">
        <f t="shared" si="27"/>
        <v>58817.5</v>
      </c>
      <c r="N86" s="49">
        <f t="shared" si="28"/>
        <v>176452.5</v>
      </c>
    </row>
    <row r="87" spans="1:14" x14ac:dyDescent="0.25">
      <c r="A87" s="46">
        <f t="shared" si="30"/>
        <v>8</v>
      </c>
      <c r="B87" s="46">
        <f>'Corrected data'!B86</f>
        <v>85</v>
      </c>
      <c r="C87" s="46">
        <f>'Corrected data'!C86</f>
        <v>1332</v>
      </c>
      <c r="D87" s="46">
        <f t="shared" si="20"/>
        <v>2664</v>
      </c>
      <c r="E87" s="46">
        <f t="shared" si="21"/>
        <v>1332</v>
      </c>
      <c r="F87" s="46" t="str">
        <f t="shared" si="29"/>
        <v>Winter</v>
      </c>
      <c r="G87" s="48">
        <f>C87*Cost_Icecream+'Base Scenario'!D87*cost_choc_syrup+'Base Scenario'!E87*cost_straw_syrup</f>
        <v>386280</v>
      </c>
      <c r="H87" s="48">
        <f t="shared" si="22"/>
        <v>35000</v>
      </c>
      <c r="I87" s="48">
        <f t="shared" si="23"/>
        <v>30000</v>
      </c>
      <c r="J87" s="48">
        <f t="shared" si="24"/>
        <v>7000</v>
      </c>
      <c r="K87" s="48">
        <f t="shared" si="25"/>
        <v>612720</v>
      </c>
      <c r="L87" s="48">
        <f t="shared" si="26"/>
        <v>458280</v>
      </c>
      <c r="M87" s="48">
        <f t="shared" si="27"/>
        <v>38610</v>
      </c>
      <c r="N87" s="49">
        <f t="shared" si="28"/>
        <v>115830</v>
      </c>
    </row>
    <row r="88" spans="1:14" x14ac:dyDescent="0.25">
      <c r="A88" s="46">
        <f t="shared" si="30"/>
        <v>8</v>
      </c>
      <c r="B88" s="46">
        <f>'Corrected data'!B87</f>
        <v>86</v>
      </c>
      <c r="C88" s="46">
        <f>'Corrected data'!C87</f>
        <v>1340</v>
      </c>
      <c r="D88" s="46">
        <f t="shared" si="20"/>
        <v>2680</v>
      </c>
      <c r="E88" s="46">
        <f t="shared" si="21"/>
        <v>1340</v>
      </c>
      <c r="F88" s="46" t="str">
        <f t="shared" si="29"/>
        <v>Winter</v>
      </c>
      <c r="G88" s="48">
        <f>C88*Cost_Icecream+'Base Scenario'!D88*cost_choc_syrup+'Base Scenario'!E88*cost_straw_syrup</f>
        <v>388600</v>
      </c>
      <c r="H88" s="48">
        <f t="shared" si="22"/>
        <v>35000</v>
      </c>
      <c r="I88" s="48">
        <f t="shared" si="23"/>
        <v>30000</v>
      </c>
      <c r="J88" s="48">
        <f t="shared" si="24"/>
        <v>7000</v>
      </c>
      <c r="K88" s="48">
        <f t="shared" si="25"/>
        <v>616400</v>
      </c>
      <c r="L88" s="48">
        <f t="shared" si="26"/>
        <v>460600</v>
      </c>
      <c r="M88" s="48">
        <f t="shared" si="27"/>
        <v>38950</v>
      </c>
      <c r="N88" s="49">
        <f t="shared" si="28"/>
        <v>116850</v>
      </c>
    </row>
    <row r="89" spans="1:14" x14ac:dyDescent="0.25">
      <c r="A89" s="46">
        <f t="shared" si="30"/>
        <v>8</v>
      </c>
      <c r="B89" s="46">
        <f>'Corrected data'!B88</f>
        <v>87</v>
      </c>
      <c r="C89" s="46">
        <f>'Corrected data'!C88</f>
        <v>1348</v>
      </c>
      <c r="D89" s="46">
        <f t="shared" si="20"/>
        <v>2696</v>
      </c>
      <c r="E89" s="46">
        <f t="shared" si="21"/>
        <v>1348</v>
      </c>
      <c r="F89" s="46" t="str">
        <f t="shared" si="29"/>
        <v>Winter</v>
      </c>
      <c r="G89" s="48">
        <f>C89*Cost_Icecream+'Base Scenario'!D89*cost_choc_syrup+'Base Scenario'!E89*cost_straw_syrup</f>
        <v>390920</v>
      </c>
      <c r="H89" s="48">
        <f t="shared" si="22"/>
        <v>35000</v>
      </c>
      <c r="I89" s="48">
        <f t="shared" si="23"/>
        <v>30000</v>
      </c>
      <c r="J89" s="48">
        <f t="shared" si="24"/>
        <v>7000</v>
      </c>
      <c r="K89" s="48">
        <f t="shared" si="25"/>
        <v>620080</v>
      </c>
      <c r="L89" s="48">
        <f t="shared" si="26"/>
        <v>462920</v>
      </c>
      <c r="M89" s="48">
        <f t="shared" si="27"/>
        <v>39290</v>
      </c>
      <c r="N89" s="49">
        <f t="shared" si="28"/>
        <v>117870</v>
      </c>
    </row>
    <row r="90" spans="1:14" x14ac:dyDescent="0.25">
      <c r="A90" s="46">
        <f t="shared" si="30"/>
        <v>8</v>
      </c>
      <c r="B90" s="46">
        <f>'Corrected data'!B89</f>
        <v>88</v>
      </c>
      <c r="C90" s="46">
        <f>'Corrected data'!C89</f>
        <v>1665</v>
      </c>
      <c r="D90" s="46">
        <f t="shared" si="20"/>
        <v>3330</v>
      </c>
      <c r="E90" s="46">
        <f t="shared" si="21"/>
        <v>1665</v>
      </c>
      <c r="F90" s="46" t="str">
        <f t="shared" si="29"/>
        <v>Summer</v>
      </c>
      <c r="G90" s="48">
        <f>C90*Cost_Icecream+'Base Scenario'!D90*cost_choc_syrup+'Base Scenario'!E90*cost_straw_syrup</f>
        <v>482850</v>
      </c>
      <c r="H90" s="48">
        <f t="shared" si="22"/>
        <v>35000</v>
      </c>
      <c r="I90" s="48">
        <f t="shared" si="23"/>
        <v>30000</v>
      </c>
      <c r="J90" s="48">
        <f t="shared" si="24"/>
        <v>10000</v>
      </c>
      <c r="K90" s="48">
        <f t="shared" si="25"/>
        <v>799200</v>
      </c>
      <c r="L90" s="48">
        <f t="shared" si="26"/>
        <v>557850</v>
      </c>
      <c r="M90" s="48">
        <f t="shared" si="27"/>
        <v>60337.5</v>
      </c>
      <c r="N90" s="49">
        <f t="shared" si="28"/>
        <v>181012.5</v>
      </c>
    </row>
    <row r="91" spans="1:14" x14ac:dyDescent="0.25">
      <c r="A91" s="46">
        <f t="shared" si="30"/>
        <v>8</v>
      </c>
      <c r="B91" s="46">
        <f>'Corrected data'!B90</f>
        <v>89</v>
      </c>
      <c r="C91" s="46">
        <f>'Corrected data'!C90</f>
        <v>1675</v>
      </c>
      <c r="D91" s="46">
        <f t="shared" si="20"/>
        <v>3350</v>
      </c>
      <c r="E91" s="46">
        <f t="shared" si="21"/>
        <v>1675</v>
      </c>
      <c r="F91" s="46" t="str">
        <f t="shared" si="29"/>
        <v>Summer</v>
      </c>
      <c r="G91" s="48">
        <f>C91*Cost_Icecream+'Base Scenario'!D91*cost_choc_syrup+'Base Scenario'!E91*cost_straw_syrup</f>
        <v>485750</v>
      </c>
      <c r="H91" s="48">
        <f t="shared" si="22"/>
        <v>35000</v>
      </c>
      <c r="I91" s="48">
        <f t="shared" si="23"/>
        <v>30000</v>
      </c>
      <c r="J91" s="48">
        <f t="shared" si="24"/>
        <v>10000</v>
      </c>
      <c r="K91" s="48">
        <f t="shared" si="25"/>
        <v>804000</v>
      </c>
      <c r="L91" s="48">
        <f t="shared" si="26"/>
        <v>560750</v>
      </c>
      <c r="M91" s="48">
        <f t="shared" si="27"/>
        <v>60812.5</v>
      </c>
      <c r="N91" s="49">
        <f t="shared" si="28"/>
        <v>182437.5</v>
      </c>
    </row>
    <row r="92" spans="1:14" x14ac:dyDescent="0.25">
      <c r="A92" s="46">
        <f t="shared" si="30"/>
        <v>8</v>
      </c>
      <c r="B92" s="46">
        <f>'Corrected data'!B91</f>
        <v>90</v>
      </c>
      <c r="C92" s="46">
        <f>'Corrected data'!C91</f>
        <v>1685</v>
      </c>
      <c r="D92" s="46">
        <f t="shared" si="20"/>
        <v>3370</v>
      </c>
      <c r="E92" s="46">
        <f t="shared" si="21"/>
        <v>1685</v>
      </c>
      <c r="F92" s="46" t="str">
        <f t="shared" si="29"/>
        <v>Summer</v>
      </c>
      <c r="G92" s="48">
        <f>C92*Cost_Icecream+'Base Scenario'!D92*cost_choc_syrup+'Base Scenario'!E92*cost_straw_syrup</f>
        <v>488650</v>
      </c>
      <c r="H92" s="48">
        <f t="shared" si="22"/>
        <v>35000</v>
      </c>
      <c r="I92" s="48">
        <f t="shared" si="23"/>
        <v>30000</v>
      </c>
      <c r="J92" s="48">
        <f t="shared" si="24"/>
        <v>10000</v>
      </c>
      <c r="K92" s="48">
        <f t="shared" si="25"/>
        <v>808800</v>
      </c>
      <c r="L92" s="48">
        <f t="shared" si="26"/>
        <v>563650</v>
      </c>
      <c r="M92" s="48">
        <f t="shared" si="27"/>
        <v>61287.5</v>
      </c>
      <c r="N92" s="49">
        <f t="shared" si="28"/>
        <v>183862.5</v>
      </c>
    </row>
    <row r="93" spans="1:14" x14ac:dyDescent="0.25">
      <c r="A93" s="46">
        <f t="shared" si="30"/>
        <v>8</v>
      </c>
      <c r="B93" s="46">
        <f>'Corrected data'!B92</f>
        <v>91</v>
      </c>
      <c r="C93" s="46">
        <f>'Corrected data'!C92</f>
        <v>1695</v>
      </c>
      <c r="D93" s="46">
        <f t="shared" si="20"/>
        <v>3390</v>
      </c>
      <c r="E93" s="46">
        <f t="shared" si="21"/>
        <v>1695</v>
      </c>
      <c r="F93" s="46" t="str">
        <f t="shared" si="29"/>
        <v>Summer</v>
      </c>
      <c r="G93" s="48">
        <f>C93*Cost_Icecream+'Base Scenario'!D93*cost_choc_syrup+'Base Scenario'!E93*cost_straw_syrup</f>
        <v>491550</v>
      </c>
      <c r="H93" s="48">
        <f t="shared" si="22"/>
        <v>35000</v>
      </c>
      <c r="I93" s="48">
        <f t="shared" si="23"/>
        <v>30000</v>
      </c>
      <c r="J93" s="48">
        <f t="shared" si="24"/>
        <v>10000</v>
      </c>
      <c r="K93" s="48">
        <f t="shared" si="25"/>
        <v>813600</v>
      </c>
      <c r="L93" s="48">
        <f t="shared" si="26"/>
        <v>566550</v>
      </c>
      <c r="M93" s="48">
        <f t="shared" si="27"/>
        <v>61762.5</v>
      </c>
      <c r="N93" s="49">
        <f t="shared" si="28"/>
        <v>185287.5</v>
      </c>
    </row>
    <row r="94" spans="1:14" x14ac:dyDescent="0.25">
      <c r="A94" s="46">
        <f t="shared" si="30"/>
        <v>8</v>
      </c>
      <c r="B94" s="46">
        <f>'Corrected data'!B93</f>
        <v>92</v>
      </c>
      <c r="C94" s="46">
        <f>'Corrected data'!C93</f>
        <v>1705</v>
      </c>
      <c r="D94" s="46">
        <f t="shared" si="20"/>
        <v>3410</v>
      </c>
      <c r="E94" s="46">
        <f t="shared" si="21"/>
        <v>1705</v>
      </c>
      <c r="F94" s="46" t="str">
        <f t="shared" si="29"/>
        <v>Summer</v>
      </c>
      <c r="G94" s="48">
        <f>C94*Cost_Icecream+'Base Scenario'!D94*cost_choc_syrup+'Base Scenario'!E94*cost_straw_syrup</f>
        <v>494450</v>
      </c>
      <c r="H94" s="48">
        <f t="shared" si="22"/>
        <v>35000</v>
      </c>
      <c r="I94" s="48">
        <f t="shared" si="23"/>
        <v>30000</v>
      </c>
      <c r="J94" s="48">
        <f t="shared" si="24"/>
        <v>10000</v>
      </c>
      <c r="K94" s="48">
        <f t="shared" si="25"/>
        <v>818400</v>
      </c>
      <c r="L94" s="48">
        <f t="shared" si="26"/>
        <v>569450</v>
      </c>
      <c r="M94" s="48">
        <f t="shared" si="27"/>
        <v>62237.5</v>
      </c>
      <c r="N94" s="49">
        <f t="shared" si="28"/>
        <v>186712.5</v>
      </c>
    </row>
    <row r="95" spans="1:14" x14ac:dyDescent="0.25">
      <c r="A95" s="46">
        <f t="shared" si="30"/>
        <v>8</v>
      </c>
      <c r="B95" s="46">
        <f>'Corrected data'!B94</f>
        <v>93</v>
      </c>
      <c r="C95" s="46">
        <f>'Corrected data'!C94</f>
        <v>1715</v>
      </c>
      <c r="D95" s="46">
        <f t="shared" si="20"/>
        <v>3430</v>
      </c>
      <c r="E95" s="46">
        <f t="shared" si="21"/>
        <v>1715</v>
      </c>
      <c r="F95" s="46" t="str">
        <f t="shared" si="29"/>
        <v>Summer</v>
      </c>
      <c r="G95" s="48">
        <f>C95*Cost_Icecream+'Base Scenario'!D95*cost_choc_syrup+'Base Scenario'!E95*cost_straw_syrup</f>
        <v>497350</v>
      </c>
      <c r="H95" s="48">
        <f t="shared" si="22"/>
        <v>35000</v>
      </c>
      <c r="I95" s="48">
        <f t="shared" si="23"/>
        <v>30000</v>
      </c>
      <c r="J95" s="48">
        <f t="shared" si="24"/>
        <v>10000</v>
      </c>
      <c r="K95" s="48">
        <f t="shared" si="25"/>
        <v>823200</v>
      </c>
      <c r="L95" s="48">
        <f t="shared" si="26"/>
        <v>572350</v>
      </c>
      <c r="M95" s="48">
        <f t="shared" si="27"/>
        <v>62712.5</v>
      </c>
      <c r="N95" s="49">
        <f t="shared" si="28"/>
        <v>188137.5</v>
      </c>
    </row>
    <row r="96" spans="1:14" x14ac:dyDescent="0.25">
      <c r="A96" s="46">
        <f t="shared" si="30"/>
        <v>8</v>
      </c>
      <c r="B96" s="46">
        <f>'Corrected data'!B95</f>
        <v>94</v>
      </c>
      <c r="C96" s="46">
        <f>'Corrected data'!C95</f>
        <v>1725</v>
      </c>
      <c r="D96" s="46">
        <f t="shared" si="20"/>
        <v>3450</v>
      </c>
      <c r="E96" s="46">
        <f t="shared" si="21"/>
        <v>1725</v>
      </c>
      <c r="F96" s="46" t="str">
        <f t="shared" si="29"/>
        <v>Summer</v>
      </c>
      <c r="G96" s="48">
        <f>C96*Cost_Icecream+'Base Scenario'!D96*cost_choc_syrup+'Base Scenario'!E96*cost_straw_syrup</f>
        <v>500250</v>
      </c>
      <c r="H96" s="48">
        <f t="shared" si="22"/>
        <v>35000</v>
      </c>
      <c r="I96" s="48">
        <f t="shared" si="23"/>
        <v>30000</v>
      </c>
      <c r="J96" s="48">
        <f t="shared" si="24"/>
        <v>10000</v>
      </c>
      <c r="K96" s="48">
        <f t="shared" si="25"/>
        <v>828000</v>
      </c>
      <c r="L96" s="48">
        <f t="shared" si="26"/>
        <v>575250</v>
      </c>
      <c r="M96" s="48">
        <f t="shared" si="27"/>
        <v>63187.5</v>
      </c>
      <c r="N96" s="49">
        <f t="shared" si="28"/>
        <v>189562.5</v>
      </c>
    </row>
    <row r="97" spans="1:14" x14ac:dyDescent="0.25">
      <c r="A97" s="46">
        <f t="shared" si="30"/>
        <v>8</v>
      </c>
      <c r="B97" s="46">
        <f>'Corrected data'!B96</f>
        <v>95</v>
      </c>
      <c r="C97" s="46">
        <f>'Corrected data'!C96</f>
        <v>1735</v>
      </c>
      <c r="D97" s="46">
        <f t="shared" si="20"/>
        <v>3470</v>
      </c>
      <c r="E97" s="46">
        <f t="shared" si="21"/>
        <v>1735</v>
      </c>
      <c r="F97" s="46" t="str">
        <f t="shared" si="29"/>
        <v>Summer</v>
      </c>
      <c r="G97" s="48">
        <f>C97*Cost_Icecream+'Base Scenario'!D97*cost_choc_syrup+'Base Scenario'!E97*cost_straw_syrup</f>
        <v>503150</v>
      </c>
      <c r="H97" s="48">
        <f t="shared" si="22"/>
        <v>35000</v>
      </c>
      <c r="I97" s="48">
        <f t="shared" si="23"/>
        <v>30000</v>
      </c>
      <c r="J97" s="48">
        <f t="shared" si="24"/>
        <v>10000</v>
      </c>
      <c r="K97" s="48">
        <f t="shared" si="25"/>
        <v>832800</v>
      </c>
      <c r="L97" s="48">
        <f t="shared" si="26"/>
        <v>578150</v>
      </c>
      <c r="M97" s="48">
        <f t="shared" si="27"/>
        <v>63662.5</v>
      </c>
      <c r="N97" s="49">
        <f t="shared" si="28"/>
        <v>190987.5</v>
      </c>
    </row>
    <row r="98" spans="1:14" x14ac:dyDescent="0.25">
      <c r="A98" s="46">
        <f t="shared" si="30"/>
        <v>8</v>
      </c>
      <c r="B98" s="46">
        <f>'Corrected data'!B97</f>
        <v>96</v>
      </c>
      <c r="C98" s="46">
        <f>'Corrected data'!C97</f>
        <v>1745</v>
      </c>
      <c r="D98" s="46">
        <f t="shared" si="20"/>
        <v>3490</v>
      </c>
      <c r="E98" s="46">
        <f t="shared" si="21"/>
        <v>1745</v>
      </c>
      <c r="F98" s="46" t="str">
        <f t="shared" si="29"/>
        <v>Summer</v>
      </c>
      <c r="G98" s="48">
        <f>C98*Cost_Icecream+'Base Scenario'!D98*cost_choc_syrup+'Base Scenario'!E98*cost_straw_syrup</f>
        <v>506050</v>
      </c>
      <c r="H98" s="48">
        <f t="shared" si="22"/>
        <v>35000</v>
      </c>
      <c r="I98" s="48">
        <f t="shared" si="23"/>
        <v>30000</v>
      </c>
      <c r="J98" s="48">
        <f t="shared" si="24"/>
        <v>10000</v>
      </c>
      <c r="K98" s="48">
        <f t="shared" si="25"/>
        <v>837600</v>
      </c>
      <c r="L98" s="48">
        <f t="shared" si="26"/>
        <v>581050</v>
      </c>
      <c r="M98" s="48">
        <f t="shared" si="27"/>
        <v>64137.5</v>
      </c>
      <c r="N98" s="49">
        <f t="shared" si="28"/>
        <v>192412.5</v>
      </c>
    </row>
    <row r="99" spans="1:14" x14ac:dyDescent="0.25">
      <c r="A99" s="46">
        <f t="shared" si="30"/>
        <v>9</v>
      </c>
      <c r="B99" s="46">
        <f>'Corrected data'!B98</f>
        <v>97</v>
      </c>
      <c r="C99" s="46">
        <f>'Corrected data'!C98</f>
        <v>1428</v>
      </c>
      <c r="D99" s="46">
        <f t="shared" ref="D99:D122" si="31">prop_choc_syrup*C99</f>
        <v>2856</v>
      </c>
      <c r="E99" s="46">
        <f t="shared" ref="E99:E122" si="32">prop_straw_syrup*C99</f>
        <v>1428</v>
      </c>
      <c r="F99" s="46" t="str">
        <f t="shared" si="29"/>
        <v>Winter</v>
      </c>
      <c r="G99" s="48">
        <f>C99*Cost_Icecream+'Base Scenario'!D99*cost_choc_syrup+'Base Scenario'!E99*cost_straw_syrup</f>
        <v>414120</v>
      </c>
      <c r="H99" s="48">
        <f t="shared" ref="H99:H122" si="33">Rent</f>
        <v>35000</v>
      </c>
      <c r="I99" s="48">
        <f t="shared" ref="I99:I122" si="34">Salary</f>
        <v>30000</v>
      </c>
      <c r="J99" s="48">
        <f t="shared" ref="J99:J122" si="35">IF(F99="Winter",Electr_winter,Electr_Summer)</f>
        <v>7000</v>
      </c>
      <c r="K99" s="48">
        <f t="shared" ref="K99:K122" si="36">C99*IF(F99="Winter",SP_icecream_winter,SP_icecream)+D99*SP_choc_syrup+E99*SP_straw_syrup</f>
        <v>656880</v>
      </c>
      <c r="L99" s="48">
        <f t="shared" ref="L99:L122" si="37">SUM(G99:J99)</f>
        <v>486120</v>
      </c>
      <c r="M99" s="48">
        <f t="shared" ref="M99:M122" si="38">Tax_rate*(K99-L99)</f>
        <v>42690</v>
      </c>
      <c r="N99" s="49">
        <f t="shared" ref="N99:N122" si="39">K99-L99-M99</f>
        <v>128070</v>
      </c>
    </row>
    <row r="100" spans="1:14" x14ac:dyDescent="0.25">
      <c r="A100" s="46">
        <f t="shared" si="30"/>
        <v>9</v>
      </c>
      <c r="B100" s="46">
        <f>'Corrected data'!B99</f>
        <v>98</v>
      </c>
      <c r="C100" s="46">
        <f>'Corrected data'!C99</f>
        <v>1437</v>
      </c>
      <c r="D100" s="46">
        <f t="shared" si="31"/>
        <v>2874</v>
      </c>
      <c r="E100" s="46">
        <f t="shared" si="32"/>
        <v>1437</v>
      </c>
      <c r="F100" s="46" t="str">
        <f t="shared" si="29"/>
        <v>Winter</v>
      </c>
      <c r="G100" s="48">
        <f>C100*Cost_Icecream+'Base Scenario'!D100*cost_choc_syrup+'Base Scenario'!E100*cost_straw_syrup</f>
        <v>416730</v>
      </c>
      <c r="H100" s="48">
        <f t="shared" si="33"/>
        <v>35000</v>
      </c>
      <c r="I100" s="48">
        <f t="shared" si="34"/>
        <v>30000</v>
      </c>
      <c r="J100" s="48">
        <f t="shared" si="35"/>
        <v>7000</v>
      </c>
      <c r="K100" s="48">
        <f t="shared" si="36"/>
        <v>661020</v>
      </c>
      <c r="L100" s="48">
        <f t="shared" si="37"/>
        <v>488730</v>
      </c>
      <c r="M100" s="48">
        <f t="shared" si="38"/>
        <v>43072.5</v>
      </c>
      <c r="N100" s="49">
        <f t="shared" si="39"/>
        <v>129217.5</v>
      </c>
    </row>
    <row r="101" spans="1:14" x14ac:dyDescent="0.25">
      <c r="A101" s="46">
        <f t="shared" si="30"/>
        <v>9</v>
      </c>
      <c r="B101" s="46">
        <f>'Corrected data'!B100</f>
        <v>99</v>
      </c>
      <c r="C101" s="46">
        <f>'Corrected data'!C100</f>
        <v>1446</v>
      </c>
      <c r="D101" s="46">
        <f t="shared" si="31"/>
        <v>2892</v>
      </c>
      <c r="E101" s="46">
        <f t="shared" si="32"/>
        <v>1446</v>
      </c>
      <c r="F101" s="46" t="str">
        <f t="shared" si="29"/>
        <v>Winter</v>
      </c>
      <c r="G101" s="48">
        <f>C101*Cost_Icecream+'Base Scenario'!D101*cost_choc_syrup+'Base Scenario'!E101*cost_straw_syrup</f>
        <v>419340</v>
      </c>
      <c r="H101" s="48">
        <f t="shared" si="33"/>
        <v>35000</v>
      </c>
      <c r="I101" s="48">
        <f t="shared" si="34"/>
        <v>30000</v>
      </c>
      <c r="J101" s="48">
        <f t="shared" si="35"/>
        <v>7000</v>
      </c>
      <c r="K101" s="48">
        <f t="shared" si="36"/>
        <v>665160</v>
      </c>
      <c r="L101" s="48">
        <f t="shared" si="37"/>
        <v>491340</v>
      </c>
      <c r="M101" s="48">
        <f t="shared" si="38"/>
        <v>43455</v>
      </c>
      <c r="N101" s="49">
        <f t="shared" si="39"/>
        <v>130365</v>
      </c>
    </row>
    <row r="102" spans="1:14" x14ac:dyDescent="0.25">
      <c r="A102" s="46">
        <f t="shared" si="30"/>
        <v>9</v>
      </c>
      <c r="B102" s="46">
        <f>'Corrected data'!B101</f>
        <v>100</v>
      </c>
      <c r="C102" s="46">
        <f>'Corrected data'!C101</f>
        <v>1785</v>
      </c>
      <c r="D102" s="46">
        <f t="shared" si="31"/>
        <v>3570</v>
      </c>
      <c r="E102" s="46">
        <f t="shared" si="32"/>
        <v>1785</v>
      </c>
      <c r="F102" s="46" t="str">
        <f t="shared" si="29"/>
        <v>Summer</v>
      </c>
      <c r="G102" s="48">
        <f>C102*Cost_Icecream+'Base Scenario'!D102*cost_choc_syrup+'Base Scenario'!E102*cost_straw_syrup</f>
        <v>517650</v>
      </c>
      <c r="H102" s="48">
        <f t="shared" si="33"/>
        <v>35000</v>
      </c>
      <c r="I102" s="48">
        <f t="shared" si="34"/>
        <v>30000</v>
      </c>
      <c r="J102" s="48">
        <f t="shared" si="35"/>
        <v>10000</v>
      </c>
      <c r="K102" s="48">
        <f t="shared" si="36"/>
        <v>856800</v>
      </c>
      <c r="L102" s="48">
        <f t="shared" si="37"/>
        <v>592650</v>
      </c>
      <c r="M102" s="48">
        <f t="shared" si="38"/>
        <v>66037.5</v>
      </c>
      <c r="N102" s="49">
        <f t="shared" si="39"/>
        <v>198112.5</v>
      </c>
    </row>
    <row r="103" spans="1:14" x14ac:dyDescent="0.25">
      <c r="A103" s="46">
        <f t="shared" si="30"/>
        <v>9</v>
      </c>
      <c r="B103" s="46">
        <f>'Corrected data'!B102</f>
        <v>101</v>
      </c>
      <c r="C103" s="46">
        <f>'Corrected data'!C102</f>
        <v>1796</v>
      </c>
      <c r="D103" s="46">
        <f t="shared" si="31"/>
        <v>3592</v>
      </c>
      <c r="E103" s="46">
        <f t="shared" si="32"/>
        <v>1796</v>
      </c>
      <c r="F103" s="46" t="str">
        <f t="shared" si="29"/>
        <v>Summer</v>
      </c>
      <c r="G103" s="48">
        <f>C103*Cost_Icecream+'Base Scenario'!D103*cost_choc_syrup+'Base Scenario'!E103*cost_straw_syrup</f>
        <v>520840</v>
      </c>
      <c r="H103" s="48">
        <f t="shared" si="33"/>
        <v>35000</v>
      </c>
      <c r="I103" s="48">
        <f t="shared" si="34"/>
        <v>30000</v>
      </c>
      <c r="J103" s="48">
        <f t="shared" si="35"/>
        <v>10000</v>
      </c>
      <c r="K103" s="48">
        <f t="shared" si="36"/>
        <v>862080</v>
      </c>
      <c r="L103" s="48">
        <f t="shared" si="37"/>
        <v>595840</v>
      </c>
      <c r="M103" s="48">
        <f t="shared" si="38"/>
        <v>66560</v>
      </c>
      <c r="N103" s="49">
        <f t="shared" si="39"/>
        <v>199680</v>
      </c>
    </row>
    <row r="104" spans="1:14" x14ac:dyDescent="0.25">
      <c r="A104" s="46">
        <f t="shared" si="30"/>
        <v>9</v>
      </c>
      <c r="B104" s="46">
        <f>'Corrected data'!B103</f>
        <v>102</v>
      </c>
      <c r="C104" s="46">
        <f>'Corrected data'!C103</f>
        <v>1808</v>
      </c>
      <c r="D104" s="46">
        <f t="shared" si="31"/>
        <v>3616</v>
      </c>
      <c r="E104" s="46">
        <f t="shared" si="32"/>
        <v>1808</v>
      </c>
      <c r="F104" s="46" t="str">
        <f t="shared" si="29"/>
        <v>Summer</v>
      </c>
      <c r="G104" s="48">
        <f>C104*Cost_Icecream+'Base Scenario'!D104*cost_choc_syrup+'Base Scenario'!E104*cost_straw_syrup</f>
        <v>524320</v>
      </c>
      <c r="H104" s="48">
        <f t="shared" si="33"/>
        <v>35000</v>
      </c>
      <c r="I104" s="48">
        <f t="shared" si="34"/>
        <v>30000</v>
      </c>
      <c r="J104" s="48">
        <f t="shared" si="35"/>
        <v>10000</v>
      </c>
      <c r="K104" s="48">
        <f t="shared" si="36"/>
        <v>867840</v>
      </c>
      <c r="L104" s="48">
        <f t="shared" si="37"/>
        <v>599320</v>
      </c>
      <c r="M104" s="48">
        <f t="shared" si="38"/>
        <v>67130</v>
      </c>
      <c r="N104" s="49">
        <f t="shared" si="39"/>
        <v>201390</v>
      </c>
    </row>
    <row r="105" spans="1:14" x14ac:dyDescent="0.25">
      <c r="A105" s="46">
        <f t="shared" si="30"/>
        <v>9</v>
      </c>
      <c r="B105" s="46">
        <f>'Corrected data'!B104</f>
        <v>103</v>
      </c>
      <c r="C105" s="46">
        <f>'Corrected data'!C104</f>
        <v>1820</v>
      </c>
      <c r="D105" s="46">
        <f t="shared" si="31"/>
        <v>3640</v>
      </c>
      <c r="E105" s="46">
        <f t="shared" si="32"/>
        <v>1820</v>
      </c>
      <c r="F105" s="46" t="str">
        <f t="shared" si="29"/>
        <v>Summer</v>
      </c>
      <c r="G105" s="48">
        <f>C105*Cost_Icecream+'Base Scenario'!D105*cost_choc_syrup+'Base Scenario'!E105*cost_straw_syrup</f>
        <v>527800</v>
      </c>
      <c r="H105" s="48">
        <f t="shared" si="33"/>
        <v>35000</v>
      </c>
      <c r="I105" s="48">
        <f t="shared" si="34"/>
        <v>30000</v>
      </c>
      <c r="J105" s="48">
        <f t="shared" si="35"/>
        <v>10000</v>
      </c>
      <c r="K105" s="48">
        <f t="shared" si="36"/>
        <v>873600</v>
      </c>
      <c r="L105" s="48">
        <f t="shared" si="37"/>
        <v>602800</v>
      </c>
      <c r="M105" s="48">
        <f t="shared" si="38"/>
        <v>67700</v>
      </c>
      <c r="N105" s="49">
        <f t="shared" si="39"/>
        <v>203100</v>
      </c>
    </row>
    <row r="106" spans="1:14" x14ac:dyDescent="0.25">
      <c r="A106" s="46">
        <f t="shared" si="30"/>
        <v>9</v>
      </c>
      <c r="B106" s="46">
        <f>'Corrected data'!B105</f>
        <v>104</v>
      </c>
      <c r="C106" s="46">
        <f>'Corrected data'!C105</f>
        <v>1832</v>
      </c>
      <c r="D106" s="46">
        <f t="shared" si="31"/>
        <v>3664</v>
      </c>
      <c r="E106" s="46">
        <f t="shared" si="32"/>
        <v>1832</v>
      </c>
      <c r="F106" s="46" t="str">
        <f t="shared" si="29"/>
        <v>Summer</v>
      </c>
      <c r="G106" s="48">
        <f>C106*Cost_Icecream+'Base Scenario'!D106*cost_choc_syrup+'Base Scenario'!E106*cost_straw_syrup</f>
        <v>531280</v>
      </c>
      <c r="H106" s="48">
        <f t="shared" si="33"/>
        <v>35000</v>
      </c>
      <c r="I106" s="48">
        <f t="shared" si="34"/>
        <v>30000</v>
      </c>
      <c r="J106" s="48">
        <f t="shared" si="35"/>
        <v>10000</v>
      </c>
      <c r="K106" s="48">
        <f t="shared" si="36"/>
        <v>879360</v>
      </c>
      <c r="L106" s="48">
        <f t="shared" si="37"/>
        <v>606280</v>
      </c>
      <c r="M106" s="48">
        <f t="shared" si="38"/>
        <v>68270</v>
      </c>
      <c r="N106" s="49">
        <f t="shared" si="39"/>
        <v>204810</v>
      </c>
    </row>
    <row r="107" spans="1:14" x14ac:dyDescent="0.25">
      <c r="A107" s="46">
        <f t="shared" si="30"/>
        <v>9</v>
      </c>
      <c r="B107" s="46">
        <f>'Corrected data'!B106</f>
        <v>105</v>
      </c>
      <c r="C107" s="46">
        <f>'Corrected data'!C106</f>
        <v>1844</v>
      </c>
      <c r="D107" s="46">
        <f t="shared" si="31"/>
        <v>3688</v>
      </c>
      <c r="E107" s="46">
        <f t="shared" si="32"/>
        <v>1844</v>
      </c>
      <c r="F107" s="46" t="str">
        <f t="shared" si="29"/>
        <v>Summer</v>
      </c>
      <c r="G107" s="48">
        <f>C107*Cost_Icecream+'Base Scenario'!D107*cost_choc_syrup+'Base Scenario'!E107*cost_straw_syrup</f>
        <v>534760</v>
      </c>
      <c r="H107" s="48">
        <f t="shared" si="33"/>
        <v>35000</v>
      </c>
      <c r="I107" s="48">
        <f t="shared" si="34"/>
        <v>30000</v>
      </c>
      <c r="J107" s="48">
        <f t="shared" si="35"/>
        <v>10000</v>
      </c>
      <c r="K107" s="48">
        <f t="shared" si="36"/>
        <v>885120</v>
      </c>
      <c r="L107" s="48">
        <f t="shared" si="37"/>
        <v>609760</v>
      </c>
      <c r="M107" s="48">
        <f t="shared" si="38"/>
        <v>68840</v>
      </c>
      <c r="N107" s="49">
        <f t="shared" si="39"/>
        <v>206520</v>
      </c>
    </row>
    <row r="108" spans="1:14" x14ac:dyDescent="0.25">
      <c r="A108" s="46">
        <f t="shared" si="30"/>
        <v>9</v>
      </c>
      <c r="B108" s="46">
        <f>'Corrected data'!B107</f>
        <v>106</v>
      </c>
      <c r="C108" s="46">
        <f>'Corrected data'!C107</f>
        <v>1856</v>
      </c>
      <c r="D108" s="46">
        <f t="shared" si="31"/>
        <v>3712</v>
      </c>
      <c r="E108" s="46">
        <f t="shared" si="32"/>
        <v>1856</v>
      </c>
      <c r="F108" s="46" t="str">
        <f t="shared" si="29"/>
        <v>Summer</v>
      </c>
      <c r="G108" s="48">
        <f>C108*Cost_Icecream+'Base Scenario'!D108*cost_choc_syrup+'Base Scenario'!E108*cost_straw_syrup</f>
        <v>538240</v>
      </c>
      <c r="H108" s="48">
        <f t="shared" si="33"/>
        <v>35000</v>
      </c>
      <c r="I108" s="48">
        <f t="shared" si="34"/>
        <v>30000</v>
      </c>
      <c r="J108" s="48">
        <f t="shared" si="35"/>
        <v>10000</v>
      </c>
      <c r="K108" s="48">
        <f t="shared" si="36"/>
        <v>890880</v>
      </c>
      <c r="L108" s="48">
        <f t="shared" si="37"/>
        <v>613240</v>
      </c>
      <c r="M108" s="48">
        <f t="shared" si="38"/>
        <v>69410</v>
      </c>
      <c r="N108" s="49">
        <f t="shared" si="39"/>
        <v>208230</v>
      </c>
    </row>
    <row r="109" spans="1:14" x14ac:dyDescent="0.25">
      <c r="A109" s="46">
        <f t="shared" si="30"/>
        <v>9</v>
      </c>
      <c r="B109" s="46">
        <f>'Corrected data'!B108</f>
        <v>107</v>
      </c>
      <c r="C109" s="46">
        <f>'Corrected data'!C108</f>
        <v>1868</v>
      </c>
      <c r="D109" s="46">
        <f t="shared" si="31"/>
        <v>3736</v>
      </c>
      <c r="E109" s="46">
        <f t="shared" si="32"/>
        <v>1868</v>
      </c>
      <c r="F109" s="46" t="str">
        <f t="shared" si="29"/>
        <v>Summer</v>
      </c>
      <c r="G109" s="48">
        <f>C109*Cost_Icecream+'Base Scenario'!D109*cost_choc_syrup+'Base Scenario'!E109*cost_straw_syrup</f>
        <v>541720</v>
      </c>
      <c r="H109" s="48">
        <f t="shared" si="33"/>
        <v>35000</v>
      </c>
      <c r="I109" s="48">
        <f t="shared" si="34"/>
        <v>30000</v>
      </c>
      <c r="J109" s="48">
        <f t="shared" si="35"/>
        <v>10000</v>
      </c>
      <c r="K109" s="48">
        <f t="shared" si="36"/>
        <v>896640</v>
      </c>
      <c r="L109" s="48">
        <f t="shared" si="37"/>
        <v>616720</v>
      </c>
      <c r="M109" s="48">
        <f t="shared" si="38"/>
        <v>69980</v>
      </c>
      <c r="N109" s="49">
        <f t="shared" si="39"/>
        <v>209940</v>
      </c>
    </row>
    <row r="110" spans="1:14" x14ac:dyDescent="0.25">
      <c r="A110" s="46">
        <f t="shared" si="30"/>
        <v>9</v>
      </c>
      <c r="B110" s="46">
        <f>'Corrected data'!B109</f>
        <v>108</v>
      </c>
      <c r="C110" s="46">
        <f>'Corrected data'!C109</f>
        <v>1880</v>
      </c>
      <c r="D110" s="46">
        <f t="shared" si="31"/>
        <v>3760</v>
      </c>
      <c r="E110" s="46">
        <f t="shared" si="32"/>
        <v>1880</v>
      </c>
      <c r="F110" s="46" t="str">
        <f t="shared" si="29"/>
        <v>Summer</v>
      </c>
      <c r="G110" s="48">
        <f>C110*Cost_Icecream+'Base Scenario'!D110*cost_choc_syrup+'Base Scenario'!E110*cost_straw_syrup</f>
        <v>545200</v>
      </c>
      <c r="H110" s="48">
        <f t="shared" si="33"/>
        <v>35000</v>
      </c>
      <c r="I110" s="48">
        <f t="shared" si="34"/>
        <v>30000</v>
      </c>
      <c r="J110" s="48">
        <f t="shared" si="35"/>
        <v>10000</v>
      </c>
      <c r="K110" s="48">
        <f t="shared" si="36"/>
        <v>902400</v>
      </c>
      <c r="L110" s="48">
        <f t="shared" si="37"/>
        <v>620200</v>
      </c>
      <c r="M110" s="48">
        <f t="shared" si="38"/>
        <v>70550</v>
      </c>
      <c r="N110" s="49">
        <f t="shared" si="39"/>
        <v>211650</v>
      </c>
    </row>
    <row r="111" spans="1:14" x14ac:dyDescent="0.25">
      <c r="A111" s="46">
        <f t="shared" si="30"/>
        <v>10</v>
      </c>
      <c r="B111" s="46">
        <f>'Corrected data'!B110</f>
        <v>109</v>
      </c>
      <c r="C111" s="46">
        <f>'Corrected data'!C110</f>
        <v>1539</v>
      </c>
      <c r="D111" s="46">
        <f t="shared" si="31"/>
        <v>3078</v>
      </c>
      <c r="E111" s="46">
        <f t="shared" si="32"/>
        <v>1539</v>
      </c>
      <c r="F111" s="46" t="str">
        <f t="shared" si="29"/>
        <v>Winter</v>
      </c>
      <c r="G111" s="48">
        <f>C111*Cost_Icecream+'Base Scenario'!D111*cost_choc_syrup+'Base Scenario'!E111*cost_straw_syrup</f>
        <v>446310</v>
      </c>
      <c r="H111" s="48">
        <f t="shared" si="33"/>
        <v>35000</v>
      </c>
      <c r="I111" s="48">
        <f t="shared" si="34"/>
        <v>30000</v>
      </c>
      <c r="J111" s="48">
        <f t="shared" si="35"/>
        <v>7000</v>
      </c>
      <c r="K111" s="48">
        <f t="shared" si="36"/>
        <v>707940</v>
      </c>
      <c r="L111" s="48">
        <f t="shared" si="37"/>
        <v>518310</v>
      </c>
      <c r="M111" s="48">
        <f t="shared" si="38"/>
        <v>47407.5</v>
      </c>
      <c r="N111" s="49">
        <f t="shared" si="39"/>
        <v>142222.5</v>
      </c>
    </row>
    <row r="112" spans="1:14" x14ac:dyDescent="0.25">
      <c r="A112" s="46">
        <f t="shared" si="30"/>
        <v>10</v>
      </c>
      <c r="B112" s="46">
        <f>'Corrected data'!B111</f>
        <v>110</v>
      </c>
      <c r="C112" s="46">
        <f>'Corrected data'!C111</f>
        <v>1550</v>
      </c>
      <c r="D112" s="46">
        <f t="shared" si="31"/>
        <v>3100</v>
      </c>
      <c r="E112" s="46">
        <f t="shared" si="32"/>
        <v>1550</v>
      </c>
      <c r="F112" s="46" t="str">
        <f t="shared" si="29"/>
        <v>Winter</v>
      </c>
      <c r="G112" s="48">
        <f>C112*Cost_Icecream+'Base Scenario'!D112*cost_choc_syrup+'Base Scenario'!E112*cost_straw_syrup</f>
        <v>449500</v>
      </c>
      <c r="H112" s="48">
        <f t="shared" si="33"/>
        <v>35000</v>
      </c>
      <c r="I112" s="48">
        <f t="shared" si="34"/>
        <v>30000</v>
      </c>
      <c r="J112" s="48">
        <f t="shared" si="35"/>
        <v>7000</v>
      </c>
      <c r="K112" s="48">
        <f t="shared" si="36"/>
        <v>713000</v>
      </c>
      <c r="L112" s="48">
        <f t="shared" si="37"/>
        <v>521500</v>
      </c>
      <c r="M112" s="48">
        <f t="shared" si="38"/>
        <v>47875</v>
      </c>
      <c r="N112" s="49">
        <f t="shared" si="39"/>
        <v>143625</v>
      </c>
    </row>
    <row r="113" spans="1:14" x14ac:dyDescent="0.25">
      <c r="A113" s="46">
        <f t="shared" si="30"/>
        <v>10</v>
      </c>
      <c r="B113" s="46">
        <f>'Corrected data'!B112</f>
        <v>111</v>
      </c>
      <c r="C113" s="46">
        <f>'Corrected data'!C112</f>
        <v>1561</v>
      </c>
      <c r="D113" s="46">
        <f t="shared" si="31"/>
        <v>3122</v>
      </c>
      <c r="E113" s="46">
        <f t="shared" si="32"/>
        <v>1561</v>
      </c>
      <c r="F113" s="46" t="str">
        <f t="shared" si="29"/>
        <v>Winter</v>
      </c>
      <c r="G113" s="48">
        <f>C113*Cost_Icecream+'Base Scenario'!D113*cost_choc_syrup+'Base Scenario'!E113*cost_straw_syrup</f>
        <v>452690</v>
      </c>
      <c r="H113" s="48">
        <f t="shared" si="33"/>
        <v>35000</v>
      </c>
      <c r="I113" s="48">
        <f t="shared" si="34"/>
        <v>30000</v>
      </c>
      <c r="J113" s="48">
        <f t="shared" si="35"/>
        <v>7000</v>
      </c>
      <c r="K113" s="48">
        <f t="shared" si="36"/>
        <v>718060</v>
      </c>
      <c r="L113" s="48">
        <f t="shared" si="37"/>
        <v>524690</v>
      </c>
      <c r="M113" s="48">
        <f t="shared" si="38"/>
        <v>48342.5</v>
      </c>
      <c r="N113" s="49">
        <f t="shared" si="39"/>
        <v>145027.5</v>
      </c>
    </row>
    <row r="114" spans="1:14" x14ac:dyDescent="0.25">
      <c r="A114" s="46">
        <f t="shared" si="30"/>
        <v>10</v>
      </c>
      <c r="B114" s="46">
        <f>'Corrected data'!B113</f>
        <v>112</v>
      </c>
      <c r="C114" s="46">
        <f>'Corrected data'!C113</f>
        <v>1924</v>
      </c>
      <c r="D114" s="46">
        <f t="shared" si="31"/>
        <v>3848</v>
      </c>
      <c r="E114" s="46">
        <f t="shared" si="32"/>
        <v>1924</v>
      </c>
      <c r="F114" s="46" t="str">
        <f t="shared" si="29"/>
        <v>Summer</v>
      </c>
      <c r="G114" s="48">
        <f>C114*Cost_Icecream+'Base Scenario'!D114*cost_choc_syrup+'Base Scenario'!E114*cost_straw_syrup</f>
        <v>557960</v>
      </c>
      <c r="H114" s="48">
        <f t="shared" si="33"/>
        <v>35000</v>
      </c>
      <c r="I114" s="48">
        <f t="shared" si="34"/>
        <v>30000</v>
      </c>
      <c r="J114" s="48">
        <f t="shared" si="35"/>
        <v>10000</v>
      </c>
      <c r="K114" s="48">
        <f t="shared" si="36"/>
        <v>923520</v>
      </c>
      <c r="L114" s="48">
        <f t="shared" si="37"/>
        <v>632960</v>
      </c>
      <c r="M114" s="48">
        <f t="shared" si="38"/>
        <v>72640</v>
      </c>
      <c r="N114" s="49">
        <f t="shared" si="39"/>
        <v>217920</v>
      </c>
    </row>
    <row r="115" spans="1:14" x14ac:dyDescent="0.25">
      <c r="A115" s="46">
        <f t="shared" si="30"/>
        <v>10</v>
      </c>
      <c r="B115" s="46">
        <f>'Corrected data'!B114</f>
        <v>113</v>
      </c>
      <c r="C115" s="46">
        <f>'Corrected data'!C114</f>
        <v>1937</v>
      </c>
      <c r="D115" s="46">
        <f t="shared" si="31"/>
        <v>3874</v>
      </c>
      <c r="E115" s="46">
        <f t="shared" si="32"/>
        <v>1937</v>
      </c>
      <c r="F115" s="46" t="str">
        <f t="shared" si="29"/>
        <v>Summer</v>
      </c>
      <c r="G115" s="48">
        <f>C115*Cost_Icecream+'Base Scenario'!D115*cost_choc_syrup+'Base Scenario'!E115*cost_straw_syrup</f>
        <v>561730</v>
      </c>
      <c r="H115" s="48">
        <f t="shared" si="33"/>
        <v>35000</v>
      </c>
      <c r="I115" s="48">
        <f t="shared" si="34"/>
        <v>30000</v>
      </c>
      <c r="J115" s="48">
        <f t="shared" si="35"/>
        <v>10000</v>
      </c>
      <c r="K115" s="48">
        <f t="shared" si="36"/>
        <v>929760</v>
      </c>
      <c r="L115" s="48">
        <f t="shared" si="37"/>
        <v>636730</v>
      </c>
      <c r="M115" s="48">
        <f t="shared" si="38"/>
        <v>73257.5</v>
      </c>
      <c r="N115" s="49">
        <f t="shared" si="39"/>
        <v>219772.5</v>
      </c>
    </row>
    <row r="116" spans="1:14" x14ac:dyDescent="0.25">
      <c r="A116" s="46">
        <f t="shared" si="30"/>
        <v>10</v>
      </c>
      <c r="B116" s="46">
        <f>'Corrected data'!B115</f>
        <v>114</v>
      </c>
      <c r="C116" s="46">
        <f>'Corrected data'!C115</f>
        <v>1951</v>
      </c>
      <c r="D116" s="46">
        <f t="shared" si="31"/>
        <v>3902</v>
      </c>
      <c r="E116" s="46">
        <f t="shared" si="32"/>
        <v>1951</v>
      </c>
      <c r="F116" s="46" t="str">
        <f t="shared" si="29"/>
        <v>Summer</v>
      </c>
      <c r="G116" s="48">
        <f>C116*Cost_Icecream+'Base Scenario'!D116*cost_choc_syrup+'Base Scenario'!E116*cost_straw_syrup</f>
        <v>565790</v>
      </c>
      <c r="H116" s="48">
        <f t="shared" si="33"/>
        <v>35000</v>
      </c>
      <c r="I116" s="48">
        <f t="shared" si="34"/>
        <v>30000</v>
      </c>
      <c r="J116" s="48">
        <f t="shared" si="35"/>
        <v>10000</v>
      </c>
      <c r="K116" s="48">
        <f t="shared" si="36"/>
        <v>936480</v>
      </c>
      <c r="L116" s="48">
        <f t="shared" si="37"/>
        <v>640790</v>
      </c>
      <c r="M116" s="48">
        <f t="shared" si="38"/>
        <v>73922.5</v>
      </c>
      <c r="N116" s="49">
        <f t="shared" si="39"/>
        <v>221767.5</v>
      </c>
    </row>
    <row r="117" spans="1:14" x14ac:dyDescent="0.25">
      <c r="A117" s="46">
        <f t="shared" si="30"/>
        <v>10</v>
      </c>
      <c r="B117" s="46">
        <f>'Corrected data'!B116</f>
        <v>115</v>
      </c>
      <c r="C117" s="46">
        <f>'Corrected data'!C116</f>
        <v>1965</v>
      </c>
      <c r="D117" s="46">
        <f t="shared" si="31"/>
        <v>3930</v>
      </c>
      <c r="E117" s="46">
        <f t="shared" si="32"/>
        <v>1965</v>
      </c>
      <c r="F117" s="46" t="str">
        <f t="shared" si="29"/>
        <v>Summer</v>
      </c>
      <c r="G117" s="48">
        <f>C117*Cost_Icecream+'Base Scenario'!D117*cost_choc_syrup+'Base Scenario'!E117*cost_straw_syrup</f>
        <v>569850</v>
      </c>
      <c r="H117" s="48">
        <f t="shared" si="33"/>
        <v>35000</v>
      </c>
      <c r="I117" s="48">
        <f t="shared" si="34"/>
        <v>30000</v>
      </c>
      <c r="J117" s="48">
        <f t="shared" si="35"/>
        <v>10000</v>
      </c>
      <c r="K117" s="48">
        <f t="shared" si="36"/>
        <v>943200</v>
      </c>
      <c r="L117" s="48">
        <f t="shared" si="37"/>
        <v>644850</v>
      </c>
      <c r="M117" s="48">
        <f t="shared" si="38"/>
        <v>74587.5</v>
      </c>
      <c r="N117" s="49">
        <f t="shared" si="39"/>
        <v>223762.5</v>
      </c>
    </row>
    <row r="118" spans="1:14" x14ac:dyDescent="0.25">
      <c r="A118" s="46">
        <f t="shared" si="30"/>
        <v>10</v>
      </c>
      <c r="B118" s="46">
        <f>'Corrected data'!B117</f>
        <v>116</v>
      </c>
      <c r="C118" s="46">
        <f>'Corrected data'!C117</f>
        <v>1979</v>
      </c>
      <c r="D118" s="46">
        <f t="shared" si="31"/>
        <v>3958</v>
      </c>
      <c r="E118" s="46">
        <f t="shared" si="32"/>
        <v>1979</v>
      </c>
      <c r="F118" s="46" t="str">
        <f t="shared" si="29"/>
        <v>Summer</v>
      </c>
      <c r="G118" s="48">
        <f>C118*Cost_Icecream+'Base Scenario'!D118*cost_choc_syrup+'Base Scenario'!E118*cost_straw_syrup</f>
        <v>573910</v>
      </c>
      <c r="H118" s="48">
        <f t="shared" si="33"/>
        <v>35000</v>
      </c>
      <c r="I118" s="48">
        <f t="shared" si="34"/>
        <v>30000</v>
      </c>
      <c r="J118" s="48">
        <f t="shared" si="35"/>
        <v>10000</v>
      </c>
      <c r="K118" s="48">
        <f t="shared" si="36"/>
        <v>949920</v>
      </c>
      <c r="L118" s="48">
        <f t="shared" si="37"/>
        <v>648910</v>
      </c>
      <c r="M118" s="48">
        <f t="shared" si="38"/>
        <v>75252.5</v>
      </c>
      <c r="N118" s="49">
        <f t="shared" si="39"/>
        <v>225757.5</v>
      </c>
    </row>
    <row r="119" spans="1:14" x14ac:dyDescent="0.25">
      <c r="A119" s="46">
        <f t="shared" si="30"/>
        <v>10</v>
      </c>
      <c r="B119" s="46">
        <f>'Corrected data'!B118</f>
        <v>117</v>
      </c>
      <c r="C119" s="46">
        <f>'Corrected data'!C118</f>
        <v>1993</v>
      </c>
      <c r="D119" s="46">
        <f t="shared" si="31"/>
        <v>3986</v>
      </c>
      <c r="E119" s="46">
        <f t="shared" si="32"/>
        <v>1993</v>
      </c>
      <c r="F119" s="46" t="str">
        <f t="shared" si="29"/>
        <v>Summer</v>
      </c>
      <c r="G119" s="48">
        <f>C119*Cost_Icecream+'Base Scenario'!D119*cost_choc_syrup+'Base Scenario'!E119*cost_straw_syrup</f>
        <v>577970</v>
      </c>
      <c r="H119" s="48">
        <f t="shared" si="33"/>
        <v>35000</v>
      </c>
      <c r="I119" s="48">
        <f t="shared" si="34"/>
        <v>30000</v>
      </c>
      <c r="J119" s="48">
        <f t="shared" si="35"/>
        <v>10000</v>
      </c>
      <c r="K119" s="48">
        <f t="shared" si="36"/>
        <v>956640</v>
      </c>
      <c r="L119" s="48">
        <f t="shared" si="37"/>
        <v>652970</v>
      </c>
      <c r="M119" s="48">
        <f t="shared" si="38"/>
        <v>75917.5</v>
      </c>
      <c r="N119" s="49">
        <f t="shared" si="39"/>
        <v>227752.5</v>
      </c>
    </row>
    <row r="120" spans="1:14" x14ac:dyDescent="0.25">
      <c r="A120" s="46">
        <f t="shared" si="30"/>
        <v>10</v>
      </c>
      <c r="B120" s="46">
        <f>'Corrected data'!B119</f>
        <v>118</v>
      </c>
      <c r="C120" s="46">
        <f>'Corrected data'!C119</f>
        <v>2000</v>
      </c>
      <c r="D120" s="46">
        <f t="shared" si="31"/>
        <v>4000</v>
      </c>
      <c r="E120" s="46">
        <f t="shared" si="32"/>
        <v>2000</v>
      </c>
      <c r="F120" s="46" t="str">
        <f t="shared" si="29"/>
        <v>Summer</v>
      </c>
      <c r="G120" s="48">
        <f>C120*Cost_Icecream+'Base Scenario'!D120*cost_choc_syrup+'Base Scenario'!E120*cost_straw_syrup</f>
        <v>580000</v>
      </c>
      <c r="H120" s="48">
        <f t="shared" si="33"/>
        <v>35000</v>
      </c>
      <c r="I120" s="48">
        <f t="shared" si="34"/>
        <v>30000</v>
      </c>
      <c r="J120" s="48">
        <f t="shared" si="35"/>
        <v>10000</v>
      </c>
      <c r="K120" s="48">
        <f t="shared" si="36"/>
        <v>960000</v>
      </c>
      <c r="L120" s="48">
        <f t="shared" si="37"/>
        <v>655000</v>
      </c>
      <c r="M120" s="48">
        <f t="shared" si="38"/>
        <v>76250</v>
      </c>
      <c r="N120" s="49">
        <f t="shared" si="39"/>
        <v>228750</v>
      </c>
    </row>
    <row r="121" spans="1:14" x14ac:dyDescent="0.25">
      <c r="A121" s="46">
        <f t="shared" si="30"/>
        <v>10</v>
      </c>
      <c r="B121" s="46">
        <f>'Corrected data'!B120</f>
        <v>119</v>
      </c>
      <c r="C121" s="46">
        <f>'Corrected data'!C120</f>
        <v>2000</v>
      </c>
      <c r="D121" s="46">
        <f t="shared" si="31"/>
        <v>4000</v>
      </c>
      <c r="E121" s="46">
        <f t="shared" si="32"/>
        <v>2000</v>
      </c>
      <c r="F121" s="46" t="str">
        <f t="shared" si="29"/>
        <v>Summer</v>
      </c>
      <c r="G121" s="48">
        <f>C121*Cost_Icecream+'Base Scenario'!D121*cost_choc_syrup+'Base Scenario'!E121*cost_straw_syrup</f>
        <v>580000</v>
      </c>
      <c r="H121" s="48">
        <f t="shared" si="33"/>
        <v>35000</v>
      </c>
      <c r="I121" s="48">
        <f t="shared" si="34"/>
        <v>30000</v>
      </c>
      <c r="J121" s="48">
        <f t="shared" si="35"/>
        <v>10000</v>
      </c>
      <c r="K121" s="48">
        <f t="shared" si="36"/>
        <v>960000</v>
      </c>
      <c r="L121" s="48">
        <f t="shared" si="37"/>
        <v>655000</v>
      </c>
      <c r="M121" s="48">
        <f t="shared" si="38"/>
        <v>76250</v>
      </c>
      <c r="N121" s="49">
        <f t="shared" si="39"/>
        <v>228750</v>
      </c>
    </row>
    <row r="122" spans="1:14" x14ac:dyDescent="0.25">
      <c r="A122" s="46">
        <f t="shared" si="30"/>
        <v>10</v>
      </c>
      <c r="B122" s="46">
        <f>'Corrected data'!B121</f>
        <v>120</v>
      </c>
      <c r="C122" s="46">
        <f>'Corrected data'!C121</f>
        <v>2000</v>
      </c>
      <c r="D122" s="46">
        <f t="shared" si="31"/>
        <v>4000</v>
      </c>
      <c r="E122" s="46">
        <f t="shared" si="32"/>
        <v>2000</v>
      </c>
      <c r="F122" s="46" t="str">
        <f t="shared" si="29"/>
        <v>Summer</v>
      </c>
      <c r="G122" s="48">
        <f>C122*Cost_Icecream+'Base Scenario'!D122*cost_choc_syrup+'Base Scenario'!E122*cost_straw_syrup</f>
        <v>580000</v>
      </c>
      <c r="H122" s="48">
        <f t="shared" si="33"/>
        <v>35000</v>
      </c>
      <c r="I122" s="48">
        <f t="shared" si="34"/>
        <v>30000</v>
      </c>
      <c r="J122" s="48">
        <f t="shared" si="35"/>
        <v>10000</v>
      </c>
      <c r="K122" s="48">
        <f t="shared" si="36"/>
        <v>960000</v>
      </c>
      <c r="L122" s="48">
        <f t="shared" si="37"/>
        <v>655000</v>
      </c>
      <c r="M122" s="48">
        <f t="shared" si="38"/>
        <v>76250</v>
      </c>
      <c r="N122" s="49">
        <f t="shared" si="39"/>
        <v>228750</v>
      </c>
    </row>
    <row r="123" spans="1:14" x14ac:dyDescent="0.25">
      <c r="G123" s="2"/>
      <c r="H123" s="2"/>
      <c r="I123" s="2"/>
      <c r="J123" s="2"/>
      <c r="K123" s="2"/>
      <c r="L123" s="2"/>
      <c r="M123" s="2"/>
      <c r="N123" s="7"/>
    </row>
    <row r="124" spans="1:14" x14ac:dyDescent="0.25">
      <c r="G124" s="2"/>
      <c r="H124" s="2"/>
      <c r="I124" s="2"/>
      <c r="J124" s="2"/>
      <c r="K124" s="2"/>
      <c r="L124" s="2"/>
      <c r="M124" s="2"/>
      <c r="N124" s="7"/>
    </row>
    <row r="125" spans="1:14" x14ac:dyDescent="0.25">
      <c r="G125" s="2"/>
      <c r="H125" s="2"/>
      <c r="I125" s="2"/>
      <c r="J125" s="2"/>
      <c r="K125" s="2"/>
      <c r="L125" s="2"/>
      <c r="M125" s="2"/>
      <c r="N125" s="7"/>
    </row>
    <row r="126" spans="1:14" x14ac:dyDescent="0.25">
      <c r="G126" s="2"/>
      <c r="H126" s="2"/>
      <c r="I126" s="2"/>
      <c r="J126" s="2"/>
      <c r="K126" s="2"/>
      <c r="L126" s="2"/>
      <c r="M126" s="2"/>
      <c r="N126" s="7"/>
    </row>
    <row r="127" spans="1:14" x14ac:dyDescent="0.25">
      <c r="G127" s="2"/>
      <c r="H127" s="2"/>
      <c r="I127" s="2"/>
      <c r="J127" s="2"/>
      <c r="K127" s="2"/>
      <c r="L127" s="2"/>
      <c r="M127" s="2"/>
      <c r="N127" s="7"/>
    </row>
    <row r="128" spans="1:14" x14ac:dyDescent="0.25">
      <c r="G128" s="2"/>
      <c r="H128" s="2"/>
      <c r="I128" s="2"/>
      <c r="J128" s="2"/>
      <c r="K128" s="2"/>
      <c r="L128" s="2"/>
      <c r="M128" s="2"/>
      <c r="N128" s="7"/>
    </row>
    <row r="129" spans="7:14" x14ac:dyDescent="0.25">
      <c r="G129" s="2"/>
      <c r="H129" s="2"/>
      <c r="I129" s="2"/>
      <c r="J129" s="2"/>
      <c r="K129" s="2"/>
      <c r="L129" s="2"/>
      <c r="M129" s="2"/>
      <c r="N129" s="7"/>
    </row>
    <row r="130" spans="7:14" x14ac:dyDescent="0.25">
      <c r="G130" s="2"/>
      <c r="H130" s="2"/>
      <c r="I130" s="2"/>
      <c r="J130" s="2"/>
      <c r="K130" s="2"/>
      <c r="L130" s="2"/>
      <c r="M130" s="2"/>
      <c r="N130" s="7"/>
    </row>
    <row r="131" spans="7:14" x14ac:dyDescent="0.25">
      <c r="G131" s="2"/>
      <c r="H131" s="2"/>
      <c r="I131" s="2"/>
      <c r="J131" s="2"/>
      <c r="K131" s="2"/>
      <c r="L131" s="2"/>
      <c r="M131" s="2"/>
      <c r="N131" s="7"/>
    </row>
    <row r="132" spans="7:14" x14ac:dyDescent="0.25">
      <c r="G132" s="2"/>
      <c r="H132" s="2"/>
      <c r="I132" s="2"/>
      <c r="J132" s="2"/>
      <c r="K132" s="2"/>
      <c r="L132" s="2"/>
      <c r="M132" s="2"/>
      <c r="N132" s="7"/>
    </row>
    <row r="133" spans="7:14" x14ac:dyDescent="0.25">
      <c r="G133" s="2"/>
      <c r="H133" s="2"/>
      <c r="I133" s="2"/>
      <c r="J133" s="2"/>
      <c r="K133" s="2"/>
      <c r="L133" s="2"/>
      <c r="M133" s="2"/>
      <c r="N133" s="7"/>
    </row>
    <row r="134" spans="7:14" x14ac:dyDescent="0.25">
      <c r="G134" s="2"/>
      <c r="H134" s="2"/>
      <c r="I134" s="2"/>
      <c r="J134" s="2"/>
      <c r="K134" s="2"/>
      <c r="L134" s="2"/>
      <c r="M134" s="2"/>
      <c r="N134" s="7"/>
    </row>
    <row r="135" spans="7:14" x14ac:dyDescent="0.25">
      <c r="G135" s="2"/>
      <c r="H135" s="2"/>
      <c r="I135" s="2"/>
      <c r="J135" s="2"/>
      <c r="K135" s="2"/>
      <c r="L135" s="2"/>
      <c r="M135" s="2"/>
      <c r="N135" s="7"/>
    </row>
    <row r="136" spans="7:14" x14ac:dyDescent="0.25">
      <c r="G136" s="2"/>
      <c r="H136" s="2"/>
      <c r="I136" s="2"/>
      <c r="J136" s="2"/>
      <c r="K136" s="2"/>
      <c r="L136" s="2"/>
      <c r="M136" s="2"/>
      <c r="N136" s="7"/>
    </row>
    <row r="137" spans="7:14" x14ac:dyDescent="0.25">
      <c r="G137" s="2"/>
      <c r="H137" s="2"/>
      <c r="I137" s="2"/>
      <c r="J137" s="2"/>
      <c r="K137" s="2"/>
      <c r="L137" s="2"/>
      <c r="M137" s="2"/>
      <c r="N137" s="7"/>
    </row>
    <row r="138" spans="7:14" x14ac:dyDescent="0.25">
      <c r="G138" s="2"/>
      <c r="H138" s="2"/>
      <c r="I138" s="2"/>
      <c r="J138" s="2"/>
      <c r="K138" s="2"/>
      <c r="L138" s="2"/>
      <c r="M138" s="2"/>
      <c r="N138" s="7"/>
    </row>
    <row r="139" spans="7:14" x14ac:dyDescent="0.25">
      <c r="G139" s="2"/>
      <c r="H139" s="2"/>
      <c r="I139" s="2"/>
      <c r="J139" s="2"/>
      <c r="K139" s="2"/>
      <c r="L139" s="2"/>
      <c r="M139" s="2"/>
      <c r="N139" s="7"/>
    </row>
    <row r="140" spans="7:14" x14ac:dyDescent="0.25">
      <c r="G140" s="2"/>
      <c r="H140" s="2"/>
      <c r="I140" s="2"/>
      <c r="J140" s="2"/>
      <c r="K140" s="2"/>
      <c r="L140" s="2"/>
      <c r="M140" s="2"/>
      <c r="N140" s="7"/>
    </row>
    <row r="141" spans="7:14" x14ac:dyDescent="0.25">
      <c r="G141" s="2"/>
      <c r="H141" s="2"/>
      <c r="I141" s="2"/>
      <c r="J141" s="2"/>
      <c r="K141" s="2"/>
      <c r="L141" s="2"/>
      <c r="M141" s="2"/>
      <c r="N141" s="7"/>
    </row>
    <row r="142" spans="7:14" x14ac:dyDescent="0.25">
      <c r="G142" s="2"/>
      <c r="H142" s="2"/>
      <c r="I142" s="2"/>
      <c r="J142" s="2"/>
      <c r="K142" s="2"/>
      <c r="L142" s="2"/>
      <c r="M142" s="2"/>
      <c r="N142" s="7"/>
    </row>
    <row r="143" spans="7:14" x14ac:dyDescent="0.25">
      <c r="G143" s="2"/>
      <c r="H143" s="2"/>
      <c r="I143" s="2"/>
      <c r="J143" s="2"/>
      <c r="K143" s="2"/>
      <c r="L143" s="2"/>
      <c r="M143" s="2"/>
      <c r="N143" s="7"/>
    </row>
    <row r="144" spans="7:14" x14ac:dyDescent="0.25">
      <c r="G144" s="2"/>
      <c r="H144" s="2"/>
      <c r="I144" s="2"/>
      <c r="J144" s="2"/>
      <c r="K144" s="2"/>
      <c r="L144" s="2"/>
      <c r="M144" s="2"/>
      <c r="N144" s="7"/>
    </row>
    <row r="145" spans="7:14" x14ac:dyDescent="0.25">
      <c r="G145" s="2"/>
      <c r="H145" s="2"/>
      <c r="I145" s="2"/>
      <c r="J145" s="2"/>
      <c r="K145" s="2"/>
      <c r="L145" s="2"/>
      <c r="M145" s="2"/>
      <c r="N145" s="7"/>
    </row>
    <row r="146" spans="7:14" x14ac:dyDescent="0.25">
      <c r="G146" s="2"/>
      <c r="H146" s="2"/>
      <c r="I146" s="2"/>
      <c r="J146" s="2"/>
      <c r="K146" s="2"/>
      <c r="L146" s="2"/>
      <c r="M146" s="2"/>
      <c r="N146" s="7"/>
    </row>
    <row r="147" spans="7:14" x14ac:dyDescent="0.25">
      <c r="G147" s="2"/>
      <c r="H147" s="2"/>
      <c r="I147" s="2"/>
      <c r="J147" s="2"/>
      <c r="K147" s="2"/>
      <c r="L147" s="2"/>
      <c r="M147" s="2"/>
      <c r="N147" s="7"/>
    </row>
    <row r="148" spans="7:14" x14ac:dyDescent="0.25">
      <c r="G148" s="2"/>
      <c r="H148" s="2"/>
      <c r="I148" s="2"/>
      <c r="J148" s="2"/>
      <c r="K148" s="2"/>
      <c r="L148" s="2"/>
      <c r="M148" s="2"/>
      <c r="N148" s="7"/>
    </row>
    <row r="149" spans="7:14" x14ac:dyDescent="0.25">
      <c r="G149" s="2"/>
      <c r="H149" s="2"/>
      <c r="I149" s="2"/>
      <c r="J149" s="2"/>
      <c r="K149" s="2"/>
      <c r="L149" s="2"/>
      <c r="M149" s="2"/>
      <c r="N149" s="7"/>
    </row>
    <row r="150" spans="7:14" x14ac:dyDescent="0.25">
      <c r="G150" s="2"/>
      <c r="H150" s="2"/>
      <c r="I150" s="2"/>
      <c r="J150" s="2"/>
      <c r="K150" s="2"/>
      <c r="L150" s="2"/>
      <c r="M150" s="2"/>
      <c r="N150" s="7"/>
    </row>
    <row r="151" spans="7:14" x14ac:dyDescent="0.25">
      <c r="G151" s="2"/>
      <c r="H151" s="2"/>
      <c r="I151" s="2"/>
      <c r="J151" s="2"/>
      <c r="K151" s="2"/>
      <c r="L151" s="2"/>
      <c r="M151" s="2"/>
      <c r="N151" s="7"/>
    </row>
    <row r="152" spans="7:14" x14ac:dyDescent="0.25">
      <c r="G152" s="2"/>
      <c r="H152" s="2"/>
      <c r="I152" s="2"/>
      <c r="J152" s="2"/>
      <c r="K152" s="2"/>
      <c r="L152" s="2"/>
      <c r="M152" s="2"/>
      <c r="N152" s="7"/>
    </row>
    <row r="153" spans="7:14" x14ac:dyDescent="0.25">
      <c r="G153" s="2"/>
      <c r="H153" s="2"/>
      <c r="I153" s="2"/>
      <c r="J153" s="2"/>
      <c r="K153" s="2"/>
      <c r="L153" s="2"/>
      <c r="M153" s="2"/>
      <c r="N153" s="7"/>
    </row>
    <row r="154" spans="7:14" x14ac:dyDescent="0.25">
      <c r="G154" s="2"/>
      <c r="H154" s="2"/>
      <c r="I154" s="2"/>
      <c r="J154" s="2"/>
      <c r="K154" s="2"/>
      <c r="L154" s="2"/>
      <c r="M154" s="2"/>
      <c r="N154" s="7"/>
    </row>
    <row r="155" spans="7:14" x14ac:dyDescent="0.25">
      <c r="G155" s="2"/>
      <c r="H155" s="2"/>
      <c r="I155" s="2"/>
      <c r="J155" s="2"/>
      <c r="K155" s="2"/>
      <c r="L155" s="2"/>
      <c r="M155" s="2"/>
      <c r="N155" s="7"/>
    </row>
    <row r="156" spans="7:14" x14ac:dyDescent="0.25">
      <c r="G156" s="2"/>
      <c r="H156" s="2"/>
      <c r="I156" s="2"/>
      <c r="J156" s="2"/>
      <c r="K156" s="2"/>
      <c r="L156" s="2"/>
      <c r="M156" s="2"/>
      <c r="N156" s="7"/>
    </row>
    <row r="157" spans="7:14" x14ac:dyDescent="0.25">
      <c r="G157" s="2"/>
      <c r="H157" s="2"/>
      <c r="I157" s="2"/>
      <c r="J157" s="2"/>
      <c r="K157" s="2"/>
      <c r="L157" s="2"/>
      <c r="M157" s="2"/>
      <c r="N157" s="7"/>
    </row>
    <row r="158" spans="7:14" x14ac:dyDescent="0.25">
      <c r="G158" s="2"/>
      <c r="H158" s="2"/>
      <c r="I158" s="2"/>
      <c r="J158" s="2"/>
      <c r="K158" s="2"/>
      <c r="L158" s="2"/>
      <c r="M158" s="2"/>
      <c r="N158" s="7"/>
    </row>
    <row r="159" spans="7:14" x14ac:dyDescent="0.25">
      <c r="G159" s="2"/>
      <c r="H159" s="2"/>
      <c r="I159" s="2"/>
      <c r="J159" s="2"/>
      <c r="K159" s="2"/>
      <c r="L159" s="2"/>
      <c r="M159" s="2"/>
      <c r="N159" s="7"/>
    </row>
    <row r="160" spans="7:14" x14ac:dyDescent="0.25">
      <c r="G160" s="2"/>
      <c r="H160" s="2"/>
      <c r="I160" s="2"/>
      <c r="J160" s="2"/>
      <c r="K160" s="2"/>
      <c r="L160" s="2"/>
      <c r="M160" s="2"/>
      <c r="N160" s="7"/>
    </row>
    <row r="161" spans="7:14" x14ac:dyDescent="0.25">
      <c r="G161" s="2"/>
      <c r="H161" s="2"/>
      <c r="I161" s="2"/>
      <c r="J161" s="2"/>
      <c r="K161" s="2"/>
      <c r="L161" s="2"/>
      <c r="M161" s="2"/>
      <c r="N161" s="7"/>
    </row>
    <row r="162" spans="7:14" x14ac:dyDescent="0.25">
      <c r="G162" s="2"/>
      <c r="H162" s="2"/>
      <c r="I162" s="2"/>
      <c r="J162" s="2"/>
      <c r="K162" s="2"/>
      <c r="L162" s="2"/>
      <c r="M162" s="2"/>
      <c r="N162" s="7"/>
    </row>
    <row r="163" spans="7:14" x14ac:dyDescent="0.25">
      <c r="G163" s="2"/>
      <c r="H163" s="2"/>
      <c r="I163" s="2"/>
      <c r="J163" s="2"/>
      <c r="K163" s="2"/>
      <c r="L163" s="2"/>
      <c r="M163" s="2"/>
      <c r="N163" s="7"/>
    </row>
    <row r="164" spans="7:14" x14ac:dyDescent="0.25">
      <c r="G164" s="2"/>
      <c r="H164" s="2"/>
      <c r="I164" s="2"/>
      <c r="J164" s="2"/>
      <c r="K164" s="2"/>
      <c r="L164" s="2"/>
      <c r="M164" s="2"/>
      <c r="N164" s="7"/>
    </row>
    <row r="165" spans="7:14" x14ac:dyDescent="0.25">
      <c r="G165" s="2"/>
      <c r="H165" s="2"/>
      <c r="I165" s="2"/>
      <c r="J165" s="2"/>
      <c r="K165" s="2"/>
      <c r="L165" s="2"/>
      <c r="M165" s="2"/>
      <c r="N165" s="7"/>
    </row>
    <row r="166" spans="7:14" x14ac:dyDescent="0.25">
      <c r="G166" s="2"/>
      <c r="H166" s="2"/>
      <c r="I166" s="2"/>
      <c r="J166" s="2"/>
      <c r="K166" s="2"/>
      <c r="L166" s="2"/>
      <c r="M166" s="2"/>
      <c r="N166" s="7"/>
    </row>
    <row r="167" spans="7:14" x14ac:dyDescent="0.25">
      <c r="G167" s="2"/>
      <c r="H167" s="2"/>
      <c r="I167" s="2"/>
      <c r="J167" s="2"/>
      <c r="K167" s="2"/>
      <c r="L167" s="2"/>
      <c r="M167" s="2"/>
      <c r="N167" s="7"/>
    </row>
    <row r="168" spans="7:14" x14ac:dyDescent="0.25">
      <c r="G168" s="2"/>
      <c r="H168" s="2"/>
      <c r="I168" s="2"/>
      <c r="J168" s="2"/>
      <c r="K168" s="2"/>
      <c r="L168" s="2"/>
      <c r="M168" s="2"/>
      <c r="N168" s="7"/>
    </row>
    <row r="169" spans="7:14" x14ac:dyDescent="0.25">
      <c r="G169" s="2"/>
      <c r="H169" s="2"/>
      <c r="I169" s="2"/>
      <c r="J169" s="2"/>
      <c r="K169" s="2"/>
      <c r="L169" s="2"/>
      <c r="M169" s="2"/>
      <c r="N169" s="7"/>
    </row>
    <row r="170" spans="7:14" x14ac:dyDescent="0.25">
      <c r="G170" s="2"/>
      <c r="H170" s="2"/>
      <c r="I170" s="2"/>
      <c r="J170" s="2"/>
      <c r="K170" s="2"/>
      <c r="L170" s="2"/>
      <c r="M170" s="2"/>
      <c r="N170" s="7"/>
    </row>
    <row r="171" spans="7:14" x14ac:dyDescent="0.25">
      <c r="G171" s="2"/>
      <c r="H171" s="2"/>
      <c r="I171" s="2"/>
      <c r="J171" s="2"/>
      <c r="K171" s="2"/>
      <c r="L171" s="2"/>
      <c r="M171" s="2"/>
      <c r="N171" s="7"/>
    </row>
    <row r="172" spans="7:14" x14ac:dyDescent="0.25">
      <c r="G172" s="2"/>
      <c r="H172" s="2"/>
      <c r="I172" s="2"/>
      <c r="J172" s="2"/>
      <c r="K172" s="2"/>
      <c r="L172" s="2"/>
      <c r="M172" s="2"/>
      <c r="N172" s="7"/>
    </row>
    <row r="173" spans="7:14" x14ac:dyDescent="0.25">
      <c r="G173" s="2"/>
      <c r="H173" s="2"/>
      <c r="I173" s="2"/>
      <c r="J173" s="2"/>
      <c r="K173" s="2"/>
      <c r="L173" s="2"/>
      <c r="M173" s="2"/>
      <c r="N173" s="7"/>
    </row>
    <row r="174" spans="7:14" x14ac:dyDescent="0.25">
      <c r="G174" s="2"/>
      <c r="H174" s="2"/>
      <c r="I174" s="2"/>
      <c r="J174" s="2"/>
      <c r="K174" s="2"/>
      <c r="L174" s="2"/>
      <c r="M174" s="2"/>
      <c r="N174" s="7"/>
    </row>
    <row r="175" spans="7:14" x14ac:dyDescent="0.25">
      <c r="G175" s="2"/>
      <c r="H175" s="2"/>
      <c r="I175" s="2"/>
      <c r="J175" s="2"/>
      <c r="K175" s="2"/>
      <c r="L175" s="2"/>
      <c r="M175" s="2"/>
      <c r="N175" s="7"/>
    </row>
    <row r="176" spans="7:14" x14ac:dyDescent="0.25">
      <c r="G176" s="2"/>
      <c r="H176" s="2"/>
      <c r="I176" s="2"/>
      <c r="J176" s="2"/>
      <c r="K176" s="2"/>
      <c r="L176" s="2"/>
      <c r="M176" s="2"/>
      <c r="N176" s="7"/>
    </row>
    <row r="177" spans="7:14" x14ac:dyDescent="0.25">
      <c r="G177" s="2"/>
      <c r="H177" s="2"/>
      <c r="I177" s="2"/>
      <c r="J177" s="2"/>
      <c r="K177" s="2"/>
      <c r="L177" s="2"/>
      <c r="M177" s="2"/>
      <c r="N177" s="7"/>
    </row>
    <row r="178" spans="7:14" x14ac:dyDescent="0.25">
      <c r="G178" s="2"/>
      <c r="H178" s="2"/>
      <c r="I178" s="2"/>
      <c r="J178" s="2"/>
      <c r="K178" s="2"/>
      <c r="L178" s="2"/>
      <c r="M178" s="2"/>
      <c r="N178" s="7"/>
    </row>
    <row r="179" spans="7:14" x14ac:dyDescent="0.25">
      <c r="G179" s="2"/>
      <c r="H179" s="2"/>
      <c r="I179" s="2"/>
      <c r="J179" s="2"/>
      <c r="K179" s="2"/>
      <c r="L179" s="2"/>
      <c r="M179" s="2"/>
      <c r="N179" s="7"/>
    </row>
    <row r="180" spans="7:14" x14ac:dyDescent="0.25">
      <c r="G180" s="2"/>
      <c r="H180" s="2"/>
      <c r="I180" s="2"/>
      <c r="J180" s="2"/>
      <c r="K180" s="2"/>
      <c r="L180" s="2"/>
      <c r="M180" s="2"/>
      <c r="N180" s="7"/>
    </row>
    <row r="181" spans="7:14" x14ac:dyDescent="0.25">
      <c r="G181" s="2"/>
      <c r="H181" s="2"/>
      <c r="I181" s="2"/>
      <c r="J181" s="2"/>
      <c r="K181" s="2"/>
      <c r="L181" s="2"/>
      <c r="M181" s="2"/>
      <c r="N181" s="7"/>
    </row>
    <row r="182" spans="7:14" x14ac:dyDescent="0.25">
      <c r="G182" s="2"/>
      <c r="H182" s="2"/>
      <c r="I182" s="2"/>
      <c r="J182" s="2"/>
      <c r="K182" s="2"/>
      <c r="L182" s="2"/>
      <c r="M182" s="2"/>
      <c r="N182" s="7"/>
    </row>
    <row r="183" spans="7:14" x14ac:dyDescent="0.25">
      <c r="G183" s="2"/>
      <c r="H183" s="2"/>
      <c r="I183" s="2"/>
      <c r="J183" s="2"/>
      <c r="K183" s="2"/>
      <c r="L183" s="2"/>
      <c r="M183" s="2"/>
      <c r="N183" s="7"/>
    </row>
    <row r="184" spans="7:14" x14ac:dyDescent="0.25">
      <c r="G184" s="2"/>
      <c r="H184" s="2"/>
      <c r="I184" s="2"/>
      <c r="J184" s="2"/>
      <c r="K184" s="2"/>
      <c r="L184" s="2"/>
      <c r="M184" s="2"/>
      <c r="N184" s="7"/>
    </row>
    <row r="185" spans="7:14" x14ac:dyDescent="0.25">
      <c r="G185" s="2"/>
      <c r="H185" s="2"/>
      <c r="I185" s="2"/>
      <c r="J185" s="2"/>
      <c r="K185" s="2"/>
      <c r="L185" s="2"/>
      <c r="M185" s="2"/>
      <c r="N185" s="7"/>
    </row>
    <row r="186" spans="7:14" x14ac:dyDescent="0.25">
      <c r="G186" s="2"/>
      <c r="H186" s="2"/>
      <c r="I186" s="2"/>
      <c r="J186" s="2"/>
      <c r="K186" s="2"/>
      <c r="L186" s="2"/>
      <c r="M186" s="2"/>
      <c r="N186" s="7"/>
    </row>
    <row r="187" spans="7:14" x14ac:dyDescent="0.25">
      <c r="G187" s="2"/>
      <c r="H187" s="2"/>
      <c r="I187" s="2"/>
      <c r="J187" s="2"/>
      <c r="K187" s="2"/>
      <c r="L187" s="2"/>
      <c r="M187" s="2"/>
      <c r="N187" s="7"/>
    </row>
    <row r="188" spans="7:14" x14ac:dyDescent="0.25">
      <c r="G188" s="2"/>
      <c r="H188" s="2"/>
      <c r="I188" s="2"/>
      <c r="J188" s="2"/>
      <c r="K188" s="2"/>
      <c r="L188" s="2"/>
      <c r="M188" s="2"/>
      <c r="N188" s="7"/>
    </row>
    <row r="189" spans="7:14" x14ac:dyDescent="0.25">
      <c r="G189" s="2"/>
      <c r="H189" s="2"/>
      <c r="I189" s="2"/>
      <c r="J189" s="2"/>
      <c r="K189" s="2"/>
      <c r="L189" s="2"/>
      <c r="M189" s="2"/>
      <c r="N189" s="7"/>
    </row>
    <row r="190" spans="7:14" x14ac:dyDescent="0.25">
      <c r="G190" s="2"/>
      <c r="H190" s="2"/>
      <c r="I190" s="2"/>
      <c r="J190" s="2"/>
      <c r="K190" s="2"/>
      <c r="L190" s="2"/>
      <c r="M190" s="2"/>
      <c r="N190" s="7"/>
    </row>
    <row r="191" spans="7:14" x14ac:dyDescent="0.25">
      <c r="G191" s="2"/>
      <c r="H191" s="2"/>
      <c r="I191" s="2"/>
      <c r="J191" s="2"/>
      <c r="K191" s="2"/>
      <c r="L191" s="2"/>
      <c r="M191" s="2"/>
      <c r="N191" s="7"/>
    </row>
    <row r="192" spans="7:14" x14ac:dyDescent="0.25">
      <c r="G192" s="2"/>
      <c r="H192" s="2"/>
      <c r="I192" s="2"/>
      <c r="J192" s="2"/>
      <c r="K192" s="2"/>
      <c r="L192" s="2"/>
      <c r="M192" s="2"/>
      <c r="N192" s="7"/>
    </row>
    <row r="193" spans="7:14" x14ac:dyDescent="0.25">
      <c r="G193" s="2"/>
      <c r="H193" s="2"/>
      <c r="I193" s="2"/>
      <c r="J193" s="2"/>
      <c r="K193" s="2"/>
      <c r="L193" s="2"/>
      <c r="M193" s="2"/>
      <c r="N193" s="7"/>
    </row>
    <row r="194" spans="7:14" x14ac:dyDescent="0.25">
      <c r="G194" s="2"/>
      <c r="H194" s="2"/>
      <c r="I194" s="2"/>
      <c r="J194" s="2"/>
      <c r="K194" s="2"/>
      <c r="L194" s="2"/>
      <c r="M194" s="2"/>
      <c r="N194" s="7"/>
    </row>
    <row r="195" spans="7:14" x14ac:dyDescent="0.25">
      <c r="G195" s="2"/>
      <c r="H195" s="2"/>
      <c r="I195" s="2"/>
      <c r="J195" s="2"/>
      <c r="K195" s="2"/>
      <c r="L195" s="2"/>
      <c r="M195" s="2"/>
      <c r="N195" s="7"/>
    </row>
    <row r="196" spans="7:14" x14ac:dyDescent="0.25">
      <c r="G196" s="2"/>
      <c r="H196" s="2"/>
      <c r="I196" s="2"/>
      <c r="J196" s="2"/>
      <c r="K196" s="2"/>
      <c r="L196" s="2"/>
      <c r="M196" s="2"/>
      <c r="N196" s="7"/>
    </row>
    <row r="197" spans="7:14" x14ac:dyDescent="0.25">
      <c r="G197" s="2"/>
      <c r="H197" s="2"/>
      <c r="I197" s="2"/>
      <c r="J197" s="2"/>
      <c r="K197" s="2"/>
      <c r="L197" s="2"/>
      <c r="M197" s="2"/>
      <c r="N197" s="7"/>
    </row>
    <row r="198" spans="7:14" x14ac:dyDescent="0.25">
      <c r="G198" s="2"/>
      <c r="H198" s="2"/>
      <c r="I198" s="2"/>
      <c r="J198" s="2"/>
      <c r="K198" s="2"/>
      <c r="L198" s="2"/>
      <c r="M198" s="2"/>
      <c r="N198" s="7"/>
    </row>
    <row r="199" spans="7:14" x14ac:dyDescent="0.25">
      <c r="G199" s="2"/>
      <c r="H199" s="2"/>
      <c r="I199" s="2"/>
      <c r="J199" s="2"/>
      <c r="K199" s="2"/>
      <c r="L199" s="2"/>
      <c r="M199" s="2"/>
      <c r="N199" s="7"/>
    </row>
    <row r="200" spans="7:14" x14ac:dyDescent="0.25">
      <c r="G200" s="2"/>
      <c r="H200" s="2"/>
      <c r="I200" s="2"/>
      <c r="J200" s="2"/>
      <c r="K200" s="2"/>
      <c r="L200" s="2"/>
      <c r="M200" s="2"/>
      <c r="N200" s="7"/>
    </row>
    <row r="201" spans="7:14" x14ac:dyDescent="0.25">
      <c r="G201" s="2"/>
      <c r="H201" s="2"/>
      <c r="I201" s="2"/>
      <c r="J201" s="2"/>
      <c r="K201" s="2"/>
      <c r="L201" s="2"/>
      <c r="M201" s="2"/>
      <c r="N201" s="7"/>
    </row>
    <row r="202" spans="7:14" x14ac:dyDescent="0.25">
      <c r="G202" s="2"/>
      <c r="H202" s="2"/>
      <c r="I202" s="2"/>
      <c r="J202" s="2"/>
      <c r="K202" s="2"/>
      <c r="L202" s="2"/>
      <c r="M202" s="2"/>
      <c r="N202" s="7"/>
    </row>
    <row r="203" spans="7:14" x14ac:dyDescent="0.25">
      <c r="G203" s="2"/>
      <c r="H203" s="2"/>
      <c r="I203" s="2"/>
      <c r="J203" s="2"/>
      <c r="K203" s="2"/>
      <c r="L203" s="2"/>
      <c r="M203" s="2"/>
      <c r="N203" s="7"/>
    </row>
    <row r="204" spans="7:14" x14ac:dyDescent="0.25">
      <c r="G204" s="2"/>
      <c r="H204" s="2"/>
      <c r="I204" s="2"/>
      <c r="J204" s="2"/>
      <c r="K204" s="2"/>
      <c r="L204" s="2"/>
      <c r="M204" s="2"/>
      <c r="N204" s="7"/>
    </row>
    <row r="205" spans="7:14" x14ac:dyDescent="0.25">
      <c r="G205" s="2"/>
      <c r="H205" s="2"/>
      <c r="I205" s="2"/>
      <c r="J205" s="2"/>
      <c r="K205" s="2"/>
      <c r="L205" s="2"/>
      <c r="M205" s="2"/>
      <c r="N205" s="7"/>
    </row>
    <row r="206" spans="7:14" x14ac:dyDescent="0.25">
      <c r="G206" s="2"/>
      <c r="H206" s="2"/>
      <c r="I206" s="2"/>
      <c r="J206" s="2"/>
      <c r="K206" s="2"/>
      <c r="L206" s="2"/>
      <c r="M206" s="2"/>
      <c r="N206" s="7"/>
    </row>
    <row r="207" spans="7:14" x14ac:dyDescent="0.25">
      <c r="G207" s="2"/>
      <c r="H207" s="2"/>
      <c r="I207" s="2"/>
      <c r="J207" s="2"/>
      <c r="K207" s="2"/>
      <c r="L207" s="2"/>
      <c r="M207" s="2"/>
      <c r="N207" s="7"/>
    </row>
    <row r="208" spans="7:14" x14ac:dyDescent="0.25">
      <c r="G208" s="2"/>
      <c r="H208" s="2"/>
      <c r="I208" s="2"/>
      <c r="J208" s="2"/>
      <c r="K208" s="2"/>
      <c r="L208" s="2"/>
      <c r="M208" s="2"/>
      <c r="N208" s="7"/>
    </row>
    <row r="209" spans="7:14" x14ac:dyDescent="0.25">
      <c r="G209" s="2"/>
      <c r="H209" s="2"/>
      <c r="I209" s="2"/>
      <c r="J209" s="2"/>
      <c r="K209" s="2"/>
      <c r="L209" s="2"/>
      <c r="M209" s="2"/>
      <c r="N209" s="7"/>
    </row>
    <row r="210" spans="7:14" x14ac:dyDescent="0.25">
      <c r="G210" s="2"/>
      <c r="H210" s="2"/>
      <c r="I210" s="2"/>
      <c r="J210" s="2"/>
      <c r="K210" s="2"/>
      <c r="L210" s="2"/>
      <c r="M210" s="2"/>
      <c r="N210" s="7"/>
    </row>
    <row r="211" spans="7:14" x14ac:dyDescent="0.25">
      <c r="G211" s="2"/>
      <c r="H211" s="2"/>
      <c r="I211" s="2"/>
      <c r="J211" s="2"/>
      <c r="K211" s="2"/>
      <c r="L211" s="2"/>
      <c r="M211" s="2"/>
      <c r="N211" s="7"/>
    </row>
    <row r="212" spans="7:14" x14ac:dyDescent="0.25">
      <c r="G212" s="2"/>
      <c r="H212" s="2"/>
      <c r="I212" s="2"/>
      <c r="J212" s="2"/>
      <c r="K212" s="2"/>
      <c r="L212" s="2"/>
      <c r="M212" s="2"/>
      <c r="N212" s="7"/>
    </row>
    <row r="213" spans="7:14" x14ac:dyDescent="0.25">
      <c r="G213" s="2"/>
      <c r="H213" s="2"/>
      <c r="I213" s="2"/>
      <c r="J213" s="2"/>
      <c r="K213" s="2"/>
      <c r="L213" s="2"/>
      <c r="M213" s="2"/>
      <c r="N213" s="7"/>
    </row>
    <row r="214" spans="7:14" x14ac:dyDescent="0.25">
      <c r="G214" s="2"/>
      <c r="H214" s="2"/>
      <c r="I214" s="2"/>
      <c r="J214" s="2"/>
      <c r="K214" s="2"/>
      <c r="L214" s="2"/>
      <c r="M214" s="2"/>
      <c r="N214" s="7"/>
    </row>
    <row r="215" spans="7:14" x14ac:dyDescent="0.25">
      <c r="G215" s="2"/>
      <c r="H215" s="2"/>
      <c r="I215" s="2"/>
      <c r="J215" s="2"/>
      <c r="K215" s="2"/>
      <c r="L215" s="2"/>
      <c r="M215" s="2"/>
      <c r="N215" s="7"/>
    </row>
    <row r="216" spans="7:14" x14ac:dyDescent="0.25">
      <c r="G216" s="2"/>
      <c r="H216" s="2"/>
      <c r="I216" s="2"/>
      <c r="J216" s="2"/>
      <c r="K216" s="2"/>
      <c r="L216" s="2"/>
      <c r="M216" s="2"/>
      <c r="N216" s="7"/>
    </row>
    <row r="217" spans="7:14" x14ac:dyDescent="0.25">
      <c r="G217" s="2"/>
      <c r="H217" s="2"/>
      <c r="I217" s="2"/>
      <c r="J217" s="2"/>
      <c r="K217" s="2"/>
      <c r="L217" s="2"/>
      <c r="M217" s="2"/>
      <c r="N217" s="7"/>
    </row>
    <row r="218" spans="7:14" x14ac:dyDescent="0.25">
      <c r="G218" s="2"/>
      <c r="H218" s="2"/>
      <c r="I218" s="2"/>
      <c r="J218" s="2"/>
      <c r="K218" s="2"/>
      <c r="L218" s="2"/>
      <c r="M218" s="2"/>
      <c r="N218" s="7"/>
    </row>
    <row r="219" spans="7:14" x14ac:dyDescent="0.25">
      <c r="G219" s="2"/>
      <c r="H219" s="2"/>
      <c r="I219" s="2"/>
      <c r="J219" s="2"/>
      <c r="K219" s="2"/>
      <c r="L219" s="2"/>
      <c r="M219" s="2"/>
      <c r="N219" s="7"/>
    </row>
    <row r="220" spans="7:14" x14ac:dyDescent="0.25">
      <c r="G220" s="2"/>
      <c r="H220" s="2"/>
      <c r="I220" s="2"/>
      <c r="J220" s="2"/>
      <c r="K220" s="2"/>
      <c r="L220" s="2"/>
      <c r="M220" s="2"/>
      <c r="N220" s="7"/>
    </row>
    <row r="221" spans="7:14" x14ac:dyDescent="0.25">
      <c r="G221" s="2"/>
      <c r="H221" s="2"/>
      <c r="I221" s="2"/>
      <c r="J221" s="2"/>
      <c r="K221" s="2"/>
      <c r="L221" s="2"/>
      <c r="M221" s="2"/>
      <c r="N221" s="7"/>
    </row>
    <row r="222" spans="7:14" x14ac:dyDescent="0.25">
      <c r="G222" s="2"/>
      <c r="H222" s="2"/>
      <c r="I222" s="2"/>
      <c r="J222" s="2"/>
      <c r="K222" s="2"/>
      <c r="L222" s="2"/>
      <c r="M222" s="2"/>
      <c r="N222" s="7"/>
    </row>
    <row r="223" spans="7:14" x14ac:dyDescent="0.25">
      <c r="G223" s="2"/>
      <c r="H223" s="2"/>
      <c r="I223" s="2"/>
      <c r="J223" s="2"/>
      <c r="K223" s="2"/>
      <c r="L223" s="2"/>
      <c r="M223" s="2"/>
      <c r="N223" s="7"/>
    </row>
    <row r="224" spans="7:14" x14ac:dyDescent="0.25">
      <c r="G224" s="2"/>
      <c r="H224" s="2"/>
      <c r="I224" s="2"/>
      <c r="J224" s="2"/>
      <c r="K224" s="2"/>
      <c r="L224" s="2"/>
      <c r="M224" s="2"/>
      <c r="N224" s="7"/>
    </row>
    <row r="225" spans="7:14" x14ac:dyDescent="0.25">
      <c r="G225" s="2"/>
      <c r="H225" s="2"/>
      <c r="I225" s="2"/>
      <c r="J225" s="2"/>
      <c r="K225" s="2"/>
      <c r="L225" s="2"/>
      <c r="M225" s="2"/>
      <c r="N225" s="7"/>
    </row>
    <row r="226" spans="7:14" x14ac:dyDescent="0.25">
      <c r="G226" s="2"/>
      <c r="H226" s="2"/>
      <c r="I226" s="2"/>
      <c r="J226" s="2"/>
      <c r="K226" s="2"/>
      <c r="L226" s="2"/>
      <c r="M226" s="2"/>
      <c r="N226" s="7"/>
    </row>
    <row r="227" spans="7:14" x14ac:dyDescent="0.25">
      <c r="G227" s="2"/>
      <c r="H227" s="2"/>
      <c r="I227" s="2"/>
      <c r="J227" s="2"/>
      <c r="K227" s="2"/>
      <c r="L227" s="2"/>
      <c r="M227" s="2"/>
      <c r="N227" s="7"/>
    </row>
    <row r="228" spans="7:14" x14ac:dyDescent="0.25">
      <c r="G228" s="2"/>
      <c r="H228" s="2"/>
      <c r="I228" s="2"/>
      <c r="J228" s="2"/>
      <c r="K228" s="2"/>
      <c r="L228" s="2"/>
      <c r="M228" s="2"/>
      <c r="N228" s="7"/>
    </row>
    <row r="229" spans="7:14" x14ac:dyDescent="0.25">
      <c r="G229" s="2"/>
      <c r="H229" s="2"/>
      <c r="I229" s="2"/>
      <c r="J229" s="2"/>
      <c r="K229" s="2"/>
      <c r="L229" s="2"/>
      <c r="M229" s="2"/>
      <c r="N229" s="7"/>
    </row>
    <row r="230" spans="7:14" x14ac:dyDescent="0.25">
      <c r="G230" s="2"/>
      <c r="H230" s="2"/>
      <c r="I230" s="2"/>
      <c r="J230" s="2"/>
      <c r="K230" s="2"/>
      <c r="L230" s="2"/>
      <c r="M230" s="2"/>
      <c r="N230" s="7"/>
    </row>
    <row r="231" spans="7:14" x14ac:dyDescent="0.25">
      <c r="G231" s="2"/>
      <c r="H231" s="2"/>
      <c r="I231" s="2"/>
      <c r="J231" s="2"/>
      <c r="K231" s="2"/>
      <c r="L231" s="2"/>
      <c r="M231" s="2"/>
      <c r="N231" s="7"/>
    </row>
    <row r="232" spans="7:14" x14ac:dyDescent="0.25">
      <c r="G232" s="2"/>
      <c r="H232" s="2"/>
      <c r="I232" s="2"/>
      <c r="J232" s="2"/>
      <c r="K232" s="2"/>
      <c r="L232" s="2"/>
      <c r="M232" s="2"/>
      <c r="N232" s="7"/>
    </row>
    <row r="233" spans="7:14" x14ac:dyDescent="0.25">
      <c r="G233" s="2"/>
      <c r="H233" s="2"/>
      <c r="I233" s="2"/>
      <c r="J233" s="2"/>
      <c r="K233" s="2"/>
      <c r="L233" s="2"/>
      <c r="M233" s="2"/>
      <c r="N233" s="7"/>
    </row>
    <row r="234" spans="7:14" x14ac:dyDescent="0.25">
      <c r="G234" s="2"/>
      <c r="H234" s="2"/>
      <c r="I234" s="2"/>
      <c r="J234" s="2"/>
      <c r="K234" s="2"/>
      <c r="L234" s="2"/>
      <c r="M234" s="2"/>
      <c r="N234" s="7"/>
    </row>
    <row r="235" spans="7:14" x14ac:dyDescent="0.25">
      <c r="G235" s="2"/>
      <c r="H235" s="2"/>
      <c r="I235" s="2"/>
      <c r="J235" s="2"/>
      <c r="K235" s="2"/>
      <c r="L235" s="2"/>
      <c r="M235" s="2"/>
      <c r="N235" s="7"/>
    </row>
    <row r="236" spans="7:14" x14ac:dyDescent="0.25">
      <c r="G236" s="2"/>
      <c r="H236" s="2"/>
      <c r="I236" s="2"/>
      <c r="J236" s="2"/>
      <c r="K236" s="2"/>
      <c r="L236" s="2"/>
      <c r="M236" s="2"/>
      <c r="N236" s="7"/>
    </row>
    <row r="237" spans="7:14" x14ac:dyDescent="0.25">
      <c r="G237" s="2"/>
      <c r="H237" s="2"/>
      <c r="I237" s="2"/>
      <c r="J237" s="2"/>
      <c r="K237" s="2"/>
      <c r="L237" s="2"/>
      <c r="M237" s="2"/>
      <c r="N237" s="7"/>
    </row>
    <row r="238" spans="7:14" x14ac:dyDescent="0.25">
      <c r="G238" s="2"/>
      <c r="H238" s="2"/>
      <c r="I238" s="2"/>
      <c r="J238" s="2"/>
      <c r="K238" s="2"/>
      <c r="L238" s="2"/>
      <c r="M238" s="2"/>
      <c r="N238" s="7"/>
    </row>
    <row r="239" spans="7:14" x14ac:dyDescent="0.25">
      <c r="G239" s="2"/>
      <c r="H239" s="2"/>
      <c r="I239" s="2"/>
      <c r="J239" s="2"/>
      <c r="K239" s="2"/>
      <c r="L239" s="2"/>
      <c r="M239" s="2"/>
      <c r="N239" s="7"/>
    </row>
    <row r="240" spans="7:14" x14ac:dyDescent="0.25">
      <c r="G240" s="2"/>
      <c r="H240" s="2"/>
      <c r="I240" s="2"/>
      <c r="J240" s="2"/>
      <c r="K240" s="2"/>
      <c r="L240" s="2"/>
      <c r="M240" s="2"/>
      <c r="N240" s="7"/>
    </row>
    <row r="241" spans="7:14" x14ac:dyDescent="0.25">
      <c r="G241" s="2"/>
      <c r="H241" s="2"/>
      <c r="I241" s="2"/>
      <c r="J241" s="2"/>
      <c r="K241" s="2"/>
      <c r="L241" s="2"/>
      <c r="M241" s="2"/>
      <c r="N241" s="7"/>
    </row>
    <row r="242" spans="7:14" x14ac:dyDescent="0.25">
      <c r="G242" s="2"/>
      <c r="H242" s="2"/>
      <c r="I242" s="2"/>
      <c r="J242" s="2"/>
      <c r="K242" s="2"/>
      <c r="L242" s="2"/>
      <c r="M242" s="2"/>
      <c r="N242" s="7"/>
    </row>
    <row r="243" spans="7:14" x14ac:dyDescent="0.25">
      <c r="G243" s="2"/>
      <c r="H243" s="2"/>
      <c r="I243" s="2"/>
      <c r="J243" s="2"/>
      <c r="K243" s="2"/>
      <c r="L243" s="2"/>
      <c r="M243" s="2"/>
      <c r="N243" s="7"/>
    </row>
    <row r="244" spans="7:14" x14ac:dyDescent="0.25">
      <c r="G244" s="2"/>
      <c r="H244" s="2"/>
      <c r="I244" s="2"/>
      <c r="J244" s="2"/>
      <c r="K244" s="2"/>
      <c r="L244" s="2"/>
      <c r="M244" s="2"/>
      <c r="N244" s="7"/>
    </row>
    <row r="245" spans="7:14" x14ac:dyDescent="0.25">
      <c r="G245" s="2"/>
      <c r="H245" s="2"/>
      <c r="I245" s="2"/>
      <c r="J245" s="2"/>
      <c r="K245" s="2"/>
      <c r="L245" s="2"/>
      <c r="M245" s="2"/>
      <c r="N245" s="7"/>
    </row>
    <row r="246" spans="7:14" x14ac:dyDescent="0.25">
      <c r="G246" s="2"/>
      <c r="H246" s="2"/>
      <c r="I246" s="2"/>
      <c r="J246" s="2"/>
      <c r="K246" s="2"/>
      <c r="L246" s="2"/>
      <c r="M246" s="2"/>
      <c r="N246" s="7"/>
    </row>
    <row r="247" spans="7:14" x14ac:dyDescent="0.25">
      <c r="G247" s="2"/>
      <c r="H247" s="2"/>
      <c r="I247" s="2"/>
      <c r="J247" s="2"/>
      <c r="K247" s="2"/>
      <c r="L247" s="2"/>
      <c r="M247" s="2"/>
      <c r="N247" s="7"/>
    </row>
    <row r="248" spans="7:14" x14ac:dyDescent="0.25">
      <c r="G248" s="2"/>
      <c r="H248" s="2"/>
      <c r="I248" s="2"/>
      <c r="J248" s="2"/>
      <c r="K248" s="2"/>
      <c r="L248" s="2"/>
      <c r="M248" s="2"/>
      <c r="N248" s="7"/>
    </row>
    <row r="249" spans="7:14" x14ac:dyDescent="0.25">
      <c r="G249" s="2"/>
      <c r="H249" s="2"/>
      <c r="I249" s="2"/>
      <c r="J249" s="2"/>
      <c r="K249" s="2"/>
      <c r="L249" s="2"/>
      <c r="M249" s="2"/>
      <c r="N249" s="7"/>
    </row>
    <row r="250" spans="7:14" x14ac:dyDescent="0.25">
      <c r="G250" s="2"/>
      <c r="H250" s="2"/>
      <c r="I250" s="2"/>
      <c r="J250" s="2"/>
      <c r="K250" s="2"/>
      <c r="L250" s="2"/>
      <c r="M250" s="2"/>
      <c r="N250" s="7"/>
    </row>
    <row r="251" spans="7:14" x14ac:dyDescent="0.25">
      <c r="G251" s="2"/>
      <c r="H251" s="2"/>
      <c r="I251" s="2"/>
      <c r="J251" s="2"/>
      <c r="K251" s="2"/>
      <c r="L251" s="2"/>
      <c r="M251" s="2"/>
      <c r="N251" s="7"/>
    </row>
    <row r="252" spans="7:14" x14ac:dyDescent="0.25">
      <c r="G252" s="2"/>
      <c r="H252" s="2"/>
      <c r="I252" s="2"/>
      <c r="J252" s="2"/>
      <c r="K252" s="2"/>
      <c r="L252" s="2"/>
      <c r="M252" s="2"/>
      <c r="N252" s="7"/>
    </row>
    <row r="253" spans="7:14" x14ac:dyDescent="0.25">
      <c r="G253" s="2"/>
      <c r="H253" s="2"/>
      <c r="I253" s="2"/>
      <c r="J253" s="2"/>
      <c r="K253" s="2"/>
      <c r="L253" s="2"/>
      <c r="M253" s="2"/>
      <c r="N253" s="7"/>
    </row>
    <row r="254" spans="7:14" x14ac:dyDescent="0.25">
      <c r="G254" s="2"/>
      <c r="H254" s="2"/>
      <c r="I254" s="2"/>
      <c r="J254" s="2"/>
      <c r="K254" s="2"/>
      <c r="L254" s="2"/>
      <c r="M254" s="2"/>
      <c r="N254" s="7"/>
    </row>
    <row r="255" spans="7:14" x14ac:dyDescent="0.25">
      <c r="G255" s="2"/>
      <c r="H255" s="2"/>
      <c r="I255" s="2"/>
      <c r="J255" s="2"/>
      <c r="K255" s="2"/>
      <c r="L255" s="2"/>
      <c r="M255" s="2"/>
      <c r="N255" s="7"/>
    </row>
    <row r="256" spans="7:14" x14ac:dyDescent="0.25">
      <c r="G256" s="2"/>
      <c r="H256" s="2"/>
      <c r="I256" s="2"/>
      <c r="J256" s="2"/>
      <c r="K256" s="2"/>
      <c r="L256" s="2"/>
      <c r="M256" s="2"/>
      <c r="N256" s="7"/>
    </row>
    <row r="257" spans="7:14" x14ac:dyDescent="0.25">
      <c r="G257" s="2"/>
      <c r="H257" s="2"/>
      <c r="I257" s="2"/>
      <c r="J257" s="2"/>
      <c r="K257" s="2"/>
      <c r="L257" s="2"/>
      <c r="M257" s="2"/>
      <c r="N257" s="7"/>
    </row>
    <row r="258" spans="7:14" x14ac:dyDescent="0.25">
      <c r="G258" s="2"/>
      <c r="H258" s="2"/>
      <c r="I258" s="2"/>
      <c r="J258" s="2"/>
      <c r="K258" s="2"/>
      <c r="L258" s="2"/>
      <c r="M258" s="2"/>
      <c r="N258" s="7"/>
    </row>
    <row r="259" spans="7:14" x14ac:dyDescent="0.25">
      <c r="G259" s="2"/>
      <c r="H259" s="2"/>
      <c r="I259" s="2"/>
      <c r="J259" s="2"/>
      <c r="K259" s="2"/>
      <c r="L259" s="2"/>
      <c r="M259" s="2"/>
      <c r="N259" s="7"/>
    </row>
    <row r="260" spans="7:14" x14ac:dyDescent="0.25">
      <c r="G260" s="2"/>
      <c r="H260" s="2"/>
      <c r="I260" s="2"/>
      <c r="J260" s="2"/>
      <c r="K260" s="2"/>
      <c r="L260" s="2"/>
      <c r="M260" s="2"/>
      <c r="N260" s="7"/>
    </row>
    <row r="261" spans="7:14" x14ac:dyDescent="0.25">
      <c r="G261" s="2"/>
      <c r="H261" s="2"/>
      <c r="I261" s="2"/>
      <c r="J261" s="2"/>
      <c r="K261" s="2"/>
      <c r="L261" s="2"/>
      <c r="M261" s="2"/>
      <c r="N261" s="7"/>
    </row>
    <row r="262" spans="7:14" x14ac:dyDescent="0.25">
      <c r="G262" s="2"/>
      <c r="H262" s="2"/>
      <c r="I262" s="2"/>
      <c r="J262" s="2"/>
      <c r="K262" s="2"/>
      <c r="L262" s="2"/>
      <c r="M262" s="2"/>
      <c r="N262" s="7"/>
    </row>
    <row r="263" spans="7:14" x14ac:dyDescent="0.25">
      <c r="G263" s="2"/>
      <c r="H263" s="2"/>
      <c r="I263" s="2"/>
      <c r="J263" s="2"/>
      <c r="K263" s="2"/>
      <c r="L263" s="2"/>
      <c r="M263" s="2"/>
      <c r="N263" s="7"/>
    </row>
    <row r="264" spans="7:14" x14ac:dyDescent="0.25">
      <c r="G264" s="2"/>
      <c r="H264" s="2"/>
      <c r="I264" s="2"/>
      <c r="J264" s="2"/>
      <c r="K264" s="2"/>
      <c r="L264" s="2"/>
      <c r="M264" s="2"/>
      <c r="N264" s="7"/>
    </row>
    <row r="265" spans="7:14" x14ac:dyDescent="0.25">
      <c r="G265" s="2"/>
      <c r="H265" s="2"/>
      <c r="I265" s="2"/>
      <c r="J265" s="2"/>
      <c r="K265" s="2"/>
      <c r="L265" s="2"/>
      <c r="M265" s="2"/>
      <c r="N265" s="7"/>
    </row>
    <row r="266" spans="7:14" x14ac:dyDescent="0.25">
      <c r="G266" s="2"/>
      <c r="H266" s="2"/>
      <c r="I266" s="2"/>
      <c r="J266" s="2"/>
      <c r="K266" s="2"/>
      <c r="L266" s="2"/>
      <c r="M266" s="2"/>
      <c r="N266" s="7"/>
    </row>
    <row r="267" spans="7:14" x14ac:dyDescent="0.25">
      <c r="G267" s="2"/>
      <c r="H267" s="2"/>
      <c r="I267" s="2"/>
      <c r="J267" s="2"/>
      <c r="K267" s="2"/>
      <c r="L267" s="2"/>
      <c r="M267" s="2"/>
      <c r="N267" s="7"/>
    </row>
    <row r="268" spans="7:14" x14ac:dyDescent="0.25">
      <c r="G268" s="2"/>
      <c r="H268" s="2"/>
      <c r="I268" s="2"/>
      <c r="J268" s="2"/>
      <c r="K268" s="2"/>
      <c r="L268" s="2"/>
      <c r="M268" s="2"/>
      <c r="N268" s="7"/>
    </row>
    <row r="269" spans="7:14" x14ac:dyDescent="0.25">
      <c r="G269" s="2"/>
      <c r="H269" s="2"/>
      <c r="I269" s="2"/>
      <c r="J269" s="2"/>
      <c r="K269" s="2"/>
      <c r="L269" s="2"/>
      <c r="M269" s="2"/>
      <c r="N269" s="7"/>
    </row>
    <row r="270" spans="7:14" x14ac:dyDescent="0.25">
      <c r="G270" s="2"/>
      <c r="H270" s="2"/>
      <c r="I270" s="2"/>
      <c r="J270" s="2"/>
      <c r="K270" s="2"/>
      <c r="L270" s="2"/>
      <c r="M270" s="2"/>
      <c r="N270" s="7"/>
    </row>
    <row r="271" spans="7:14" x14ac:dyDescent="0.25">
      <c r="G271" s="2"/>
      <c r="H271" s="2"/>
      <c r="I271" s="2"/>
      <c r="J271" s="2"/>
      <c r="K271" s="2"/>
      <c r="L271" s="2"/>
      <c r="M271" s="2"/>
      <c r="N271" s="7"/>
    </row>
    <row r="272" spans="7:14" x14ac:dyDescent="0.25">
      <c r="G272" s="2"/>
      <c r="H272" s="2"/>
      <c r="I272" s="2"/>
      <c r="J272" s="2"/>
      <c r="K272" s="2"/>
      <c r="L272" s="2"/>
      <c r="M272" s="2"/>
      <c r="N272" s="7"/>
    </row>
    <row r="273" spans="7:14" x14ac:dyDescent="0.25">
      <c r="G273" s="2"/>
      <c r="H273" s="2"/>
      <c r="I273" s="2"/>
      <c r="J273" s="2"/>
      <c r="K273" s="2"/>
      <c r="L273" s="2"/>
      <c r="M273" s="2"/>
      <c r="N273" s="7"/>
    </row>
    <row r="274" spans="7:14" x14ac:dyDescent="0.25">
      <c r="G274" s="2"/>
      <c r="H274" s="2"/>
      <c r="I274" s="2"/>
      <c r="J274" s="2"/>
      <c r="K274" s="2"/>
      <c r="L274" s="2"/>
      <c r="M274" s="2"/>
      <c r="N274" s="7"/>
    </row>
    <row r="275" spans="7:14" x14ac:dyDescent="0.25">
      <c r="G275" s="2"/>
      <c r="H275" s="2"/>
      <c r="I275" s="2"/>
      <c r="J275" s="2"/>
      <c r="K275" s="2"/>
      <c r="L275" s="2"/>
      <c r="M275" s="2"/>
      <c r="N275" s="7"/>
    </row>
    <row r="276" spans="7:14" x14ac:dyDescent="0.25">
      <c r="G276" s="2"/>
      <c r="H276" s="2"/>
      <c r="I276" s="2"/>
      <c r="J276" s="2"/>
      <c r="K276" s="2"/>
      <c r="L276" s="2"/>
      <c r="M276" s="2"/>
      <c r="N276" s="7"/>
    </row>
    <row r="277" spans="7:14" x14ac:dyDescent="0.25">
      <c r="G277" s="2"/>
      <c r="H277" s="2"/>
      <c r="I277" s="2"/>
      <c r="J277" s="2"/>
      <c r="K277" s="2"/>
      <c r="L277" s="2"/>
      <c r="M277" s="2"/>
      <c r="N277" s="7"/>
    </row>
    <row r="278" spans="7:14" x14ac:dyDescent="0.25">
      <c r="G278" s="2"/>
      <c r="H278" s="2"/>
      <c r="I278" s="2"/>
      <c r="J278" s="2"/>
      <c r="K278" s="2"/>
      <c r="L278" s="2"/>
      <c r="M278" s="2"/>
      <c r="N278" s="7"/>
    </row>
    <row r="279" spans="7:14" x14ac:dyDescent="0.25">
      <c r="G279" s="2"/>
      <c r="H279" s="2"/>
      <c r="I279" s="2"/>
      <c r="J279" s="2"/>
      <c r="K279" s="2"/>
      <c r="L279" s="2"/>
      <c r="M279" s="2"/>
      <c r="N279" s="7"/>
    </row>
    <row r="280" spans="7:14" x14ac:dyDescent="0.25">
      <c r="G280" s="2"/>
      <c r="H280" s="2"/>
      <c r="I280" s="2"/>
      <c r="J280" s="2"/>
      <c r="K280" s="2"/>
      <c r="L280" s="2"/>
      <c r="M280" s="2"/>
      <c r="N280" s="7"/>
    </row>
    <row r="281" spans="7:14" x14ac:dyDescent="0.25">
      <c r="G281" s="2"/>
      <c r="H281" s="2"/>
      <c r="I281" s="2"/>
      <c r="J281" s="2"/>
      <c r="K281" s="2"/>
      <c r="L281" s="2"/>
      <c r="M281" s="2"/>
      <c r="N281" s="7"/>
    </row>
    <row r="282" spans="7:14" x14ac:dyDescent="0.25">
      <c r="G282" s="2"/>
      <c r="H282" s="2"/>
      <c r="I282" s="2"/>
      <c r="J282" s="2"/>
      <c r="K282" s="2"/>
      <c r="L282" s="2"/>
      <c r="M282" s="2"/>
      <c r="N282" s="7"/>
    </row>
    <row r="283" spans="7:14" x14ac:dyDescent="0.25">
      <c r="G283" s="2"/>
      <c r="H283" s="2"/>
      <c r="I283" s="2"/>
      <c r="J283" s="2"/>
      <c r="K283" s="2"/>
      <c r="L283" s="2"/>
      <c r="M283" s="2"/>
      <c r="N283" s="7"/>
    </row>
    <row r="284" spans="7:14" x14ac:dyDescent="0.25">
      <c r="G284" s="2"/>
      <c r="H284" s="2"/>
      <c r="I284" s="2"/>
      <c r="J284" s="2"/>
      <c r="K284" s="2"/>
      <c r="L284" s="2"/>
      <c r="M284" s="2"/>
      <c r="N284" s="7"/>
    </row>
    <row r="285" spans="7:14" x14ac:dyDescent="0.25">
      <c r="G285" s="2"/>
      <c r="H285" s="2"/>
      <c r="I285" s="2"/>
      <c r="J285" s="2"/>
      <c r="K285" s="2"/>
      <c r="L285" s="2"/>
      <c r="M285" s="2"/>
      <c r="N285" s="7"/>
    </row>
    <row r="286" spans="7:14" x14ac:dyDescent="0.25">
      <c r="G286" s="2"/>
      <c r="H286" s="2"/>
      <c r="I286" s="2"/>
      <c r="J286" s="2"/>
      <c r="K286" s="2"/>
      <c r="L286" s="2"/>
      <c r="M286" s="2"/>
      <c r="N286" s="7"/>
    </row>
    <row r="287" spans="7:14" x14ac:dyDescent="0.25">
      <c r="G287" s="2"/>
      <c r="H287" s="2"/>
      <c r="I287" s="2"/>
      <c r="J287" s="2"/>
      <c r="K287" s="2"/>
      <c r="L287" s="2"/>
      <c r="M287" s="2"/>
      <c r="N287" s="7"/>
    </row>
    <row r="288" spans="7:14" x14ac:dyDescent="0.25">
      <c r="G288" s="2"/>
      <c r="H288" s="2"/>
      <c r="I288" s="2"/>
      <c r="J288" s="2"/>
      <c r="K288" s="2"/>
      <c r="L288" s="2"/>
      <c r="M288" s="2"/>
      <c r="N288" s="7"/>
    </row>
    <row r="289" spans="7:14" x14ac:dyDescent="0.25">
      <c r="G289" s="2"/>
      <c r="H289" s="2"/>
      <c r="I289" s="2"/>
      <c r="J289" s="2"/>
      <c r="K289" s="2"/>
      <c r="L289" s="2"/>
      <c r="M289" s="2"/>
      <c r="N289" s="7"/>
    </row>
    <row r="290" spans="7:14" x14ac:dyDescent="0.25">
      <c r="G290" s="2"/>
      <c r="H290" s="2"/>
      <c r="I290" s="2"/>
      <c r="J290" s="2"/>
      <c r="K290" s="2"/>
      <c r="L290" s="2"/>
      <c r="M290" s="2"/>
      <c r="N290" s="7"/>
    </row>
    <row r="291" spans="7:14" x14ac:dyDescent="0.25">
      <c r="G291" s="2"/>
      <c r="H291" s="2"/>
      <c r="I291" s="2"/>
      <c r="J291" s="2"/>
      <c r="K291" s="2"/>
      <c r="L291" s="2"/>
      <c r="M291" s="2"/>
      <c r="N291" s="7"/>
    </row>
    <row r="292" spans="7:14" x14ac:dyDescent="0.25">
      <c r="G292" s="2"/>
      <c r="H292" s="2"/>
      <c r="I292" s="2"/>
      <c r="J292" s="2"/>
      <c r="K292" s="2"/>
      <c r="L292" s="2"/>
      <c r="M292" s="2"/>
      <c r="N292" s="7"/>
    </row>
    <row r="293" spans="7:14" x14ac:dyDescent="0.25">
      <c r="G293" s="2"/>
      <c r="H293" s="2"/>
      <c r="I293" s="2"/>
      <c r="J293" s="2"/>
      <c r="K293" s="2"/>
      <c r="L293" s="2"/>
      <c r="M293" s="2"/>
      <c r="N293" s="7"/>
    </row>
    <row r="294" spans="7:14" x14ac:dyDescent="0.25">
      <c r="G294" s="2"/>
      <c r="H294" s="2"/>
      <c r="I294" s="2"/>
      <c r="J294" s="2"/>
      <c r="K294" s="2"/>
      <c r="L294" s="2"/>
      <c r="M294" s="2"/>
      <c r="N294" s="7"/>
    </row>
    <row r="295" spans="7:14" x14ac:dyDescent="0.25">
      <c r="G295" s="2"/>
      <c r="H295" s="2"/>
      <c r="I295" s="2"/>
      <c r="J295" s="2"/>
      <c r="K295" s="2"/>
      <c r="L295" s="2"/>
      <c r="M295" s="2"/>
      <c r="N295" s="7"/>
    </row>
    <row r="296" spans="7:14" x14ac:dyDescent="0.25">
      <c r="G296" s="2"/>
      <c r="H296" s="2"/>
      <c r="I296" s="2"/>
      <c r="J296" s="2"/>
      <c r="K296" s="2"/>
      <c r="L296" s="2"/>
      <c r="M296" s="2"/>
      <c r="N296" s="7"/>
    </row>
    <row r="297" spans="7:14" x14ac:dyDescent="0.25">
      <c r="G297" s="2"/>
      <c r="H297" s="2"/>
      <c r="I297" s="2"/>
      <c r="J297" s="2"/>
      <c r="K297" s="2"/>
      <c r="L297" s="2"/>
      <c r="M297" s="2"/>
      <c r="N297" s="7"/>
    </row>
    <row r="298" spans="7:14" x14ac:dyDescent="0.25">
      <c r="G298" s="2"/>
      <c r="H298" s="2"/>
      <c r="I298" s="2"/>
      <c r="J298" s="2"/>
      <c r="K298" s="2"/>
      <c r="L298" s="2"/>
      <c r="M298" s="2"/>
      <c r="N298" s="7"/>
    </row>
    <row r="299" spans="7:14" x14ac:dyDescent="0.25">
      <c r="G299" s="2"/>
      <c r="H299" s="2"/>
      <c r="I299" s="2"/>
      <c r="J299" s="2"/>
      <c r="K299" s="2"/>
      <c r="L299" s="2"/>
      <c r="M299" s="2"/>
      <c r="N299" s="7"/>
    </row>
    <row r="300" spans="7:14" x14ac:dyDescent="0.25">
      <c r="G300" s="2"/>
      <c r="H300" s="2"/>
      <c r="I300" s="2"/>
      <c r="J300" s="2"/>
      <c r="K300" s="2"/>
      <c r="L300" s="2"/>
      <c r="M300" s="2"/>
      <c r="N300" s="7"/>
    </row>
    <row r="301" spans="7:14" x14ac:dyDescent="0.25">
      <c r="G301" s="2"/>
      <c r="H301" s="2"/>
      <c r="I301" s="2"/>
      <c r="J301" s="2"/>
      <c r="K301" s="2"/>
      <c r="L301" s="2"/>
      <c r="M301" s="2"/>
      <c r="N301" s="7"/>
    </row>
    <row r="302" spans="7:14" x14ac:dyDescent="0.25">
      <c r="G302" s="2"/>
      <c r="H302" s="2"/>
      <c r="I302" s="2"/>
      <c r="J302" s="2"/>
      <c r="K302" s="2"/>
      <c r="L302" s="2"/>
      <c r="M302" s="2"/>
      <c r="N302" s="7"/>
    </row>
    <row r="303" spans="7:14" x14ac:dyDescent="0.25">
      <c r="G303" s="2"/>
      <c r="H303" s="2"/>
      <c r="I303" s="2"/>
      <c r="J303" s="2"/>
      <c r="K303" s="2"/>
      <c r="L303" s="2"/>
      <c r="M303" s="2"/>
      <c r="N303" s="7"/>
    </row>
    <row r="304" spans="7:14" x14ac:dyDescent="0.25">
      <c r="G304" s="2"/>
      <c r="H304" s="2"/>
      <c r="I304" s="2"/>
      <c r="J304" s="2"/>
      <c r="K304" s="2"/>
      <c r="L304" s="2"/>
      <c r="M304" s="2"/>
      <c r="N304" s="7"/>
    </row>
    <row r="305" spans="7:14" x14ac:dyDescent="0.25">
      <c r="G305" s="2"/>
      <c r="H305" s="2"/>
      <c r="I305" s="2"/>
      <c r="J305" s="2"/>
      <c r="K305" s="2"/>
      <c r="L305" s="2"/>
      <c r="M305" s="2"/>
      <c r="N305" s="7"/>
    </row>
    <row r="306" spans="7:14" x14ac:dyDescent="0.25">
      <c r="G306" s="2"/>
      <c r="H306" s="2"/>
      <c r="I306" s="2"/>
      <c r="J306" s="2"/>
      <c r="K306" s="2"/>
      <c r="L306" s="2"/>
      <c r="M306" s="2"/>
      <c r="N306" s="7"/>
    </row>
    <row r="307" spans="7:14" x14ac:dyDescent="0.25">
      <c r="G307" s="2"/>
      <c r="H307" s="2"/>
      <c r="I307" s="2"/>
      <c r="J307" s="2"/>
      <c r="K307" s="2"/>
      <c r="L307" s="2"/>
      <c r="M307" s="2"/>
      <c r="N307" s="7"/>
    </row>
    <row r="308" spans="7:14" x14ac:dyDescent="0.25">
      <c r="G308" s="2"/>
      <c r="H308" s="2"/>
      <c r="I308" s="2"/>
      <c r="J308" s="2"/>
      <c r="K308" s="2"/>
      <c r="L308" s="2"/>
      <c r="M308" s="2"/>
      <c r="N308" s="7"/>
    </row>
    <row r="309" spans="7:14" x14ac:dyDescent="0.25">
      <c r="G309" s="2"/>
      <c r="H309" s="2"/>
      <c r="I309" s="2"/>
      <c r="J309" s="2"/>
      <c r="K309" s="2"/>
      <c r="L309" s="2"/>
      <c r="M309" s="2"/>
      <c r="N309" s="7"/>
    </row>
    <row r="310" spans="7:14" x14ac:dyDescent="0.25">
      <c r="G310" s="2"/>
      <c r="H310" s="2"/>
      <c r="I310" s="2"/>
      <c r="J310" s="2"/>
      <c r="K310" s="2"/>
      <c r="L310" s="2"/>
      <c r="M310" s="2"/>
      <c r="N310" s="7"/>
    </row>
    <row r="311" spans="7:14" x14ac:dyDescent="0.25">
      <c r="G311" s="2"/>
      <c r="H311" s="2"/>
      <c r="I311" s="2"/>
      <c r="J311" s="2"/>
      <c r="K311" s="2"/>
      <c r="L311" s="2"/>
      <c r="M311" s="2"/>
      <c r="N311" s="7"/>
    </row>
    <row r="312" spans="7:14" x14ac:dyDescent="0.25">
      <c r="G312" s="2"/>
      <c r="H312" s="2"/>
      <c r="I312" s="2"/>
      <c r="J312" s="2"/>
      <c r="K312" s="2"/>
      <c r="L312" s="2"/>
      <c r="M312" s="2"/>
      <c r="N312" s="7"/>
    </row>
    <row r="313" spans="7:14" x14ac:dyDescent="0.25">
      <c r="G313" s="2"/>
      <c r="H313" s="2"/>
      <c r="I313" s="2"/>
      <c r="J313" s="2"/>
      <c r="K313" s="2"/>
      <c r="L313" s="2"/>
      <c r="M313" s="2"/>
      <c r="N313" s="7"/>
    </row>
    <row r="314" spans="7:14" x14ac:dyDescent="0.25">
      <c r="G314" s="2"/>
      <c r="H314" s="2"/>
      <c r="I314" s="2"/>
      <c r="J314" s="2"/>
      <c r="K314" s="2"/>
      <c r="L314" s="2"/>
      <c r="M314" s="2"/>
      <c r="N314" s="7"/>
    </row>
    <row r="315" spans="7:14" x14ac:dyDescent="0.25">
      <c r="G315" s="2"/>
      <c r="H315" s="2"/>
      <c r="I315" s="2"/>
      <c r="J315" s="2"/>
      <c r="K315" s="2"/>
      <c r="L315" s="2"/>
      <c r="M315" s="2"/>
      <c r="N315" s="7"/>
    </row>
    <row r="316" spans="7:14" x14ac:dyDescent="0.25">
      <c r="G316" s="2"/>
      <c r="H316" s="2"/>
      <c r="I316" s="2"/>
      <c r="J316" s="2"/>
      <c r="K316" s="2"/>
      <c r="L316" s="2"/>
      <c r="M316" s="2"/>
      <c r="N316" s="7"/>
    </row>
    <row r="317" spans="7:14" x14ac:dyDescent="0.25">
      <c r="G317" s="2"/>
      <c r="H317" s="2"/>
      <c r="I317" s="2"/>
      <c r="J317" s="2"/>
      <c r="K317" s="2"/>
      <c r="L317" s="2"/>
      <c r="M317" s="2"/>
      <c r="N317" s="7"/>
    </row>
    <row r="318" spans="7:14" x14ac:dyDescent="0.25">
      <c r="G318" s="2"/>
      <c r="H318" s="2"/>
      <c r="I318" s="2"/>
      <c r="J318" s="2"/>
      <c r="K318" s="2"/>
      <c r="L318" s="2"/>
      <c r="M318" s="2"/>
      <c r="N318" s="7"/>
    </row>
    <row r="319" spans="7:14" x14ac:dyDescent="0.25">
      <c r="G319" s="2"/>
      <c r="H319" s="2"/>
      <c r="I319" s="2"/>
      <c r="J319" s="2"/>
      <c r="K319" s="2"/>
      <c r="L319" s="2"/>
      <c r="M319" s="2"/>
      <c r="N319" s="7"/>
    </row>
    <row r="320" spans="7:14" x14ac:dyDescent="0.25">
      <c r="G320" s="2"/>
      <c r="H320" s="2"/>
      <c r="I320" s="2"/>
      <c r="J320" s="2"/>
      <c r="K320" s="2"/>
      <c r="L320" s="2"/>
      <c r="M320" s="2"/>
      <c r="N320" s="7"/>
    </row>
    <row r="321" spans="7:14" x14ac:dyDescent="0.25">
      <c r="G321" s="2"/>
      <c r="H321" s="2"/>
      <c r="I321" s="2"/>
      <c r="J321" s="2"/>
      <c r="K321" s="2"/>
      <c r="L321" s="2"/>
      <c r="M321" s="2"/>
      <c r="N321" s="7"/>
    </row>
    <row r="322" spans="7:14" x14ac:dyDescent="0.25">
      <c r="G322" s="2"/>
      <c r="H322" s="2"/>
      <c r="I322" s="2"/>
      <c r="J322" s="2"/>
      <c r="K322" s="2"/>
      <c r="L322" s="2"/>
      <c r="M322" s="2"/>
      <c r="N322" s="7"/>
    </row>
    <row r="323" spans="7:14" x14ac:dyDescent="0.25">
      <c r="G323" s="2"/>
      <c r="H323" s="2"/>
      <c r="I323" s="2"/>
      <c r="J323" s="2"/>
      <c r="K323" s="2"/>
      <c r="L323" s="2"/>
      <c r="M323" s="2"/>
      <c r="N323" s="7"/>
    </row>
    <row r="324" spans="7:14" x14ac:dyDescent="0.25">
      <c r="G324" s="2"/>
      <c r="H324" s="2"/>
      <c r="I324" s="2"/>
      <c r="J324" s="2"/>
      <c r="K324" s="2"/>
      <c r="L324" s="2"/>
      <c r="M324" s="2"/>
      <c r="N324" s="7"/>
    </row>
    <row r="325" spans="7:14" x14ac:dyDescent="0.25">
      <c r="G325" s="2"/>
      <c r="H325" s="2"/>
      <c r="I325" s="2"/>
      <c r="J325" s="2"/>
      <c r="K325" s="2"/>
      <c r="L325" s="2"/>
      <c r="M325" s="2"/>
      <c r="N325" s="7"/>
    </row>
    <row r="326" spans="7:14" x14ac:dyDescent="0.25">
      <c r="G326" s="2"/>
      <c r="H326" s="2"/>
      <c r="I326" s="2"/>
      <c r="J326" s="2"/>
      <c r="K326" s="2"/>
      <c r="L326" s="2"/>
      <c r="M326" s="2"/>
      <c r="N326" s="7"/>
    </row>
    <row r="327" spans="7:14" x14ac:dyDescent="0.25">
      <c r="G327" s="2"/>
      <c r="H327" s="2"/>
      <c r="I327" s="2"/>
      <c r="J327" s="2"/>
      <c r="K327" s="2"/>
      <c r="L327" s="2"/>
      <c r="M327" s="2"/>
      <c r="N327" s="7"/>
    </row>
    <row r="328" spans="7:14" x14ac:dyDescent="0.25">
      <c r="G328" s="2"/>
      <c r="H328" s="2"/>
      <c r="I328" s="2"/>
      <c r="J328" s="2"/>
      <c r="K328" s="2"/>
      <c r="L328" s="2"/>
      <c r="M328" s="2"/>
      <c r="N328" s="7"/>
    </row>
    <row r="329" spans="7:14" x14ac:dyDescent="0.25">
      <c r="G329" s="2"/>
      <c r="H329" s="2"/>
      <c r="I329" s="2"/>
      <c r="J329" s="2"/>
      <c r="K329" s="2"/>
      <c r="L329" s="2"/>
      <c r="M329" s="2"/>
      <c r="N329" s="7"/>
    </row>
    <row r="330" spans="7:14" x14ac:dyDescent="0.25">
      <c r="G330" s="2"/>
      <c r="H330" s="2"/>
      <c r="I330" s="2"/>
      <c r="J330" s="2"/>
      <c r="K330" s="2"/>
      <c r="L330" s="2"/>
      <c r="M330" s="2"/>
      <c r="N330" s="7"/>
    </row>
    <row r="331" spans="7:14" x14ac:dyDescent="0.25">
      <c r="G331" s="2"/>
      <c r="H331" s="2"/>
      <c r="I331" s="2"/>
      <c r="J331" s="2"/>
      <c r="K331" s="2"/>
      <c r="L331" s="2"/>
      <c r="M331" s="2"/>
      <c r="N331" s="7"/>
    </row>
    <row r="332" spans="7:14" x14ac:dyDescent="0.25">
      <c r="G332" s="2"/>
      <c r="H332" s="2"/>
      <c r="I332" s="2"/>
      <c r="J332" s="2"/>
      <c r="K332" s="2"/>
      <c r="L332" s="2"/>
      <c r="M332" s="2"/>
      <c r="N332" s="7"/>
    </row>
    <row r="333" spans="7:14" x14ac:dyDescent="0.25">
      <c r="G333" s="2"/>
      <c r="H333" s="2"/>
      <c r="I333" s="2"/>
      <c r="J333" s="2"/>
      <c r="K333" s="2"/>
      <c r="L333" s="2"/>
      <c r="M333" s="2"/>
      <c r="N333" s="7"/>
    </row>
    <row r="334" spans="7:14" x14ac:dyDescent="0.25">
      <c r="G334" s="2"/>
      <c r="H334" s="2"/>
      <c r="I334" s="2"/>
      <c r="J334" s="2"/>
      <c r="K334" s="2"/>
      <c r="L334" s="2"/>
      <c r="M334" s="2"/>
      <c r="N334" s="7"/>
    </row>
    <row r="335" spans="7:14" x14ac:dyDescent="0.25">
      <c r="G335" s="2"/>
      <c r="H335" s="2"/>
      <c r="I335" s="2"/>
      <c r="J335" s="2"/>
      <c r="K335" s="2"/>
      <c r="L335" s="2"/>
      <c r="M335" s="2"/>
      <c r="N335" s="7"/>
    </row>
    <row r="336" spans="7:14" x14ac:dyDescent="0.25">
      <c r="G336" s="2"/>
      <c r="H336" s="2"/>
      <c r="I336" s="2"/>
      <c r="J336" s="2"/>
      <c r="K336" s="2"/>
      <c r="L336" s="2"/>
      <c r="M336" s="2"/>
      <c r="N336" s="7"/>
    </row>
    <row r="337" spans="7:14" x14ac:dyDescent="0.25">
      <c r="G337" s="2"/>
      <c r="H337" s="2"/>
      <c r="I337" s="2"/>
      <c r="J337" s="2"/>
      <c r="K337" s="2"/>
      <c r="L337" s="2"/>
      <c r="M337" s="2"/>
      <c r="N337" s="7"/>
    </row>
    <row r="338" spans="7:14" x14ac:dyDescent="0.25">
      <c r="G338" s="2"/>
      <c r="H338" s="2"/>
      <c r="I338" s="2"/>
      <c r="J338" s="2"/>
      <c r="K338" s="2"/>
      <c r="L338" s="2"/>
      <c r="M338" s="2"/>
      <c r="N338" s="7"/>
    </row>
    <row r="339" spans="7:14" x14ac:dyDescent="0.25">
      <c r="G339" s="2"/>
      <c r="H339" s="2"/>
      <c r="I339" s="2"/>
      <c r="J339" s="2"/>
      <c r="K339" s="2"/>
      <c r="L339" s="2"/>
      <c r="M339" s="2"/>
      <c r="N339" s="7"/>
    </row>
    <row r="340" spans="7:14" x14ac:dyDescent="0.25">
      <c r="G340" s="2"/>
      <c r="H340" s="2"/>
      <c r="I340" s="2"/>
      <c r="J340" s="2"/>
      <c r="K340" s="2"/>
      <c r="L340" s="2"/>
      <c r="M340" s="2"/>
      <c r="N340" s="7"/>
    </row>
    <row r="341" spans="7:14" x14ac:dyDescent="0.25">
      <c r="G341" s="2"/>
      <c r="H341" s="2"/>
      <c r="I341" s="2"/>
      <c r="J341" s="2"/>
      <c r="K341" s="2"/>
      <c r="L341" s="2"/>
      <c r="M341" s="2"/>
      <c r="N341" s="7"/>
    </row>
    <row r="342" spans="7:14" x14ac:dyDescent="0.25">
      <c r="G342" s="2"/>
      <c r="H342" s="2"/>
      <c r="I342" s="2"/>
      <c r="J342" s="2"/>
      <c r="K342" s="2"/>
      <c r="L342" s="2"/>
      <c r="M342" s="2"/>
      <c r="N342" s="7"/>
    </row>
    <row r="343" spans="7:14" x14ac:dyDescent="0.25">
      <c r="G343" s="2"/>
      <c r="H343" s="2"/>
      <c r="I343" s="2"/>
      <c r="J343" s="2"/>
      <c r="K343" s="2"/>
      <c r="L343" s="2"/>
      <c r="M343" s="2"/>
      <c r="N343" s="7"/>
    </row>
    <row r="344" spans="7:14" x14ac:dyDescent="0.25">
      <c r="G344" s="2"/>
      <c r="H344" s="2"/>
      <c r="I344" s="2"/>
      <c r="J344" s="2"/>
      <c r="K344" s="2"/>
      <c r="L344" s="2"/>
      <c r="M344" s="2"/>
      <c r="N344" s="7"/>
    </row>
    <row r="345" spans="7:14" x14ac:dyDescent="0.25">
      <c r="G345" s="2"/>
      <c r="H345" s="2"/>
      <c r="I345" s="2"/>
      <c r="J345" s="2"/>
      <c r="K345" s="2"/>
      <c r="L345" s="2"/>
      <c r="M345" s="2"/>
      <c r="N345" s="7"/>
    </row>
    <row r="346" spans="7:14" x14ac:dyDescent="0.25">
      <c r="G346" s="2"/>
      <c r="H346" s="2"/>
      <c r="I346" s="2"/>
      <c r="J346" s="2"/>
      <c r="K346" s="2"/>
      <c r="L346" s="2"/>
      <c r="M346" s="2"/>
      <c r="N346" s="7"/>
    </row>
    <row r="347" spans="7:14" x14ac:dyDescent="0.25">
      <c r="G347" s="2"/>
      <c r="H347" s="2"/>
      <c r="I347" s="2"/>
      <c r="J347" s="2"/>
      <c r="K347" s="2"/>
      <c r="L347" s="2"/>
      <c r="M347" s="2"/>
      <c r="N347" s="7"/>
    </row>
    <row r="348" spans="7:14" x14ac:dyDescent="0.25">
      <c r="G348" s="2"/>
      <c r="H348" s="2"/>
      <c r="I348" s="2"/>
      <c r="J348" s="2"/>
      <c r="K348" s="2"/>
      <c r="L348" s="2"/>
      <c r="M348" s="2"/>
      <c r="N348" s="7"/>
    </row>
    <row r="349" spans="7:14" x14ac:dyDescent="0.25">
      <c r="G349" s="2"/>
      <c r="H349" s="2"/>
      <c r="I349" s="2"/>
      <c r="J349" s="2"/>
      <c r="K349" s="2"/>
      <c r="L349" s="2"/>
      <c r="M349" s="2"/>
      <c r="N349" s="7"/>
    </row>
    <row r="350" spans="7:14" x14ac:dyDescent="0.25">
      <c r="G350" s="2"/>
      <c r="H350" s="2"/>
      <c r="I350" s="2"/>
      <c r="J350" s="2"/>
      <c r="K350" s="2"/>
      <c r="L350" s="2"/>
      <c r="M350" s="2"/>
      <c r="N350" s="7"/>
    </row>
    <row r="351" spans="7:14" x14ac:dyDescent="0.25">
      <c r="G351" s="2"/>
      <c r="H351" s="2"/>
      <c r="I351" s="2"/>
      <c r="J351" s="2"/>
      <c r="K351" s="2"/>
      <c r="L351" s="2"/>
      <c r="M351" s="2"/>
      <c r="N351" s="7"/>
    </row>
    <row r="352" spans="7:14" x14ac:dyDescent="0.25">
      <c r="G352" s="2"/>
      <c r="H352" s="2"/>
      <c r="I352" s="2"/>
      <c r="J352" s="2"/>
      <c r="K352" s="2"/>
      <c r="L352" s="2"/>
      <c r="M352" s="2"/>
      <c r="N352" s="7"/>
    </row>
    <row r="353" spans="7:14" x14ac:dyDescent="0.25">
      <c r="G353" s="2"/>
      <c r="H353" s="2"/>
      <c r="I353" s="2"/>
      <c r="J353" s="2"/>
      <c r="K353" s="2"/>
      <c r="L353" s="2"/>
      <c r="M353" s="2"/>
      <c r="N353" s="7"/>
    </row>
    <row r="354" spans="7:14" x14ac:dyDescent="0.25">
      <c r="G354" s="2"/>
      <c r="H354" s="2"/>
      <c r="I354" s="2"/>
      <c r="J354" s="2"/>
      <c r="K354" s="2"/>
      <c r="L354" s="2"/>
      <c r="M354" s="2"/>
      <c r="N354" s="7"/>
    </row>
    <row r="355" spans="7:14" x14ac:dyDescent="0.25">
      <c r="G355" s="2"/>
      <c r="H355" s="2"/>
      <c r="I355" s="2"/>
      <c r="J355" s="2"/>
      <c r="K355" s="2"/>
      <c r="L355" s="2"/>
      <c r="M355" s="2"/>
      <c r="N355" s="7"/>
    </row>
    <row r="356" spans="7:14" x14ac:dyDescent="0.25">
      <c r="G356" s="2"/>
      <c r="H356" s="2"/>
      <c r="I356" s="2"/>
      <c r="J356" s="2"/>
      <c r="K356" s="2"/>
      <c r="L356" s="2"/>
      <c r="M356" s="2"/>
      <c r="N356" s="7"/>
    </row>
    <row r="357" spans="7:14" x14ac:dyDescent="0.25">
      <c r="G357" s="2"/>
      <c r="H357" s="2"/>
      <c r="I357" s="2"/>
      <c r="J357" s="2"/>
      <c r="K357" s="2"/>
      <c r="L357" s="2"/>
      <c r="M357" s="2"/>
      <c r="N357" s="7"/>
    </row>
    <row r="358" spans="7:14" x14ac:dyDescent="0.25">
      <c r="G358" s="2"/>
      <c r="H358" s="2"/>
      <c r="I358" s="2"/>
      <c r="J358" s="2"/>
      <c r="K358" s="2"/>
      <c r="L358" s="2"/>
      <c r="M358" s="2"/>
      <c r="N358" s="7"/>
    </row>
    <row r="359" spans="7:14" x14ac:dyDescent="0.25">
      <c r="G359" s="2"/>
      <c r="H359" s="2"/>
      <c r="I359" s="2"/>
      <c r="J359" s="2"/>
      <c r="K359" s="2"/>
      <c r="L359" s="2"/>
      <c r="M359" s="2"/>
      <c r="N359" s="7"/>
    </row>
    <row r="360" spans="7:14" x14ac:dyDescent="0.25">
      <c r="G360" s="2"/>
      <c r="H360" s="2"/>
      <c r="I360" s="2"/>
      <c r="J360" s="2"/>
      <c r="K360" s="2"/>
      <c r="L360" s="2"/>
      <c r="M360" s="2"/>
      <c r="N360" s="7"/>
    </row>
    <row r="361" spans="7:14" x14ac:dyDescent="0.25">
      <c r="G361" s="2"/>
      <c r="H361" s="2"/>
      <c r="I361" s="2"/>
      <c r="J361" s="2"/>
      <c r="K361" s="2"/>
      <c r="L361" s="2"/>
      <c r="M361" s="2"/>
      <c r="N361" s="7"/>
    </row>
    <row r="362" spans="7:14" x14ac:dyDescent="0.25">
      <c r="G362" s="2"/>
      <c r="H362" s="2"/>
      <c r="I362" s="2"/>
      <c r="J362" s="2"/>
      <c r="K362" s="2"/>
      <c r="L362" s="2"/>
      <c r="M362" s="2"/>
      <c r="N362" s="7"/>
    </row>
  </sheetData>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62"/>
  <sheetViews>
    <sheetView showGridLines="0" workbookViewId="0"/>
  </sheetViews>
  <sheetFormatPr defaultRowHeight="15" x14ac:dyDescent="0.25"/>
  <cols>
    <col min="1" max="13" width="9.5703125" customWidth="1"/>
    <col min="14" max="14" width="9.5703125" style="8" customWidth="1"/>
    <col min="17" max="17" width="11.140625" bestFit="1" customWidth="1"/>
  </cols>
  <sheetData>
    <row r="2" spans="1:17" ht="30" x14ac:dyDescent="0.25">
      <c r="A2" s="45" t="s">
        <v>36</v>
      </c>
      <c r="B2" s="45" t="s">
        <v>21</v>
      </c>
      <c r="C2" s="45" t="s">
        <v>1</v>
      </c>
      <c r="D2" s="45" t="s">
        <v>2</v>
      </c>
      <c r="E2" s="45" t="s">
        <v>3</v>
      </c>
      <c r="F2" s="45" t="s">
        <v>12</v>
      </c>
      <c r="G2" s="45" t="s">
        <v>18</v>
      </c>
      <c r="H2" s="45" t="s">
        <v>14</v>
      </c>
      <c r="I2" s="45" t="s">
        <v>15</v>
      </c>
      <c r="J2" s="45" t="s">
        <v>16</v>
      </c>
      <c r="K2" s="45" t="s">
        <v>13</v>
      </c>
      <c r="L2" s="45" t="s">
        <v>38</v>
      </c>
      <c r="M2" s="45" t="s">
        <v>32</v>
      </c>
      <c r="N2" s="45" t="s">
        <v>19</v>
      </c>
      <c r="P2" s="45" t="s">
        <v>59</v>
      </c>
      <c r="Q2" s="58">
        <f>NPV(Disc_Rate_PM,N3:N122)</f>
        <v>10406649.67715057</v>
      </c>
    </row>
    <row r="3" spans="1:17" ht="30" x14ac:dyDescent="0.25">
      <c r="A3" s="46">
        <v>1</v>
      </c>
      <c r="B3" s="46">
        <v>1</v>
      </c>
      <c r="C3" s="46">
        <f>MIN(ROUND('Corrected data'!C2*IF(MOD(B3,12)=3,Parameters!$D$19,1),0),2000)</f>
        <v>960</v>
      </c>
      <c r="D3" s="46">
        <f t="shared" ref="D3" si="0">prop_choc_syrup*C3</f>
        <v>1920</v>
      </c>
      <c r="E3" s="46">
        <f t="shared" ref="E3" si="1">prop_straw_syrup*C3</f>
        <v>960</v>
      </c>
      <c r="F3" s="47" t="str">
        <f>IF(AND(MOD(B3,12)&lt;=2, MOD(B3,12)&lt;&gt;0),"Winter","Summer")</f>
        <v>Winter</v>
      </c>
      <c r="G3" s="48">
        <f t="shared" ref="G3:G34" si="2">C3*Cost_Icecream+D3*cost_choc_syrup+E3*cost_straw_syrup</f>
        <v>278400</v>
      </c>
      <c r="H3" s="48">
        <f t="shared" ref="H3:H66" si="3">Rent</f>
        <v>35000</v>
      </c>
      <c r="I3" s="48">
        <f t="shared" ref="I3:I66" si="4">Salary</f>
        <v>30000</v>
      </c>
      <c r="J3" s="48">
        <f t="shared" ref="J3:J66" si="5">IF(F3="Winter",Electr_winter,Electr_Summer)</f>
        <v>7000</v>
      </c>
      <c r="K3" s="52">
        <f>C3*IF('Base Scenario'!F3="Winter",SP_icecream_winter,SP_icecream)+D3*SP_choc_syrup+E3*SP_straw_syrup</f>
        <v>441600</v>
      </c>
      <c r="L3" s="48">
        <f t="shared" ref="L3:L34" si="6">SUM(G3:J3)</f>
        <v>350400</v>
      </c>
      <c r="M3" s="48">
        <f t="shared" ref="M3:M66" si="7">Tax_rate*(K3-L3)</f>
        <v>22800</v>
      </c>
      <c r="N3" s="49">
        <f t="shared" ref="N3:N34" si="8">K3-L3-M3</f>
        <v>68400</v>
      </c>
      <c r="P3" s="45" t="s">
        <v>60</v>
      </c>
      <c r="Q3" s="58">
        <f>NPV(Disc_Rate_PM,K3:K122)</f>
        <v>50023561.668599665</v>
      </c>
    </row>
    <row r="4" spans="1:17" ht="30" x14ac:dyDescent="0.25">
      <c r="A4" s="46">
        <f>IF(MOD(B3,12)=0,A3+1,A3)</f>
        <v>1</v>
      </c>
      <c r="B4" s="46">
        <v>2</v>
      </c>
      <c r="C4" s="46">
        <f>MIN(ROUND('Corrected data'!C3*IF(MOD(B4,12)=3,Parameters!$D$19,1),0),2000)</f>
        <v>962</v>
      </c>
      <c r="D4" s="46">
        <f t="shared" ref="D4:D67" si="9">prop_choc_syrup*C4</f>
        <v>1924</v>
      </c>
      <c r="E4" s="46">
        <f t="shared" ref="E4:E67" si="10">prop_straw_syrup*C4</f>
        <v>962</v>
      </c>
      <c r="F4" s="47" t="str">
        <f t="shared" ref="F4:F67" si="11">IF(AND(MOD(B4,12)&lt;=2, MOD(B4,12)&lt;&gt;0),"Winter","Summer")</f>
        <v>Winter</v>
      </c>
      <c r="G4" s="48">
        <f t="shared" si="2"/>
        <v>278980</v>
      </c>
      <c r="H4" s="48">
        <f t="shared" si="3"/>
        <v>35000</v>
      </c>
      <c r="I4" s="48">
        <f t="shared" si="4"/>
        <v>30000</v>
      </c>
      <c r="J4" s="48">
        <f t="shared" si="5"/>
        <v>7000</v>
      </c>
      <c r="K4" s="52">
        <f>C4*IF('Base Scenario'!F4="Winter",SP_icecream_winter,SP_icecream)+D4*SP_choc_syrup+E4*SP_straw_syrup</f>
        <v>442520</v>
      </c>
      <c r="L4" s="48">
        <f t="shared" si="6"/>
        <v>350980</v>
      </c>
      <c r="M4" s="48">
        <f t="shared" si="7"/>
        <v>22885</v>
      </c>
      <c r="N4" s="49">
        <f t="shared" si="8"/>
        <v>68655</v>
      </c>
      <c r="P4" s="45" t="s">
        <v>61</v>
      </c>
      <c r="Q4" s="59">
        <f>Q2/Q3</f>
        <v>0.20803496052706974</v>
      </c>
    </row>
    <row r="5" spans="1:17" x14ac:dyDescent="0.25">
      <c r="A5" s="46">
        <f t="shared" ref="A5:A68" si="12">IF(MOD(B4,12)=0,A4+1,A4)</f>
        <v>1</v>
      </c>
      <c r="B5" s="46">
        <v>3</v>
      </c>
      <c r="C5" s="46">
        <f>MIN(ROUND('Corrected data'!C4*IF(MOD(B5,12)=3,Parameters!$D$19,1),0),2000)</f>
        <v>1157</v>
      </c>
      <c r="D5" s="46">
        <f t="shared" si="9"/>
        <v>2314</v>
      </c>
      <c r="E5" s="46">
        <f t="shared" si="10"/>
        <v>1157</v>
      </c>
      <c r="F5" s="47" t="str">
        <f t="shared" si="11"/>
        <v>Summer</v>
      </c>
      <c r="G5" s="48">
        <f t="shared" si="2"/>
        <v>335530</v>
      </c>
      <c r="H5" s="48">
        <f t="shared" si="3"/>
        <v>35000</v>
      </c>
      <c r="I5" s="48">
        <f t="shared" si="4"/>
        <v>30000</v>
      </c>
      <c r="J5" s="48">
        <f t="shared" si="5"/>
        <v>10000</v>
      </c>
      <c r="K5" s="52">
        <f>C5*IF('Base Scenario'!F5="Winter",SP_icecream_winter,SP_icecream)+D5*SP_choc_syrup+E5*SP_straw_syrup</f>
        <v>532220</v>
      </c>
      <c r="L5" s="48">
        <f t="shared" si="6"/>
        <v>410530</v>
      </c>
      <c r="M5" s="48">
        <f t="shared" si="7"/>
        <v>30422.5</v>
      </c>
      <c r="N5" s="49">
        <f t="shared" si="8"/>
        <v>91267.5</v>
      </c>
    </row>
    <row r="6" spans="1:17" x14ac:dyDescent="0.25">
      <c r="A6" s="46">
        <f t="shared" si="12"/>
        <v>1</v>
      </c>
      <c r="B6" s="46">
        <v>4</v>
      </c>
      <c r="C6" s="46">
        <f>MIN(ROUND('Corrected data'!C5*IF(MOD(B6,12)=3,Parameters!$D$19,1),0),2000)</f>
        <v>1200</v>
      </c>
      <c r="D6" s="46">
        <f t="shared" si="9"/>
        <v>2400</v>
      </c>
      <c r="E6" s="46">
        <f t="shared" si="10"/>
        <v>1200</v>
      </c>
      <c r="F6" s="47" t="str">
        <f t="shared" si="11"/>
        <v>Summer</v>
      </c>
      <c r="G6" s="48">
        <f t="shared" si="2"/>
        <v>348000</v>
      </c>
      <c r="H6" s="48">
        <f t="shared" si="3"/>
        <v>35000</v>
      </c>
      <c r="I6" s="48">
        <f t="shared" si="4"/>
        <v>30000</v>
      </c>
      <c r="J6" s="48">
        <f t="shared" si="5"/>
        <v>10000</v>
      </c>
      <c r="K6" s="52">
        <f>C6*IF('Base Scenario'!F6="Winter",SP_icecream_winter,SP_icecream)+D6*SP_choc_syrup+E6*SP_straw_syrup</f>
        <v>576000</v>
      </c>
      <c r="L6" s="48">
        <f t="shared" si="6"/>
        <v>423000</v>
      </c>
      <c r="M6" s="48">
        <f t="shared" si="7"/>
        <v>38250</v>
      </c>
      <c r="N6" s="49">
        <f t="shared" si="8"/>
        <v>114750</v>
      </c>
    </row>
    <row r="7" spans="1:17" x14ac:dyDescent="0.25">
      <c r="A7" s="46">
        <f t="shared" si="12"/>
        <v>1</v>
      </c>
      <c r="B7" s="46">
        <v>5</v>
      </c>
      <c r="C7" s="46">
        <f>MIN(ROUND('Corrected data'!C6*IF(MOD(B7,12)=3,Parameters!$D$19,1),0),2000)</f>
        <v>1203</v>
      </c>
      <c r="D7" s="46">
        <f t="shared" si="9"/>
        <v>2406</v>
      </c>
      <c r="E7" s="46">
        <f t="shared" si="10"/>
        <v>1203</v>
      </c>
      <c r="F7" s="47" t="str">
        <f t="shared" si="11"/>
        <v>Summer</v>
      </c>
      <c r="G7" s="48">
        <f t="shared" si="2"/>
        <v>348870</v>
      </c>
      <c r="H7" s="48">
        <f t="shared" si="3"/>
        <v>35000</v>
      </c>
      <c r="I7" s="48">
        <f t="shared" si="4"/>
        <v>30000</v>
      </c>
      <c r="J7" s="48">
        <f t="shared" si="5"/>
        <v>10000</v>
      </c>
      <c r="K7" s="52">
        <f>C7*IF('Base Scenario'!F7="Winter",SP_icecream_winter,SP_icecream)+D7*SP_choc_syrup+E7*SP_straw_syrup</f>
        <v>577440</v>
      </c>
      <c r="L7" s="48">
        <f t="shared" si="6"/>
        <v>423870</v>
      </c>
      <c r="M7" s="48">
        <f t="shared" si="7"/>
        <v>38392.5</v>
      </c>
      <c r="N7" s="49">
        <f t="shared" si="8"/>
        <v>115177.5</v>
      </c>
    </row>
    <row r="8" spans="1:17" x14ac:dyDescent="0.25">
      <c r="A8" s="46">
        <f t="shared" si="12"/>
        <v>1</v>
      </c>
      <c r="B8" s="46">
        <v>6</v>
      </c>
      <c r="C8" s="46">
        <f>MIN(ROUND('Corrected data'!C7*IF(MOD(B8,12)=3,Parameters!$D$19,1),0),2000)</f>
        <v>1206</v>
      </c>
      <c r="D8" s="46">
        <f t="shared" si="9"/>
        <v>2412</v>
      </c>
      <c r="E8" s="46">
        <f t="shared" si="10"/>
        <v>1206</v>
      </c>
      <c r="F8" s="47" t="str">
        <f t="shared" si="11"/>
        <v>Summer</v>
      </c>
      <c r="G8" s="48">
        <f t="shared" si="2"/>
        <v>349740</v>
      </c>
      <c r="H8" s="48">
        <f t="shared" si="3"/>
        <v>35000</v>
      </c>
      <c r="I8" s="48">
        <f t="shared" si="4"/>
        <v>30000</v>
      </c>
      <c r="J8" s="48">
        <f t="shared" si="5"/>
        <v>10000</v>
      </c>
      <c r="K8" s="52">
        <f>C8*IF('Base Scenario'!F8="Winter",SP_icecream_winter,SP_icecream)+D8*SP_choc_syrup+E8*SP_straw_syrup</f>
        <v>578880</v>
      </c>
      <c r="L8" s="48">
        <f t="shared" si="6"/>
        <v>424740</v>
      </c>
      <c r="M8" s="48">
        <f t="shared" si="7"/>
        <v>38535</v>
      </c>
      <c r="N8" s="49">
        <f t="shared" si="8"/>
        <v>115605</v>
      </c>
    </row>
    <row r="9" spans="1:17" x14ac:dyDescent="0.25">
      <c r="A9" s="46">
        <f t="shared" si="12"/>
        <v>1</v>
      </c>
      <c r="B9" s="46">
        <v>7</v>
      </c>
      <c r="C9" s="46">
        <f>MIN(ROUND('Corrected data'!C8*IF(MOD(B9,12)=3,Parameters!$D$19,1),0),2000)</f>
        <v>1209</v>
      </c>
      <c r="D9" s="46">
        <f t="shared" si="9"/>
        <v>2418</v>
      </c>
      <c r="E9" s="46">
        <f t="shared" si="10"/>
        <v>1209</v>
      </c>
      <c r="F9" s="47" t="str">
        <f t="shared" si="11"/>
        <v>Summer</v>
      </c>
      <c r="G9" s="48">
        <f t="shared" si="2"/>
        <v>350610</v>
      </c>
      <c r="H9" s="48">
        <f t="shared" si="3"/>
        <v>35000</v>
      </c>
      <c r="I9" s="48">
        <f t="shared" si="4"/>
        <v>30000</v>
      </c>
      <c r="J9" s="48">
        <f t="shared" si="5"/>
        <v>10000</v>
      </c>
      <c r="K9" s="52">
        <f>C9*IF('Base Scenario'!F9="Winter",SP_icecream_winter,SP_icecream)+D9*SP_choc_syrup+E9*SP_straw_syrup</f>
        <v>580320</v>
      </c>
      <c r="L9" s="48">
        <f t="shared" si="6"/>
        <v>425610</v>
      </c>
      <c r="M9" s="48">
        <f t="shared" si="7"/>
        <v>38677.5</v>
      </c>
      <c r="N9" s="49">
        <f t="shared" si="8"/>
        <v>116032.5</v>
      </c>
    </row>
    <row r="10" spans="1:17" x14ac:dyDescent="0.25">
      <c r="A10" s="46">
        <f t="shared" si="12"/>
        <v>1</v>
      </c>
      <c r="B10" s="46">
        <v>8</v>
      </c>
      <c r="C10" s="46">
        <f>MIN(ROUND('Corrected data'!C9*IF(MOD(B10,12)=3,Parameters!$D$19,1),0),2000)</f>
        <v>1212</v>
      </c>
      <c r="D10" s="46">
        <f t="shared" si="9"/>
        <v>2424</v>
      </c>
      <c r="E10" s="46">
        <f t="shared" si="10"/>
        <v>1212</v>
      </c>
      <c r="F10" s="47" t="str">
        <f t="shared" si="11"/>
        <v>Summer</v>
      </c>
      <c r="G10" s="48">
        <f t="shared" si="2"/>
        <v>351480</v>
      </c>
      <c r="H10" s="48">
        <f t="shared" si="3"/>
        <v>35000</v>
      </c>
      <c r="I10" s="48">
        <f t="shared" si="4"/>
        <v>30000</v>
      </c>
      <c r="J10" s="48">
        <f t="shared" si="5"/>
        <v>10000</v>
      </c>
      <c r="K10" s="52">
        <f>C10*IF('Base Scenario'!F10="Winter",SP_icecream_winter,SP_icecream)+D10*SP_choc_syrup+E10*SP_straw_syrup</f>
        <v>581760</v>
      </c>
      <c r="L10" s="48">
        <f t="shared" si="6"/>
        <v>426480</v>
      </c>
      <c r="M10" s="48">
        <f t="shared" si="7"/>
        <v>38820</v>
      </c>
      <c r="N10" s="49">
        <f t="shared" si="8"/>
        <v>116460</v>
      </c>
    </row>
    <row r="11" spans="1:17" x14ac:dyDescent="0.25">
      <c r="A11" s="46">
        <f t="shared" si="12"/>
        <v>1</v>
      </c>
      <c r="B11" s="46">
        <v>9</v>
      </c>
      <c r="C11" s="46">
        <f>MIN(ROUND('Corrected data'!C10*IF(MOD(B11,12)=3,Parameters!$D$19,1),0),2000)</f>
        <v>1215</v>
      </c>
      <c r="D11" s="46">
        <f t="shared" si="9"/>
        <v>2430</v>
      </c>
      <c r="E11" s="46">
        <f t="shared" si="10"/>
        <v>1215</v>
      </c>
      <c r="F11" s="47" t="str">
        <f t="shared" si="11"/>
        <v>Summer</v>
      </c>
      <c r="G11" s="48">
        <f t="shared" si="2"/>
        <v>352350</v>
      </c>
      <c r="H11" s="48">
        <f t="shared" si="3"/>
        <v>35000</v>
      </c>
      <c r="I11" s="48">
        <f t="shared" si="4"/>
        <v>30000</v>
      </c>
      <c r="J11" s="48">
        <f t="shared" si="5"/>
        <v>10000</v>
      </c>
      <c r="K11" s="52">
        <f>C11*IF('Base Scenario'!F11="Winter",SP_icecream_winter,SP_icecream)+D11*SP_choc_syrup+E11*SP_straw_syrup</f>
        <v>583200</v>
      </c>
      <c r="L11" s="48">
        <f t="shared" si="6"/>
        <v>427350</v>
      </c>
      <c r="M11" s="48">
        <f t="shared" si="7"/>
        <v>38962.5</v>
      </c>
      <c r="N11" s="49">
        <f t="shared" si="8"/>
        <v>116887.5</v>
      </c>
    </row>
    <row r="12" spans="1:17" x14ac:dyDescent="0.25">
      <c r="A12" s="46">
        <f t="shared" si="12"/>
        <v>1</v>
      </c>
      <c r="B12" s="46">
        <v>10</v>
      </c>
      <c r="C12" s="46">
        <f>MIN(ROUND('Corrected data'!C11*IF(MOD(B12,12)=3,Parameters!$D$19,1),0),2000)</f>
        <v>1218</v>
      </c>
      <c r="D12" s="46">
        <f t="shared" si="9"/>
        <v>2436</v>
      </c>
      <c r="E12" s="46">
        <f t="shared" si="10"/>
        <v>1218</v>
      </c>
      <c r="F12" s="47" t="str">
        <f t="shared" si="11"/>
        <v>Summer</v>
      </c>
      <c r="G12" s="48">
        <f t="shared" si="2"/>
        <v>353220</v>
      </c>
      <c r="H12" s="48">
        <f t="shared" si="3"/>
        <v>35000</v>
      </c>
      <c r="I12" s="48">
        <f t="shared" si="4"/>
        <v>30000</v>
      </c>
      <c r="J12" s="48">
        <f t="shared" si="5"/>
        <v>10000</v>
      </c>
      <c r="K12" s="52">
        <f>C12*IF('Base Scenario'!F12="Winter",SP_icecream_winter,SP_icecream)+D12*SP_choc_syrup+E12*SP_straw_syrup</f>
        <v>584640</v>
      </c>
      <c r="L12" s="48">
        <f t="shared" si="6"/>
        <v>428220</v>
      </c>
      <c r="M12" s="48">
        <f t="shared" si="7"/>
        <v>39105</v>
      </c>
      <c r="N12" s="49">
        <f t="shared" si="8"/>
        <v>117315</v>
      </c>
    </row>
    <row r="13" spans="1:17" x14ac:dyDescent="0.25">
      <c r="A13" s="46">
        <f t="shared" si="12"/>
        <v>1</v>
      </c>
      <c r="B13" s="46">
        <v>11</v>
      </c>
      <c r="C13" s="46">
        <f>MIN(ROUND('Corrected data'!C12*IF(MOD(B13,12)=3,Parameters!$D$19,1),0),2000)</f>
        <v>1221</v>
      </c>
      <c r="D13" s="46">
        <f t="shared" si="9"/>
        <v>2442</v>
      </c>
      <c r="E13" s="46">
        <f t="shared" si="10"/>
        <v>1221</v>
      </c>
      <c r="F13" s="47" t="str">
        <f t="shared" si="11"/>
        <v>Summer</v>
      </c>
      <c r="G13" s="48">
        <f t="shared" si="2"/>
        <v>354090</v>
      </c>
      <c r="H13" s="48">
        <f t="shared" si="3"/>
        <v>35000</v>
      </c>
      <c r="I13" s="48">
        <f t="shared" si="4"/>
        <v>30000</v>
      </c>
      <c r="J13" s="48">
        <f t="shared" si="5"/>
        <v>10000</v>
      </c>
      <c r="K13" s="52">
        <f>C13*IF('Base Scenario'!F13="Winter",SP_icecream_winter,SP_icecream)+D13*SP_choc_syrup+E13*SP_straw_syrup</f>
        <v>586080</v>
      </c>
      <c r="L13" s="48">
        <f t="shared" si="6"/>
        <v>429090</v>
      </c>
      <c r="M13" s="48">
        <f t="shared" si="7"/>
        <v>39247.5</v>
      </c>
      <c r="N13" s="49">
        <f t="shared" si="8"/>
        <v>117742.5</v>
      </c>
    </row>
    <row r="14" spans="1:17" x14ac:dyDescent="0.25">
      <c r="A14" s="46">
        <f t="shared" si="12"/>
        <v>1</v>
      </c>
      <c r="B14" s="46">
        <v>12</v>
      </c>
      <c r="C14" s="46">
        <f>MIN(ROUND('Corrected data'!C13*IF(MOD(B14,12)=3,Parameters!$D$19,1),0),2000)</f>
        <v>1224</v>
      </c>
      <c r="D14" s="46">
        <f t="shared" si="9"/>
        <v>2448</v>
      </c>
      <c r="E14" s="46">
        <f t="shared" si="10"/>
        <v>1224</v>
      </c>
      <c r="F14" s="47" t="str">
        <f t="shared" si="11"/>
        <v>Summer</v>
      </c>
      <c r="G14" s="48">
        <f t="shared" si="2"/>
        <v>354960</v>
      </c>
      <c r="H14" s="48">
        <f t="shared" si="3"/>
        <v>35000</v>
      </c>
      <c r="I14" s="48">
        <f t="shared" si="4"/>
        <v>30000</v>
      </c>
      <c r="J14" s="48">
        <f t="shared" si="5"/>
        <v>10000</v>
      </c>
      <c r="K14" s="52">
        <f>C14*IF('Base Scenario'!F14="Winter",SP_icecream_winter,SP_icecream)+D14*SP_choc_syrup+E14*SP_straw_syrup</f>
        <v>587520</v>
      </c>
      <c r="L14" s="48">
        <f t="shared" si="6"/>
        <v>429960</v>
      </c>
      <c r="M14" s="48">
        <f t="shared" si="7"/>
        <v>39390</v>
      </c>
      <c r="N14" s="49">
        <f t="shared" si="8"/>
        <v>118170</v>
      </c>
    </row>
    <row r="15" spans="1:17" x14ac:dyDescent="0.25">
      <c r="A15" s="46">
        <f t="shared" si="12"/>
        <v>2</v>
      </c>
      <c r="B15" s="46">
        <v>13</v>
      </c>
      <c r="C15" s="46">
        <f>MIN(ROUND('Corrected data'!C14*IF(MOD(B15,12)=3,Parameters!$D$19,1),0),2000)</f>
        <v>989</v>
      </c>
      <c r="D15" s="46">
        <f t="shared" si="9"/>
        <v>1978</v>
      </c>
      <c r="E15" s="46">
        <f t="shared" si="10"/>
        <v>989</v>
      </c>
      <c r="F15" s="47" t="str">
        <f t="shared" si="11"/>
        <v>Winter</v>
      </c>
      <c r="G15" s="48">
        <f t="shared" si="2"/>
        <v>286810</v>
      </c>
      <c r="H15" s="48">
        <f t="shared" si="3"/>
        <v>35000</v>
      </c>
      <c r="I15" s="48">
        <f t="shared" si="4"/>
        <v>30000</v>
      </c>
      <c r="J15" s="48">
        <f t="shared" si="5"/>
        <v>7000</v>
      </c>
      <c r="K15" s="52">
        <f>C15*IF('Base Scenario'!F15="Winter",SP_icecream_winter,SP_icecream)+D15*SP_choc_syrup+E15*SP_straw_syrup</f>
        <v>454940</v>
      </c>
      <c r="L15" s="48">
        <f t="shared" si="6"/>
        <v>358810</v>
      </c>
      <c r="M15" s="48">
        <f t="shared" si="7"/>
        <v>24032.5</v>
      </c>
      <c r="N15" s="49">
        <f t="shared" si="8"/>
        <v>72097.5</v>
      </c>
    </row>
    <row r="16" spans="1:17" x14ac:dyDescent="0.25">
      <c r="A16" s="46">
        <f t="shared" si="12"/>
        <v>2</v>
      </c>
      <c r="B16" s="46">
        <v>14</v>
      </c>
      <c r="C16" s="46">
        <f>MIN(ROUND('Corrected data'!C15*IF(MOD(B16,12)=3,Parameters!$D$19,1),0),2000)</f>
        <v>992</v>
      </c>
      <c r="D16" s="46">
        <f t="shared" si="9"/>
        <v>1984</v>
      </c>
      <c r="E16" s="46">
        <f t="shared" si="10"/>
        <v>992</v>
      </c>
      <c r="F16" s="47" t="str">
        <f t="shared" si="11"/>
        <v>Winter</v>
      </c>
      <c r="G16" s="48">
        <f t="shared" si="2"/>
        <v>287680</v>
      </c>
      <c r="H16" s="48">
        <f t="shared" si="3"/>
        <v>35000</v>
      </c>
      <c r="I16" s="48">
        <f t="shared" si="4"/>
        <v>30000</v>
      </c>
      <c r="J16" s="48">
        <f t="shared" si="5"/>
        <v>7000</v>
      </c>
      <c r="K16" s="52">
        <f>C16*IF('Base Scenario'!F16="Winter",SP_icecream_winter,SP_icecream)+D16*SP_choc_syrup+E16*SP_straw_syrup</f>
        <v>456320</v>
      </c>
      <c r="L16" s="48">
        <f t="shared" si="6"/>
        <v>359680</v>
      </c>
      <c r="M16" s="48">
        <f t="shared" si="7"/>
        <v>24160</v>
      </c>
      <c r="N16" s="49">
        <f t="shared" si="8"/>
        <v>72480</v>
      </c>
    </row>
    <row r="17" spans="1:14" x14ac:dyDescent="0.25">
      <c r="A17" s="46">
        <f t="shared" si="12"/>
        <v>2</v>
      </c>
      <c r="B17" s="46">
        <v>15</v>
      </c>
      <c r="C17" s="46">
        <f>MIN(ROUND('Corrected data'!C16*IF(MOD(B17,12)=3,Parameters!$D$19,1),0),2000)</f>
        <v>1194</v>
      </c>
      <c r="D17" s="46">
        <f t="shared" si="9"/>
        <v>2388</v>
      </c>
      <c r="E17" s="46">
        <f t="shared" si="10"/>
        <v>1194</v>
      </c>
      <c r="F17" s="47" t="str">
        <f t="shared" si="11"/>
        <v>Summer</v>
      </c>
      <c r="G17" s="48">
        <f t="shared" si="2"/>
        <v>346260</v>
      </c>
      <c r="H17" s="48">
        <f t="shared" si="3"/>
        <v>35000</v>
      </c>
      <c r="I17" s="48">
        <f t="shared" si="4"/>
        <v>30000</v>
      </c>
      <c r="J17" s="48">
        <f t="shared" si="5"/>
        <v>10000</v>
      </c>
      <c r="K17" s="52">
        <f>C17*IF('Base Scenario'!F17="Winter",SP_icecream_winter,SP_icecream)+D17*SP_choc_syrup+E17*SP_straw_syrup</f>
        <v>549240</v>
      </c>
      <c r="L17" s="48">
        <f t="shared" si="6"/>
        <v>421260</v>
      </c>
      <c r="M17" s="48">
        <f t="shared" si="7"/>
        <v>31995</v>
      </c>
      <c r="N17" s="49">
        <f t="shared" si="8"/>
        <v>95985</v>
      </c>
    </row>
    <row r="18" spans="1:14" x14ac:dyDescent="0.25">
      <c r="A18" s="46">
        <f t="shared" si="12"/>
        <v>2</v>
      </c>
      <c r="B18" s="46">
        <v>16</v>
      </c>
      <c r="C18" s="46">
        <f>MIN(ROUND('Corrected data'!C17*IF(MOD(B18,12)=3,Parameters!$D$19,1),0),2000)</f>
        <v>1236</v>
      </c>
      <c r="D18" s="46">
        <f t="shared" si="9"/>
        <v>2472</v>
      </c>
      <c r="E18" s="46">
        <f t="shared" si="10"/>
        <v>1236</v>
      </c>
      <c r="F18" s="47" t="str">
        <f t="shared" si="11"/>
        <v>Summer</v>
      </c>
      <c r="G18" s="48">
        <f t="shared" si="2"/>
        <v>358440</v>
      </c>
      <c r="H18" s="48">
        <f t="shared" si="3"/>
        <v>35000</v>
      </c>
      <c r="I18" s="48">
        <f t="shared" si="4"/>
        <v>30000</v>
      </c>
      <c r="J18" s="48">
        <f t="shared" si="5"/>
        <v>10000</v>
      </c>
      <c r="K18" s="52">
        <f>C18*IF('Base Scenario'!F18="Winter",SP_icecream_winter,SP_icecream)+D18*SP_choc_syrup+E18*SP_straw_syrup</f>
        <v>593280</v>
      </c>
      <c r="L18" s="48">
        <f t="shared" si="6"/>
        <v>433440</v>
      </c>
      <c r="M18" s="48">
        <f t="shared" si="7"/>
        <v>39960</v>
      </c>
      <c r="N18" s="49">
        <f t="shared" si="8"/>
        <v>119880</v>
      </c>
    </row>
    <row r="19" spans="1:14" x14ac:dyDescent="0.25">
      <c r="A19" s="46">
        <f t="shared" si="12"/>
        <v>2</v>
      </c>
      <c r="B19" s="46">
        <v>17</v>
      </c>
      <c r="C19" s="46">
        <f>MIN(ROUND('Corrected data'!C18*IF(MOD(B19,12)=3,Parameters!$D$19,1),0),2000)</f>
        <v>1240</v>
      </c>
      <c r="D19" s="46">
        <f t="shared" si="9"/>
        <v>2480</v>
      </c>
      <c r="E19" s="46">
        <f t="shared" si="10"/>
        <v>1240</v>
      </c>
      <c r="F19" s="47" t="str">
        <f t="shared" si="11"/>
        <v>Summer</v>
      </c>
      <c r="G19" s="48">
        <f t="shared" si="2"/>
        <v>359600</v>
      </c>
      <c r="H19" s="48">
        <f t="shared" si="3"/>
        <v>35000</v>
      </c>
      <c r="I19" s="48">
        <f t="shared" si="4"/>
        <v>30000</v>
      </c>
      <c r="J19" s="48">
        <f t="shared" si="5"/>
        <v>10000</v>
      </c>
      <c r="K19" s="52">
        <f>C19*IF('Base Scenario'!F19="Winter",SP_icecream_winter,SP_icecream)+D19*SP_choc_syrup+E19*SP_straw_syrup</f>
        <v>595200</v>
      </c>
      <c r="L19" s="48">
        <f t="shared" si="6"/>
        <v>434600</v>
      </c>
      <c r="M19" s="48">
        <f t="shared" si="7"/>
        <v>40150</v>
      </c>
      <c r="N19" s="49">
        <f t="shared" si="8"/>
        <v>120450</v>
      </c>
    </row>
    <row r="20" spans="1:14" x14ac:dyDescent="0.25">
      <c r="A20" s="46">
        <f t="shared" si="12"/>
        <v>2</v>
      </c>
      <c r="B20" s="46">
        <v>18</v>
      </c>
      <c r="C20" s="46">
        <f>MIN(ROUND('Corrected data'!C19*IF(MOD(B20,12)=3,Parameters!$D$19,1),0),2000)</f>
        <v>1244</v>
      </c>
      <c r="D20" s="46">
        <f t="shared" si="9"/>
        <v>2488</v>
      </c>
      <c r="E20" s="46">
        <f t="shared" si="10"/>
        <v>1244</v>
      </c>
      <c r="F20" s="47" t="str">
        <f t="shared" si="11"/>
        <v>Summer</v>
      </c>
      <c r="G20" s="48">
        <f t="shared" si="2"/>
        <v>360760</v>
      </c>
      <c r="H20" s="48">
        <f t="shared" si="3"/>
        <v>35000</v>
      </c>
      <c r="I20" s="48">
        <f t="shared" si="4"/>
        <v>30000</v>
      </c>
      <c r="J20" s="48">
        <f t="shared" si="5"/>
        <v>10000</v>
      </c>
      <c r="K20" s="52">
        <f>C20*IF('Base Scenario'!F20="Winter",SP_icecream_winter,SP_icecream)+D20*SP_choc_syrup+E20*SP_straw_syrup</f>
        <v>597120</v>
      </c>
      <c r="L20" s="48">
        <f t="shared" si="6"/>
        <v>435760</v>
      </c>
      <c r="M20" s="48">
        <f t="shared" si="7"/>
        <v>40340</v>
      </c>
      <c r="N20" s="49">
        <f t="shared" si="8"/>
        <v>121020</v>
      </c>
    </row>
    <row r="21" spans="1:14" x14ac:dyDescent="0.25">
      <c r="A21" s="46">
        <f t="shared" si="12"/>
        <v>2</v>
      </c>
      <c r="B21" s="46">
        <v>19</v>
      </c>
      <c r="C21" s="46">
        <f>MIN(ROUND('Corrected data'!C20*IF(MOD(B21,12)=3,Parameters!$D$19,1),0),2000)</f>
        <v>1248</v>
      </c>
      <c r="D21" s="46">
        <f t="shared" si="9"/>
        <v>2496</v>
      </c>
      <c r="E21" s="46">
        <f t="shared" si="10"/>
        <v>1248</v>
      </c>
      <c r="F21" s="47" t="str">
        <f t="shared" si="11"/>
        <v>Summer</v>
      </c>
      <c r="G21" s="48">
        <f t="shared" si="2"/>
        <v>361920</v>
      </c>
      <c r="H21" s="48">
        <f t="shared" si="3"/>
        <v>35000</v>
      </c>
      <c r="I21" s="48">
        <f t="shared" si="4"/>
        <v>30000</v>
      </c>
      <c r="J21" s="48">
        <f t="shared" si="5"/>
        <v>10000</v>
      </c>
      <c r="K21" s="52">
        <f>C21*IF('Base Scenario'!F21="Winter",SP_icecream_winter,SP_icecream)+D21*SP_choc_syrup+E21*SP_straw_syrup</f>
        <v>599040</v>
      </c>
      <c r="L21" s="48">
        <f t="shared" si="6"/>
        <v>436920</v>
      </c>
      <c r="M21" s="48">
        <f t="shared" si="7"/>
        <v>40530</v>
      </c>
      <c r="N21" s="49">
        <f t="shared" si="8"/>
        <v>121590</v>
      </c>
    </row>
    <row r="22" spans="1:14" x14ac:dyDescent="0.25">
      <c r="A22" s="46">
        <f t="shared" si="12"/>
        <v>2</v>
      </c>
      <c r="B22" s="46">
        <v>20</v>
      </c>
      <c r="C22" s="46">
        <f>MIN(ROUND('Corrected data'!C21*IF(MOD(B22,12)=3,Parameters!$D$19,1),0),2000)</f>
        <v>1279</v>
      </c>
      <c r="D22" s="46">
        <f t="shared" si="9"/>
        <v>2558</v>
      </c>
      <c r="E22" s="46">
        <f t="shared" si="10"/>
        <v>1279</v>
      </c>
      <c r="F22" s="47" t="str">
        <f t="shared" si="11"/>
        <v>Summer</v>
      </c>
      <c r="G22" s="48">
        <f t="shared" si="2"/>
        <v>370910</v>
      </c>
      <c r="H22" s="48">
        <f t="shared" si="3"/>
        <v>35000</v>
      </c>
      <c r="I22" s="48">
        <f t="shared" si="4"/>
        <v>30000</v>
      </c>
      <c r="J22" s="48">
        <f t="shared" si="5"/>
        <v>10000</v>
      </c>
      <c r="K22" s="52">
        <f>C22*IF('Base Scenario'!F22="Winter",SP_icecream_winter,SP_icecream)+D22*SP_choc_syrup+E22*SP_straw_syrup</f>
        <v>613920</v>
      </c>
      <c r="L22" s="48">
        <f t="shared" si="6"/>
        <v>445910</v>
      </c>
      <c r="M22" s="48">
        <f t="shared" si="7"/>
        <v>42002.5</v>
      </c>
      <c r="N22" s="49">
        <f t="shared" si="8"/>
        <v>126007.5</v>
      </c>
    </row>
    <row r="23" spans="1:14" x14ac:dyDescent="0.25">
      <c r="A23" s="46">
        <f t="shared" si="12"/>
        <v>2</v>
      </c>
      <c r="B23" s="46">
        <v>21</v>
      </c>
      <c r="C23" s="46">
        <f>MIN(ROUND('Corrected data'!C22*IF(MOD(B23,12)=3,Parameters!$D$19,1),0),2000)</f>
        <v>1256</v>
      </c>
      <c r="D23" s="46">
        <f t="shared" si="9"/>
        <v>2512</v>
      </c>
      <c r="E23" s="46">
        <f t="shared" si="10"/>
        <v>1256</v>
      </c>
      <c r="F23" s="47" t="str">
        <f t="shared" si="11"/>
        <v>Summer</v>
      </c>
      <c r="G23" s="48">
        <f t="shared" si="2"/>
        <v>364240</v>
      </c>
      <c r="H23" s="48">
        <f t="shared" si="3"/>
        <v>35000</v>
      </c>
      <c r="I23" s="48">
        <f t="shared" si="4"/>
        <v>30000</v>
      </c>
      <c r="J23" s="48">
        <f t="shared" si="5"/>
        <v>10000</v>
      </c>
      <c r="K23" s="52">
        <f>C23*IF('Base Scenario'!F23="Winter",SP_icecream_winter,SP_icecream)+D23*SP_choc_syrup+E23*SP_straw_syrup</f>
        <v>602880</v>
      </c>
      <c r="L23" s="48">
        <f t="shared" si="6"/>
        <v>439240</v>
      </c>
      <c r="M23" s="48">
        <f t="shared" si="7"/>
        <v>40910</v>
      </c>
      <c r="N23" s="49">
        <f t="shared" si="8"/>
        <v>122730</v>
      </c>
    </row>
    <row r="24" spans="1:14" x14ac:dyDescent="0.25">
      <c r="A24" s="46">
        <f t="shared" si="12"/>
        <v>2</v>
      </c>
      <c r="B24" s="46">
        <v>22</v>
      </c>
      <c r="C24" s="46">
        <f>MIN(ROUND('Corrected data'!C23*IF(MOD(B24,12)=3,Parameters!$D$19,1),0),2000)</f>
        <v>1260</v>
      </c>
      <c r="D24" s="46">
        <f t="shared" si="9"/>
        <v>2520</v>
      </c>
      <c r="E24" s="46">
        <f t="shared" si="10"/>
        <v>1260</v>
      </c>
      <c r="F24" s="47" t="str">
        <f t="shared" si="11"/>
        <v>Summer</v>
      </c>
      <c r="G24" s="48">
        <f t="shared" si="2"/>
        <v>365400</v>
      </c>
      <c r="H24" s="48">
        <f t="shared" si="3"/>
        <v>35000</v>
      </c>
      <c r="I24" s="48">
        <f t="shared" si="4"/>
        <v>30000</v>
      </c>
      <c r="J24" s="48">
        <f t="shared" si="5"/>
        <v>10000</v>
      </c>
      <c r="K24" s="52">
        <f>C24*IF('Base Scenario'!F24="Winter",SP_icecream_winter,SP_icecream)+D24*SP_choc_syrup+E24*SP_straw_syrup</f>
        <v>604800</v>
      </c>
      <c r="L24" s="48">
        <f t="shared" si="6"/>
        <v>440400</v>
      </c>
      <c r="M24" s="48">
        <f t="shared" si="7"/>
        <v>41100</v>
      </c>
      <c r="N24" s="49">
        <f t="shared" si="8"/>
        <v>123300</v>
      </c>
    </row>
    <row r="25" spans="1:14" x14ac:dyDescent="0.25">
      <c r="A25" s="46">
        <f t="shared" si="12"/>
        <v>2</v>
      </c>
      <c r="B25" s="46">
        <v>23</v>
      </c>
      <c r="C25" s="46">
        <f>MIN(ROUND('Corrected data'!C24*IF(MOD(B25,12)=3,Parameters!$D$19,1),0),2000)</f>
        <v>1264</v>
      </c>
      <c r="D25" s="46">
        <f t="shared" si="9"/>
        <v>2528</v>
      </c>
      <c r="E25" s="46">
        <f t="shared" si="10"/>
        <v>1264</v>
      </c>
      <c r="F25" s="47" t="str">
        <f t="shared" si="11"/>
        <v>Summer</v>
      </c>
      <c r="G25" s="48">
        <f t="shared" si="2"/>
        <v>366560</v>
      </c>
      <c r="H25" s="48">
        <f t="shared" si="3"/>
        <v>35000</v>
      </c>
      <c r="I25" s="48">
        <f t="shared" si="4"/>
        <v>30000</v>
      </c>
      <c r="J25" s="48">
        <f t="shared" si="5"/>
        <v>10000</v>
      </c>
      <c r="K25" s="52">
        <f>C25*IF('Base Scenario'!F25="Winter",SP_icecream_winter,SP_icecream)+D25*SP_choc_syrup+E25*SP_straw_syrup</f>
        <v>606720</v>
      </c>
      <c r="L25" s="48">
        <f t="shared" si="6"/>
        <v>441560</v>
      </c>
      <c r="M25" s="48">
        <f t="shared" si="7"/>
        <v>41290</v>
      </c>
      <c r="N25" s="49">
        <f t="shared" si="8"/>
        <v>123870</v>
      </c>
    </row>
    <row r="26" spans="1:14" x14ac:dyDescent="0.25">
      <c r="A26" s="46">
        <f t="shared" si="12"/>
        <v>2</v>
      </c>
      <c r="B26" s="46">
        <v>24</v>
      </c>
      <c r="C26" s="46">
        <f>MIN(ROUND('Corrected data'!C25*IF(MOD(B26,12)=3,Parameters!$D$19,1),0),2000)</f>
        <v>1268</v>
      </c>
      <c r="D26" s="46">
        <f t="shared" si="9"/>
        <v>2536</v>
      </c>
      <c r="E26" s="46">
        <f t="shared" si="10"/>
        <v>1268</v>
      </c>
      <c r="F26" s="47" t="str">
        <f t="shared" si="11"/>
        <v>Summer</v>
      </c>
      <c r="G26" s="48">
        <f t="shared" si="2"/>
        <v>367720</v>
      </c>
      <c r="H26" s="48">
        <f t="shared" si="3"/>
        <v>35000</v>
      </c>
      <c r="I26" s="48">
        <f t="shared" si="4"/>
        <v>30000</v>
      </c>
      <c r="J26" s="48">
        <f t="shared" si="5"/>
        <v>10000</v>
      </c>
      <c r="K26" s="52">
        <f>C26*IF('Base Scenario'!F26="Winter",SP_icecream_winter,SP_icecream)+D26*SP_choc_syrup+E26*SP_straw_syrup</f>
        <v>608640</v>
      </c>
      <c r="L26" s="48">
        <f t="shared" si="6"/>
        <v>442720</v>
      </c>
      <c r="M26" s="48">
        <f t="shared" si="7"/>
        <v>41480</v>
      </c>
      <c r="N26" s="49">
        <f t="shared" si="8"/>
        <v>124440</v>
      </c>
    </row>
    <row r="27" spans="1:14" x14ac:dyDescent="0.25">
      <c r="A27" s="46">
        <f t="shared" si="12"/>
        <v>3</v>
      </c>
      <c r="B27" s="46">
        <v>25</v>
      </c>
      <c r="C27" s="46">
        <f>MIN(ROUND('Corrected data'!C26*IF(MOD(B27,12)=3,Parameters!$D$19,1),0),2000)</f>
        <v>1024</v>
      </c>
      <c r="D27" s="46">
        <f t="shared" si="9"/>
        <v>2048</v>
      </c>
      <c r="E27" s="46">
        <f t="shared" si="10"/>
        <v>1024</v>
      </c>
      <c r="F27" s="47" t="str">
        <f t="shared" si="11"/>
        <v>Winter</v>
      </c>
      <c r="G27" s="48">
        <f t="shared" si="2"/>
        <v>296960</v>
      </c>
      <c r="H27" s="48">
        <f t="shared" si="3"/>
        <v>35000</v>
      </c>
      <c r="I27" s="48">
        <f t="shared" si="4"/>
        <v>30000</v>
      </c>
      <c r="J27" s="48">
        <f t="shared" si="5"/>
        <v>7000</v>
      </c>
      <c r="K27" s="52">
        <f>C27*IF('Base Scenario'!F27="Winter",SP_icecream_winter,SP_icecream)+D27*SP_choc_syrup+E27*SP_straw_syrup</f>
        <v>471040</v>
      </c>
      <c r="L27" s="48">
        <f t="shared" si="6"/>
        <v>368960</v>
      </c>
      <c r="M27" s="48">
        <f t="shared" si="7"/>
        <v>25520</v>
      </c>
      <c r="N27" s="49">
        <f t="shared" si="8"/>
        <v>76560</v>
      </c>
    </row>
    <row r="28" spans="1:14" x14ac:dyDescent="0.25">
      <c r="A28" s="46">
        <f t="shared" si="12"/>
        <v>3</v>
      </c>
      <c r="B28" s="46">
        <v>26</v>
      </c>
      <c r="C28" s="46">
        <f>MIN(ROUND('Corrected data'!C27*IF(MOD(B28,12)=3,Parameters!$D$19,1),0),2000)</f>
        <v>1028</v>
      </c>
      <c r="D28" s="46">
        <f t="shared" si="9"/>
        <v>2056</v>
      </c>
      <c r="E28" s="46">
        <f t="shared" si="10"/>
        <v>1028</v>
      </c>
      <c r="F28" s="47" t="str">
        <f t="shared" si="11"/>
        <v>Winter</v>
      </c>
      <c r="G28" s="48">
        <f t="shared" si="2"/>
        <v>298120</v>
      </c>
      <c r="H28" s="48">
        <f t="shared" si="3"/>
        <v>35000</v>
      </c>
      <c r="I28" s="48">
        <f t="shared" si="4"/>
        <v>30000</v>
      </c>
      <c r="J28" s="48">
        <f t="shared" si="5"/>
        <v>7000</v>
      </c>
      <c r="K28" s="52">
        <f>C28*IF('Base Scenario'!F28="Winter",SP_icecream_winter,SP_icecream)+D28*SP_choc_syrup+E28*SP_straw_syrup</f>
        <v>472880</v>
      </c>
      <c r="L28" s="48">
        <f t="shared" si="6"/>
        <v>370120</v>
      </c>
      <c r="M28" s="48">
        <f t="shared" si="7"/>
        <v>25690</v>
      </c>
      <c r="N28" s="49">
        <f t="shared" si="8"/>
        <v>77070</v>
      </c>
    </row>
    <row r="29" spans="1:14" x14ac:dyDescent="0.25">
      <c r="A29" s="46">
        <f t="shared" si="12"/>
        <v>3</v>
      </c>
      <c r="B29" s="46">
        <v>27</v>
      </c>
      <c r="C29" s="46">
        <f>MIN(ROUND('Corrected data'!C28*IF(MOD(B29,12)=3,Parameters!$D$19,1),0),2000)</f>
        <v>1260</v>
      </c>
      <c r="D29" s="46">
        <f t="shared" si="9"/>
        <v>2520</v>
      </c>
      <c r="E29" s="46">
        <f t="shared" si="10"/>
        <v>1260</v>
      </c>
      <c r="F29" s="47" t="str">
        <f t="shared" si="11"/>
        <v>Summer</v>
      </c>
      <c r="G29" s="48">
        <f t="shared" si="2"/>
        <v>365400</v>
      </c>
      <c r="H29" s="48">
        <f t="shared" si="3"/>
        <v>35000</v>
      </c>
      <c r="I29" s="48">
        <f t="shared" si="4"/>
        <v>30000</v>
      </c>
      <c r="J29" s="48">
        <f t="shared" si="5"/>
        <v>10000</v>
      </c>
      <c r="K29" s="52">
        <f>C29*IF('Base Scenario'!F29="Winter",SP_icecream_winter,SP_icecream)+D29*SP_choc_syrup+E29*SP_straw_syrup</f>
        <v>579600</v>
      </c>
      <c r="L29" s="48">
        <f t="shared" si="6"/>
        <v>440400</v>
      </c>
      <c r="M29" s="48">
        <f t="shared" si="7"/>
        <v>34800</v>
      </c>
      <c r="N29" s="49">
        <f t="shared" si="8"/>
        <v>104400</v>
      </c>
    </row>
    <row r="30" spans="1:14" x14ac:dyDescent="0.25">
      <c r="A30" s="46">
        <f t="shared" si="12"/>
        <v>3</v>
      </c>
      <c r="B30" s="46">
        <v>28</v>
      </c>
      <c r="C30" s="46">
        <f>MIN(ROUND('Corrected data'!C29*IF(MOD(B30,12)=3,Parameters!$D$19,1),0),2000)</f>
        <v>1280</v>
      </c>
      <c r="D30" s="46">
        <f t="shared" si="9"/>
        <v>2560</v>
      </c>
      <c r="E30" s="46">
        <f t="shared" si="10"/>
        <v>1280</v>
      </c>
      <c r="F30" s="47" t="str">
        <f t="shared" si="11"/>
        <v>Summer</v>
      </c>
      <c r="G30" s="48">
        <f t="shared" si="2"/>
        <v>371200</v>
      </c>
      <c r="H30" s="48">
        <f t="shared" si="3"/>
        <v>35000</v>
      </c>
      <c r="I30" s="48">
        <f t="shared" si="4"/>
        <v>30000</v>
      </c>
      <c r="J30" s="48">
        <f t="shared" si="5"/>
        <v>10000</v>
      </c>
      <c r="K30" s="52">
        <f>C30*IF('Base Scenario'!F30="Winter",SP_icecream_winter,SP_icecream)+D30*SP_choc_syrup+E30*SP_straw_syrup</f>
        <v>614400</v>
      </c>
      <c r="L30" s="48">
        <f t="shared" si="6"/>
        <v>446200</v>
      </c>
      <c r="M30" s="48">
        <f t="shared" si="7"/>
        <v>42050</v>
      </c>
      <c r="N30" s="49">
        <f t="shared" si="8"/>
        <v>126150</v>
      </c>
    </row>
    <row r="31" spans="1:14" x14ac:dyDescent="0.25">
      <c r="A31" s="46">
        <f t="shared" si="12"/>
        <v>3</v>
      </c>
      <c r="B31" s="46">
        <v>29</v>
      </c>
      <c r="C31" s="46">
        <f>MIN(ROUND('Corrected data'!C30*IF(MOD(B31,12)=3,Parameters!$D$19,1),0),2000)</f>
        <v>1284</v>
      </c>
      <c r="D31" s="46">
        <f t="shared" si="9"/>
        <v>2568</v>
      </c>
      <c r="E31" s="46">
        <f t="shared" si="10"/>
        <v>1284</v>
      </c>
      <c r="F31" s="47" t="str">
        <f t="shared" si="11"/>
        <v>Summer</v>
      </c>
      <c r="G31" s="48">
        <f t="shared" si="2"/>
        <v>372360</v>
      </c>
      <c r="H31" s="48">
        <f t="shared" si="3"/>
        <v>35000</v>
      </c>
      <c r="I31" s="48">
        <f t="shared" si="4"/>
        <v>30000</v>
      </c>
      <c r="J31" s="48">
        <f t="shared" si="5"/>
        <v>10000</v>
      </c>
      <c r="K31" s="52">
        <f>C31*IF('Base Scenario'!F31="Winter",SP_icecream_winter,SP_icecream)+D31*SP_choc_syrup+E31*SP_straw_syrup</f>
        <v>616320</v>
      </c>
      <c r="L31" s="48">
        <f t="shared" si="6"/>
        <v>447360</v>
      </c>
      <c r="M31" s="48">
        <f t="shared" si="7"/>
        <v>42240</v>
      </c>
      <c r="N31" s="49">
        <f t="shared" si="8"/>
        <v>126720</v>
      </c>
    </row>
    <row r="32" spans="1:14" x14ac:dyDescent="0.25">
      <c r="A32" s="46">
        <f t="shared" si="12"/>
        <v>3</v>
      </c>
      <c r="B32" s="46">
        <v>30</v>
      </c>
      <c r="C32" s="46">
        <f>MIN(ROUND('Corrected data'!C31*IF(MOD(B32,12)=3,Parameters!$D$19,1),0),2000)</f>
        <v>1288</v>
      </c>
      <c r="D32" s="46">
        <f t="shared" si="9"/>
        <v>2576</v>
      </c>
      <c r="E32" s="46">
        <f t="shared" si="10"/>
        <v>1288</v>
      </c>
      <c r="F32" s="47" t="str">
        <f t="shared" si="11"/>
        <v>Summer</v>
      </c>
      <c r="G32" s="48">
        <f t="shared" si="2"/>
        <v>373520</v>
      </c>
      <c r="H32" s="48">
        <f t="shared" si="3"/>
        <v>35000</v>
      </c>
      <c r="I32" s="48">
        <f t="shared" si="4"/>
        <v>30000</v>
      </c>
      <c r="J32" s="48">
        <f t="shared" si="5"/>
        <v>10000</v>
      </c>
      <c r="K32" s="52">
        <f>C32*IF('Base Scenario'!F32="Winter",SP_icecream_winter,SP_icecream)+D32*SP_choc_syrup+E32*SP_straw_syrup</f>
        <v>618240</v>
      </c>
      <c r="L32" s="48">
        <f t="shared" si="6"/>
        <v>448520</v>
      </c>
      <c r="M32" s="48">
        <f t="shared" si="7"/>
        <v>42430</v>
      </c>
      <c r="N32" s="49">
        <f t="shared" si="8"/>
        <v>127290</v>
      </c>
    </row>
    <row r="33" spans="1:14" x14ac:dyDescent="0.25">
      <c r="A33" s="46">
        <f t="shared" si="12"/>
        <v>3</v>
      </c>
      <c r="B33" s="46">
        <v>31</v>
      </c>
      <c r="C33" s="46">
        <f>MIN(ROUND('Corrected data'!C32*IF(MOD(B33,12)=3,Parameters!$D$19,1),0),2000)</f>
        <v>1293</v>
      </c>
      <c r="D33" s="46">
        <f t="shared" si="9"/>
        <v>2586</v>
      </c>
      <c r="E33" s="46">
        <f t="shared" si="10"/>
        <v>1293</v>
      </c>
      <c r="F33" s="47" t="str">
        <f t="shared" si="11"/>
        <v>Summer</v>
      </c>
      <c r="G33" s="48">
        <f t="shared" si="2"/>
        <v>374970</v>
      </c>
      <c r="H33" s="48">
        <f t="shared" si="3"/>
        <v>35000</v>
      </c>
      <c r="I33" s="48">
        <f t="shared" si="4"/>
        <v>30000</v>
      </c>
      <c r="J33" s="48">
        <f t="shared" si="5"/>
        <v>10000</v>
      </c>
      <c r="K33" s="52">
        <f>C33*IF('Base Scenario'!F33="Winter",SP_icecream_winter,SP_icecream)+D33*SP_choc_syrup+E33*SP_straw_syrup</f>
        <v>620640</v>
      </c>
      <c r="L33" s="48">
        <f t="shared" si="6"/>
        <v>449970</v>
      </c>
      <c r="M33" s="48">
        <f t="shared" si="7"/>
        <v>42667.5</v>
      </c>
      <c r="N33" s="49">
        <f t="shared" si="8"/>
        <v>128002.5</v>
      </c>
    </row>
    <row r="34" spans="1:14" x14ac:dyDescent="0.25">
      <c r="A34" s="46">
        <f t="shared" si="12"/>
        <v>3</v>
      </c>
      <c r="B34" s="46">
        <v>32</v>
      </c>
      <c r="C34" s="46">
        <f>MIN(ROUND('Corrected data'!C33*IF(MOD(B34,12)=3,Parameters!$D$19,1),0),2000)</f>
        <v>1350</v>
      </c>
      <c r="D34" s="46">
        <f t="shared" si="9"/>
        <v>2700</v>
      </c>
      <c r="E34" s="46">
        <f t="shared" si="10"/>
        <v>1350</v>
      </c>
      <c r="F34" s="47" t="str">
        <f t="shared" si="11"/>
        <v>Summer</v>
      </c>
      <c r="G34" s="48">
        <f t="shared" si="2"/>
        <v>391500</v>
      </c>
      <c r="H34" s="48">
        <f t="shared" si="3"/>
        <v>35000</v>
      </c>
      <c r="I34" s="48">
        <f t="shared" si="4"/>
        <v>30000</v>
      </c>
      <c r="J34" s="48">
        <f t="shared" si="5"/>
        <v>10000</v>
      </c>
      <c r="K34" s="52">
        <f>C34*IF('Base Scenario'!F34="Winter",SP_icecream_winter,SP_icecream)+D34*SP_choc_syrup+E34*SP_straw_syrup</f>
        <v>648000</v>
      </c>
      <c r="L34" s="48">
        <f t="shared" si="6"/>
        <v>466500</v>
      </c>
      <c r="M34" s="48">
        <f t="shared" si="7"/>
        <v>45375</v>
      </c>
      <c r="N34" s="49">
        <f t="shared" si="8"/>
        <v>136125</v>
      </c>
    </row>
    <row r="35" spans="1:14" x14ac:dyDescent="0.25">
      <c r="A35" s="46">
        <f t="shared" si="12"/>
        <v>3</v>
      </c>
      <c r="B35" s="46">
        <v>33</v>
      </c>
      <c r="C35" s="46">
        <f>MIN(ROUND('Corrected data'!C34*IF(MOD(B35,12)=3,Parameters!$D$19,1),0),2000)</f>
        <v>1303</v>
      </c>
      <c r="D35" s="46">
        <f t="shared" si="9"/>
        <v>2606</v>
      </c>
      <c r="E35" s="46">
        <f t="shared" si="10"/>
        <v>1303</v>
      </c>
      <c r="F35" s="47" t="str">
        <f t="shared" si="11"/>
        <v>Summer</v>
      </c>
      <c r="G35" s="48">
        <f t="shared" ref="G35:G66" si="13">C35*Cost_Icecream+D35*cost_choc_syrup+E35*cost_straw_syrup</f>
        <v>377870</v>
      </c>
      <c r="H35" s="48">
        <f t="shared" si="3"/>
        <v>35000</v>
      </c>
      <c r="I35" s="48">
        <f t="shared" si="4"/>
        <v>30000</v>
      </c>
      <c r="J35" s="48">
        <f t="shared" si="5"/>
        <v>10000</v>
      </c>
      <c r="K35" s="52">
        <f>C35*IF('Base Scenario'!F35="Winter",SP_icecream_winter,SP_icecream)+D35*SP_choc_syrup+E35*SP_straw_syrup</f>
        <v>625440</v>
      </c>
      <c r="L35" s="48">
        <f t="shared" ref="L35:L66" si="14">SUM(G35:J35)</f>
        <v>452870</v>
      </c>
      <c r="M35" s="48">
        <f t="shared" si="7"/>
        <v>43142.5</v>
      </c>
      <c r="N35" s="49">
        <f t="shared" ref="N35:N66" si="15">K35-L35-M35</f>
        <v>129427.5</v>
      </c>
    </row>
    <row r="36" spans="1:14" x14ac:dyDescent="0.25">
      <c r="A36" s="46">
        <f t="shared" si="12"/>
        <v>3</v>
      </c>
      <c r="B36" s="46">
        <v>34</v>
      </c>
      <c r="C36" s="46">
        <f>MIN(ROUND('Corrected data'!C35*IF(MOD(B36,12)=3,Parameters!$D$19,1),0),2000)</f>
        <v>1308</v>
      </c>
      <c r="D36" s="46">
        <f t="shared" si="9"/>
        <v>2616</v>
      </c>
      <c r="E36" s="46">
        <f t="shared" si="10"/>
        <v>1308</v>
      </c>
      <c r="F36" s="47" t="str">
        <f t="shared" si="11"/>
        <v>Summer</v>
      </c>
      <c r="G36" s="48">
        <f t="shared" si="13"/>
        <v>379320</v>
      </c>
      <c r="H36" s="48">
        <f t="shared" si="3"/>
        <v>35000</v>
      </c>
      <c r="I36" s="48">
        <f t="shared" si="4"/>
        <v>30000</v>
      </c>
      <c r="J36" s="48">
        <f t="shared" si="5"/>
        <v>10000</v>
      </c>
      <c r="K36" s="52">
        <f>C36*IF('Base Scenario'!F36="Winter",SP_icecream_winter,SP_icecream)+D36*SP_choc_syrup+E36*SP_straw_syrup</f>
        <v>627840</v>
      </c>
      <c r="L36" s="48">
        <f t="shared" si="14"/>
        <v>454320</v>
      </c>
      <c r="M36" s="48">
        <f t="shared" si="7"/>
        <v>43380</v>
      </c>
      <c r="N36" s="49">
        <f t="shared" si="15"/>
        <v>130140</v>
      </c>
    </row>
    <row r="37" spans="1:14" x14ac:dyDescent="0.25">
      <c r="A37" s="46">
        <f t="shared" si="12"/>
        <v>3</v>
      </c>
      <c r="B37" s="46">
        <v>35</v>
      </c>
      <c r="C37" s="46">
        <f>MIN(ROUND('Corrected data'!C36*IF(MOD(B37,12)=3,Parameters!$D$19,1),0),2000)</f>
        <v>1313</v>
      </c>
      <c r="D37" s="46">
        <f t="shared" si="9"/>
        <v>2626</v>
      </c>
      <c r="E37" s="46">
        <f t="shared" si="10"/>
        <v>1313</v>
      </c>
      <c r="F37" s="47" t="str">
        <f t="shared" si="11"/>
        <v>Summer</v>
      </c>
      <c r="G37" s="48">
        <f t="shared" si="13"/>
        <v>380770</v>
      </c>
      <c r="H37" s="48">
        <f t="shared" si="3"/>
        <v>35000</v>
      </c>
      <c r="I37" s="48">
        <f t="shared" si="4"/>
        <v>30000</v>
      </c>
      <c r="J37" s="48">
        <f t="shared" si="5"/>
        <v>10000</v>
      </c>
      <c r="K37" s="52">
        <f>C37*IF('Base Scenario'!F37="Winter",SP_icecream_winter,SP_icecream)+D37*SP_choc_syrup+E37*SP_straw_syrup</f>
        <v>630240</v>
      </c>
      <c r="L37" s="48">
        <f t="shared" si="14"/>
        <v>455770</v>
      </c>
      <c r="M37" s="48">
        <f t="shared" si="7"/>
        <v>43617.5</v>
      </c>
      <c r="N37" s="49">
        <f t="shared" si="15"/>
        <v>130852.5</v>
      </c>
    </row>
    <row r="38" spans="1:14" x14ac:dyDescent="0.25">
      <c r="A38" s="46">
        <f t="shared" si="12"/>
        <v>3</v>
      </c>
      <c r="B38" s="46">
        <v>36</v>
      </c>
      <c r="C38" s="46">
        <f>MIN(ROUND('Corrected data'!C37*IF(MOD(B38,12)=3,Parameters!$D$19,1),0),2000)</f>
        <v>1318</v>
      </c>
      <c r="D38" s="46">
        <f t="shared" si="9"/>
        <v>2636</v>
      </c>
      <c r="E38" s="46">
        <f t="shared" si="10"/>
        <v>1318</v>
      </c>
      <c r="F38" s="47" t="str">
        <f t="shared" si="11"/>
        <v>Summer</v>
      </c>
      <c r="G38" s="48">
        <f t="shared" si="13"/>
        <v>382220</v>
      </c>
      <c r="H38" s="48">
        <f t="shared" si="3"/>
        <v>35000</v>
      </c>
      <c r="I38" s="48">
        <f t="shared" si="4"/>
        <v>30000</v>
      </c>
      <c r="J38" s="48">
        <f t="shared" si="5"/>
        <v>10000</v>
      </c>
      <c r="K38" s="52">
        <f>C38*IF('Base Scenario'!F38="Winter",SP_icecream_winter,SP_icecream)+D38*SP_choc_syrup+E38*SP_straw_syrup</f>
        <v>632640</v>
      </c>
      <c r="L38" s="48">
        <f t="shared" si="14"/>
        <v>457220</v>
      </c>
      <c r="M38" s="48">
        <f t="shared" si="7"/>
        <v>43855</v>
      </c>
      <c r="N38" s="49">
        <f t="shared" si="15"/>
        <v>131565</v>
      </c>
    </row>
    <row r="39" spans="1:14" x14ac:dyDescent="0.25">
      <c r="A39" s="46">
        <f t="shared" si="12"/>
        <v>4</v>
      </c>
      <c r="B39" s="46">
        <v>37</v>
      </c>
      <c r="C39" s="46">
        <f>MIN(ROUND('Corrected data'!C38*IF(MOD(B39,12)=3,Parameters!$D$19,1),0),2000)</f>
        <v>1067</v>
      </c>
      <c r="D39" s="46">
        <f t="shared" si="9"/>
        <v>2134</v>
      </c>
      <c r="E39" s="46">
        <f t="shared" si="10"/>
        <v>1067</v>
      </c>
      <c r="F39" s="47" t="str">
        <f t="shared" si="11"/>
        <v>Winter</v>
      </c>
      <c r="G39" s="48">
        <f t="shared" si="13"/>
        <v>309430</v>
      </c>
      <c r="H39" s="48">
        <f t="shared" si="3"/>
        <v>35000</v>
      </c>
      <c r="I39" s="48">
        <f t="shared" si="4"/>
        <v>30000</v>
      </c>
      <c r="J39" s="48">
        <f t="shared" si="5"/>
        <v>7000</v>
      </c>
      <c r="K39" s="52">
        <f>C39*IF('Base Scenario'!F39="Winter",SP_icecream_winter,SP_icecream)+D39*SP_choc_syrup+E39*SP_straw_syrup</f>
        <v>490820</v>
      </c>
      <c r="L39" s="48">
        <f t="shared" si="14"/>
        <v>381430</v>
      </c>
      <c r="M39" s="48">
        <f t="shared" si="7"/>
        <v>27347.5</v>
      </c>
      <c r="N39" s="49">
        <f t="shared" si="15"/>
        <v>82042.5</v>
      </c>
    </row>
    <row r="40" spans="1:14" x14ac:dyDescent="0.25">
      <c r="A40" s="46">
        <f t="shared" si="12"/>
        <v>4</v>
      </c>
      <c r="B40" s="46">
        <v>38</v>
      </c>
      <c r="C40" s="46">
        <f>MIN(ROUND('Corrected data'!C39*IF(MOD(B40,12)=3,Parameters!$D$19,1),0),2000)</f>
        <v>1071</v>
      </c>
      <c r="D40" s="46">
        <f t="shared" si="9"/>
        <v>2142</v>
      </c>
      <c r="E40" s="46">
        <f t="shared" si="10"/>
        <v>1071</v>
      </c>
      <c r="F40" s="47" t="str">
        <f t="shared" si="11"/>
        <v>Winter</v>
      </c>
      <c r="G40" s="48">
        <f t="shared" si="13"/>
        <v>310590</v>
      </c>
      <c r="H40" s="48">
        <f t="shared" si="3"/>
        <v>35000</v>
      </c>
      <c r="I40" s="48">
        <f t="shared" si="4"/>
        <v>30000</v>
      </c>
      <c r="J40" s="48">
        <f t="shared" si="5"/>
        <v>7000</v>
      </c>
      <c r="K40" s="52">
        <f>C40*IF('Base Scenario'!F40="Winter",SP_icecream_winter,SP_icecream)+D40*SP_choc_syrup+E40*SP_straw_syrup</f>
        <v>492660</v>
      </c>
      <c r="L40" s="48">
        <f t="shared" si="14"/>
        <v>382590</v>
      </c>
      <c r="M40" s="48">
        <f t="shared" si="7"/>
        <v>27517.5</v>
      </c>
      <c r="N40" s="49">
        <f t="shared" si="15"/>
        <v>82552.5</v>
      </c>
    </row>
    <row r="41" spans="1:14" x14ac:dyDescent="0.25">
      <c r="A41" s="46">
        <f t="shared" si="12"/>
        <v>4</v>
      </c>
      <c r="B41" s="46">
        <v>39</v>
      </c>
      <c r="C41" s="46">
        <f>MIN(ROUND('Corrected data'!C40*IF(MOD(B41,12)=3,Parameters!$D$19,1),0),2000)</f>
        <v>1290</v>
      </c>
      <c r="D41" s="46">
        <f t="shared" si="9"/>
        <v>2580</v>
      </c>
      <c r="E41" s="46">
        <f t="shared" si="10"/>
        <v>1290</v>
      </c>
      <c r="F41" s="47" t="str">
        <f t="shared" si="11"/>
        <v>Summer</v>
      </c>
      <c r="G41" s="48">
        <f t="shared" si="13"/>
        <v>374100</v>
      </c>
      <c r="H41" s="48">
        <f t="shared" si="3"/>
        <v>35000</v>
      </c>
      <c r="I41" s="48">
        <f t="shared" si="4"/>
        <v>30000</v>
      </c>
      <c r="J41" s="48">
        <f t="shared" si="5"/>
        <v>10000</v>
      </c>
      <c r="K41" s="52">
        <f>C41*IF('Base Scenario'!F41="Winter",SP_icecream_winter,SP_icecream)+D41*SP_choc_syrup+E41*SP_straw_syrup</f>
        <v>593400</v>
      </c>
      <c r="L41" s="48">
        <f t="shared" si="14"/>
        <v>449100</v>
      </c>
      <c r="M41" s="48">
        <f t="shared" si="7"/>
        <v>36075</v>
      </c>
      <c r="N41" s="49">
        <f t="shared" si="15"/>
        <v>108225</v>
      </c>
    </row>
    <row r="42" spans="1:14" x14ac:dyDescent="0.25">
      <c r="A42" s="46">
        <f t="shared" si="12"/>
        <v>4</v>
      </c>
      <c r="B42" s="46">
        <v>40</v>
      </c>
      <c r="C42" s="46">
        <f>MIN(ROUND('Corrected data'!C41*IF(MOD(B42,12)=3,Parameters!$D$19,1),0),2000)</f>
        <v>1334</v>
      </c>
      <c r="D42" s="46">
        <f t="shared" si="9"/>
        <v>2668</v>
      </c>
      <c r="E42" s="46">
        <f t="shared" si="10"/>
        <v>1334</v>
      </c>
      <c r="F42" s="47" t="str">
        <f t="shared" si="11"/>
        <v>Summer</v>
      </c>
      <c r="G42" s="48">
        <f t="shared" si="13"/>
        <v>386860</v>
      </c>
      <c r="H42" s="48">
        <f t="shared" si="3"/>
        <v>35000</v>
      </c>
      <c r="I42" s="48">
        <f t="shared" si="4"/>
        <v>30000</v>
      </c>
      <c r="J42" s="48">
        <f t="shared" si="5"/>
        <v>10000</v>
      </c>
      <c r="K42" s="52">
        <f>C42*IF('Base Scenario'!F42="Winter",SP_icecream_winter,SP_icecream)+D42*SP_choc_syrup+E42*SP_straw_syrup</f>
        <v>640320</v>
      </c>
      <c r="L42" s="48">
        <f t="shared" si="14"/>
        <v>461860</v>
      </c>
      <c r="M42" s="48">
        <f t="shared" si="7"/>
        <v>44615</v>
      </c>
      <c r="N42" s="49">
        <f t="shared" si="15"/>
        <v>133845</v>
      </c>
    </row>
    <row r="43" spans="1:14" x14ac:dyDescent="0.25">
      <c r="A43" s="46">
        <f t="shared" si="12"/>
        <v>4</v>
      </c>
      <c r="B43" s="46">
        <v>41</v>
      </c>
      <c r="C43" s="46">
        <f>MIN(ROUND('Corrected data'!C42*IF(MOD(B43,12)=3,Parameters!$D$19,1),0),2000)</f>
        <v>1339</v>
      </c>
      <c r="D43" s="46">
        <f t="shared" si="9"/>
        <v>2678</v>
      </c>
      <c r="E43" s="46">
        <f t="shared" si="10"/>
        <v>1339</v>
      </c>
      <c r="F43" s="47" t="str">
        <f t="shared" si="11"/>
        <v>Summer</v>
      </c>
      <c r="G43" s="48">
        <f t="shared" si="13"/>
        <v>388310</v>
      </c>
      <c r="H43" s="48">
        <f t="shared" si="3"/>
        <v>35000</v>
      </c>
      <c r="I43" s="48">
        <f t="shared" si="4"/>
        <v>30000</v>
      </c>
      <c r="J43" s="48">
        <f t="shared" si="5"/>
        <v>10000</v>
      </c>
      <c r="K43" s="52">
        <f>C43*IF('Base Scenario'!F43="Winter",SP_icecream_winter,SP_icecream)+D43*SP_choc_syrup+E43*SP_straw_syrup</f>
        <v>642720</v>
      </c>
      <c r="L43" s="48">
        <f t="shared" si="14"/>
        <v>463310</v>
      </c>
      <c r="M43" s="48">
        <f t="shared" si="7"/>
        <v>44852.5</v>
      </c>
      <c r="N43" s="49">
        <f t="shared" si="15"/>
        <v>134557.5</v>
      </c>
    </row>
    <row r="44" spans="1:14" x14ac:dyDescent="0.25">
      <c r="A44" s="46">
        <f t="shared" si="12"/>
        <v>4</v>
      </c>
      <c r="B44" s="46">
        <v>42</v>
      </c>
      <c r="C44" s="46">
        <f>MIN(ROUND('Corrected data'!C43*IF(MOD(B44,12)=3,Parameters!$D$19,1),0),2000)</f>
        <v>1344</v>
      </c>
      <c r="D44" s="46">
        <f t="shared" si="9"/>
        <v>2688</v>
      </c>
      <c r="E44" s="46">
        <f t="shared" si="10"/>
        <v>1344</v>
      </c>
      <c r="F44" s="47" t="str">
        <f t="shared" si="11"/>
        <v>Summer</v>
      </c>
      <c r="G44" s="48">
        <f t="shared" si="13"/>
        <v>389760</v>
      </c>
      <c r="H44" s="48">
        <f t="shared" si="3"/>
        <v>35000</v>
      </c>
      <c r="I44" s="48">
        <f t="shared" si="4"/>
        <v>30000</v>
      </c>
      <c r="J44" s="48">
        <f t="shared" si="5"/>
        <v>10000</v>
      </c>
      <c r="K44" s="52">
        <f>C44*IF('Base Scenario'!F44="Winter",SP_icecream_winter,SP_icecream)+D44*SP_choc_syrup+E44*SP_straw_syrup</f>
        <v>645120</v>
      </c>
      <c r="L44" s="48">
        <f t="shared" si="14"/>
        <v>464760</v>
      </c>
      <c r="M44" s="48">
        <f t="shared" si="7"/>
        <v>45090</v>
      </c>
      <c r="N44" s="49">
        <f t="shared" si="15"/>
        <v>135270</v>
      </c>
    </row>
    <row r="45" spans="1:14" x14ac:dyDescent="0.25">
      <c r="A45" s="46">
        <f t="shared" si="12"/>
        <v>4</v>
      </c>
      <c r="B45" s="46">
        <v>43</v>
      </c>
      <c r="C45" s="46">
        <f>MIN(ROUND('Corrected data'!C44*IF(MOD(B45,12)=3,Parameters!$D$19,1),0),2000)</f>
        <v>1349</v>
      </c>
      <c r="D45" s="46">
        <f t="shared" si="9"/>
        <v>2698</v>
      </c>
      <c r="E45" s="46">
        <f t="shared" si="10"/>
        <v>1349</v>
      </c>
      <c r="F45" s="47" t="str">
        <f t="shared" si="11"/>
        <v>Summer</v>
      </c>
      <c r="G45" s="48">
        <f t="shared" si="13"/>
        <v>391210</v>
      </c>
      <c r="H45" s="48">
        <f t="shared" si="3"/>
        <v>35000</v>
      </c>
      <c r="I45" s="48">
        <f t="shared" si="4"/>
        <v>30000</v>
      </c>
      <c r="J45" s="48">
        <f t="shared" si="5"/>
        <v>10000</v>
      </c>
      <c r="K45" s="52">
        <f>C45*IF('Base Scenario'!F45="Winter",SP_icecream_winter,SP_icecream)+D45*SP_choc_syrup+E45*SP_straw_syrup</f>
        <v>647520</v>
      </c>
      <c r="L45" s="48">
        <f t="shared" si="14"/>
        <v>466210</v>
      </c>
      <c r="M45" s="48">
        <f t="shared" si="7"/>
        <v>45327.5</v>
      </c>
      <c r="N45" s="49">
        <f t="shared" si="15"/>
        <v>135982.5</v>
      </c>
    </row>
    <row r="46" spans="1:14" x14ac:dyDescent="0.25">
      <c r="A46" s="46">
        <f t="shared" si="12"/>
        <v>4</v>
      </c>
      <c r="B46" s="46">
        <v>44</v>
      </c>
      <c r="C46" s="46">
        <f>MIN(ROUND('Corrected data'!C45*IF(MOD(B46,12)=3,Parameters!$D$19,1),0),2000)</f>
        <v>1354</v>
      </c>
      <c r="D46" s="46">
        <f t="shared" si="9"/>
        <v>2708</v>
      </c>
      <c r="E46" s="46">
        <f t="shared" si="10"/>
        <v>1354</v>
      </c>
      <c r="F46" s="47" t="str">
        <f t="shared" si="11"/>
        <v>Summer</v>
      </c>
      <c r="G46" s="48">
        <f t="shared" si="13"/>
        <v>392660</v>
      </c>
      <c r="H46" s="48">
        <f t="shared" si="3"/>
        <v>35000</v>
      </c>
      <c r="I46" s="48">
        <f t="shared" si="4"/>
        <v>30000</v>
      </c>
      <c r="J46" s="48">
        <f t="shared" si="5"/>
        <v>10000</v>
      </c>
      <c r="K46" s="52">
        <f>C46*IF('Base Scenario'!F46="Winter",SP_icecream_winter,SP_icecream)+D46*SP_choc_syrup+E46*SP_straw_syrup</f>
        <v>649920</v>
      </c>
      <c r="L46" s="48">
        <f t="shared" si="14"/>
        <v>467660</v>
      </c>
      <c r="M46" s="48">
        <f t="shared" si="7"/>
        <v>45565</v>
      </c>
      <c r="N46" s="49">
        <f t="shared" si="15"/>
        <v>136695</v>
      </c>
    </row>
    <row r="47" spans="1:14" x14ac:dyDescent="0.25">
      <c r="A47" s="46">
        <f t="shared" si="12"/>
        <v>4</v>
      </c>
      <c r="B47" s="46">
        <v>45</v>
      </c>
      <c r="C47" s="46">
        <f>MIN(ROUND('Corrected data'!C46*IF(MOD(B47,12)=3,Parameters!$D$19,1),0),2000)</f>
        <v>1359</v>
      </c>
      <c r="D47" s="46">
        <f t="shared" si="9"/>
        <v>2718</v>
      </c>
      <c r="E47" s="46">
        <f t="shared" si="10"/>
        <v>1359</v>
      </c>
      <c r="F47" s="47" t="str">
        <f t="shared" si="11"/>
        <v>Summer</v>
      </c>
      <c r="G47" s="48">
        <f t="shared" si="13"/>
        <v>394110</v>
      </c>
      <c r="H47" s="48">
        <f t="shared" si="3"/>
        <v>35000</v>
      </c>
      <c r="I47" s="48">
        <f t="shared" si="4"/>
        <v>30000</v>
      </c>
      <c r="J47" s="48">
        <f t="shared" si="5"/>
        <v>10000</v>
      </c>
      <c r="K47" s="52">
        <f>C47*IF('Base Scenario'!F47="Winter",SP_icecream_winter,SP_icecream)+D47*SP_choc_syrup+E47*SP_straw_syrup</f>
        <v>652320</v>
      </c>
      <c r="L47" s="48">
        <f t="shared" si="14"/>
        <v>469110</v>
      </c>
      <c r="M47" s="48">
        <f t="shared" si="7"/>
        <v>45802.5</v>
      </c>
      <c r="N47" s="49">
        <f t="shared" si="15"/>
        <v>137407.5</v>
      </c>
    </row>
    <row r="48" spans="1:14" x14ac:dyDescent="0.25">
      <c r="A48" s="46">
        <f t="shared" si="12"/>
        <v>4</v>
      </c>
      <c r="B48" s="46">
        <v>46</v>
      </c>
      <c r="C48" s="46">
        <f>MIN(ROUND('Corrected data'!C47*IF(MOD(B48,12)=3,Parameters!$D$19,1),0),2000)</f>
        <v>1364</v>
      </c>
      <c r="D48" s="46">
        <f t="shared" si="9"/>
        <v>2728</v>
      </c>
      <c r="E48" s="46">
        <f t="shared" si="10"/>
        <v>1364</v>
      </c>
      <c r="F48" s="47" t="str">
        <f t="shared" si="11"/>
        <v>Summer</v>
      </c>
      <c r="G48" s="48">
        <f t="shared" si="13"/>
        <v>395560</v>
      </c>
      <c r="H48" s="48">
        <f t="shared" si="3"/>
        <v>35000</v>
      </c>
      <c r="I48" s="48">
        <f t="shared" si="4"/>
        <v>30000</v>
      </c>
      <c r="J48" s="48">
        <f t="shared" si="5"/>
        <v>10000</v>
      </c>
      <c r="K48" s="52">
        <f>C48*IF('Base Scenario'!F48="Winter",SP_icecream_winter,SP_icecream)+D48*SP_choc_syrup+E48*SP_straw_syrup</f>
        <v>654720</v>
      </c>
      <c r="L48" s="48">
        <f t="shared" si="14"/>
        <v>470560</v>
      </c>
      <c r="M48" s="48">
        <f t="shared" si="7"/>
        <v>46040</v>
      </c>
      <c r="N48" s="49">
        <f t="shared" si="15"/>
        <v>138120</v>
      </c>
    </row>
    <row r="49" spans="1:14" x14ac:dyDescent="0.25">
      <c r="A49" s="46">
        <f t="shared" si="12"/>
        <v>4</v>
      </c>
      <c r="B49" s="46">
        <v>47</v>
      </c>
      <c r="C49" s="46">
        <f>MIN(ROUND('Corrected data'!C48*IF(MOD(B49,12)=3,Parameters!$D$19,1),0),2000)</f>
        <v>1369</v>
      </c>
      <c r="D49" s="46">
        <f t="shared" si="9"/>
        <v>2738</v>
      </c>
      <c r="E49" s="46">
        <f t="shared" si="10"/>
        <v>1369</v>
      </c>
      <c r="F49" s="47" t="str">
        <f t="shared" si="11"/>
        <v>Summer</v>
      </c>
      <c r="G49" s="48">
        <f t="shared" si="13"/>
        <v>397010</v>
      </c>
      <c r="H49" s="48">
        <f t="shared" si="3"/>
        <v>35000</v>
      </c>
      <c r="I49" s="48">
        <f t="shared" si="4"/>
        <v>30000</v>
      </c>
      <c r="J49" s="48">
        <f t="shared" si="5"/>
        <v>10000</v>
      </c>
      <c r="K49" s="52">
        <f>C49*IF('Base Scenario'!F49="Winter",SP_icecream_winter,SP_icecream)+D49*SP_choc_syrup+E49*SP_straw_syrup</f>
        <v>657120</v>
      </c>
      <c r="L49" s="48">
        <f t="shared" si="14"/>
        <v>472010</v>
      </c>
      <c r="M49" s="48">
        <f t="shared" si="7"/>
        <v>46277.5</v>
      </c>
      <c r="N49" s="49">
        <f t="shared" si="15"/>
        <v>138832.5</v>
      </c>
    </row>
    <row r="50" spans="1:14" x14ac:dyDescent="0.25">
      <c r="A50" s="46">
        <f t="shared" si="12"/>
        <v>4</v>
      </c>
      <c r="B50" s="46">
        <v>48</v>
      </c>
      <c r="C50" s="46">
        <f>MIN(ROUND('Corrected data'!C49*IF(MOD(B50,12)=3,Parameters!$D$19,1),0),2000)</f>
        <v>1374</v>
      </c>
      <c r="D50" s="46">
        <f t="shared" si="9"/>
        <v>2748</v>
      </c>
      <c r="E50" s="46">
        <f t="shared" si="10"/>
        <v>1374</v>
      </c>
      <c r="F50" s="47" t="str">
        <f t="shared" si="11"/>
        <v>Summer</v>
      </c>
      <c r="G50" s="48">
        <f t="shared" si="13"/>
        <v>398460</v>
      </c>
      <c r="H50" s="48">
        <f t="shared" si="3"/>
        <v>35000</v>
      </c>
      <c r="I50" s="48">
        <f t="shared" si="4"/>
        <v>30000</v>
      </c>
      <c r="J50" s="48">
        <f t="shared" si="5"/>
        <v>10000</v>
      </c>
      <c r="K50" s="52">
        <f>C50*IF('Base Scenario'!F50="Winter",SP_icecream_winter,SP_icecream)+D50*SP_choc_syrup+E50*SP_straw_syrup</f>
        <v>659520</v>
      </c>
      <c r="L50" s="48">
        <f t="shared" si="14"/>
        <v>473460</v>
      </c>
      <c r="M50" s="48">
        <f t="shared" si="7"/>
        <v>46515</v>
      </c>
      <c r="N50" s="49">
        <f t="shared" si="15"/>
        <v>139545</v>
      </c>
    </row>
    <row r="51" spans="1:14" x14ac:dyDescent="0.25">
      <c r="A51" s="46">
        <f t="shared" si="12"/>
        <v>5</v>
      </c>
      <c r="B51" s="46">
        <v>49</v>
      </c>
      <c r="C51" s="46">
        <f>MIN(ROUND('Corrected data'!C50*IF(MOD(B51,12)=3,Parameters!$D$19,1),0),2000)</f>
        <v>1118</v>
      </c>
      <c r="D51" s="46">
        <f t="shared" si="9"/>
        <v>2236</v>
      </c>
      <c r="E51" s="46">
        <f t="shared" si="10"/>
        <v>1118</v>
      </c>
      <c r="F51" s="47" t="str">
        <f t="shared" si="11"/>
        <v>Winter</v>
      </c>
      <c r="G51" s="48">
        <f t="shared" si="13"/>
        <v>324220</v>
      </c>
      <c r="H51" s="48">
        <f t="shared" si="3"/>
        <v>35000</v>
      </c>
      <c r="I51" s="48">
        <f t="shared" si="4"/>
        <v>30000</v>
      </c>
      <c r="J51" s="48">
        <f t="shared" si="5"/>
        <v>7000</v>
      </c>
      <c r="K51" s="52">
        <f>C51*IF('Base Scenario'!F51="Winter",SP_icecream_winter,SP_icecream)+D51*SP_choc_syrup+E51*SP_straw_syrup</f>
        <v>514280</v>
      </c>
      <c r="L51" s="48">
        <f t="shared" si="14"/>
        <v>396220</v>
      </c>
      <c r="M51" s="48">
        <f t="shared" si="7"/>
        <v>29515</v>
      </c>
      <c r="N51" s="49">
        <f t="shared" si="15"/>
        <v>88545</v>
      </c>
    </row>
    <row r="52" spans="1:14" x14ac:dyDescent="0.25">
      <c r="A52" s="46">
        <f t="shared" si="12"/>
        <v>5</v>
      </c>
      <c r="B52" s="46">
        <v>50</v>
      </c>
      <c r="C52" s="46">
        <f>MIN(ROUND('Corrected data'!C51*IF(MOD(B52,12)=3,Parameters!$D$19,1),0),2000)</f>
        <v>1123</v>
      </c>
      <c r="D52" s="46">
        <f t="shared" si="9"/>
        <v>2246</v>
      </c>
      <c r="E52" s="46">
        <f t="shared" si="10"/>
        <v>1123</v>
      </c>
      <c r="F52" s="47" t="str">
        <f t="shared" si="11"/>
        <v>Winter</v>
      </c>
      <c r="G52" s="48">
        <f t="shared" si="13"/>
        <v>325670</v>
      </c>
      <c r="H52" s="48">
        <f t="shared" si="3"/>
        <v>35000</v>
      </c>
      <c r="I52" s="48">
        <f t="shared" si="4"/>
        <v>30000</v>
      </c>
      <c r="J52" s="48">
        <f t="shared" si="5"/>
        <v>7000</v>
      </c>
      <c r="K52" s="52">
        <f>C52*IF('Base Scenario'!F52="Winter",SP_icecream_winter,SP_icecream)+D52*SP_choc_syrup+E52*SP_straw_syrup</f>
        <v>516580</v>
      </c>
      <c r="L52" s="48">
        <f t="shared" si="14"/>
        <v>397670</v>
      </c>
      <c r="M52" s="48">
        <f t="shared" si="7"/>
        <v>29727.5</v>
      </c>
      <c r="N52" s="49">
        <f t="shared" si="15"/>
        <v>89182.5</v>
      </c>
    </row>
    <row r="53" spans="1:14" x14ac:dyDescent="0.25">
      <c r="A53" s="46">
        <f t="shared" si="12"/>
        <v>5</v>
      </c>
      <c r="B53" s="46">
        <v>51</v>
      </c>
      <c r="C53" s="46">
        <f>MIN(ROUND('Corrected data'!C52*IF(MOD(B53,12)=3,Parameters!$D$19,1),0),2000)</f>
        <v>1354</v>
      </c>
      <c r="D53" s="46">
        <f t="shared" si="9"/>
        <v>2708</v>
      </c>
      <c r="E53" s="46">
        <f t="shared" si="10"/>
        <v>1354</v>
      </c>
      <c r="F53" s="47" t="str">
        <f t="shared" si="11"/>
        <v>Summer</v>
      </c>
      <c r="G53" s="48">
        <f t="shared" si="13"/>
        <v>392660</v>
      </c>
      <c r="H53" s="48">
        <f t="shared" si="3"/>
        <v>35000</v>
      </c>
      <c r="I53" s="48">
        <f t="shared" si="4"/>
        <v>30000</v>
      </c>
      <c r="J53" s="48">
        <f t="shared" si="5"/>
        <v>10000</v>
      </c>
      <c r="K53" s="52">
        <f>C53*IF('Base Scenario'!F53="Winter",SP_icecream_winter,SP_icecream)+D53*SP_choc_syrup+E53*SP_straw_syrup</f>
        <v>622840</v>
      </c>
      <c r="L53" s="48">
        <f t="shared" si="14"/>
        <v>467660</v>
      </c>
      <c r="M53" s="48">
        <f t="shared" si="7"/>
        <v>38795</v>
      </c>
      <c r="N53" s="49">
        <f t="shared" si="15"/>
        <v>116385</v>
      </c>
    </row>
    <row r="54" spans="1:14" x14ac:dyDescent="0.25">
      <c r="A54" s="46">
        <f t="shared" si="12"/>
        <v>5</v>
      </c>
      <c r="B54" s="46">
        <v>52</v>
      </c>
      <c r="C54" s="46">
        <f>MIN(ROUND('Corrected data'!C53*IF(MOD(B54,12)=3,Parameters!$D$19,1),0),2000)</f>
        <v>1398</v>
      </c>
      <c r="D54" s="46">
        <f t="shared" si="9"/>
        <v>2796</v>
      </c>
      <c r="E54" s="46">
        <f t="shared" si="10"/>
        <v>1398</v>
      </c>
      <c r="F54" s="47" t="str">
        <f t="shared" si="11"/>
        <v>Summer</v>
      </c>
      <c r="G54" s="48">
        <f t="shared" si="13"/>
        <v>405420</v>
      </c>
      <c r="H54" s="48">
        <f t="shared" si="3"/>
        <v>35000</v>
      </c>
      <c r="I54" s="48">
        <f t="shared" si="4"/>
        <v>30000</v>
      </c>
      <c r="J54" s="48">
        <f t="shared" si="5"/>
        <v>10000</v>
      </c>
      <c r="K54" s="52">
        <f>C54*IF('Base Scenario'!F54="Winter",SP_icecream_winter,SP_icecream)+D54*SP_choc_syrup+E54*SP_straw_syrup</f>
        <v>671040</v>
      </c>
      <c r="L54" s="48">
        <f t="shared" si="14"/>
        <v>480420</v>
      </c>
      <c r="M54" s="48">
        <f t="shared" si="7"/>
        <v>47655</v>
      </c>
      <c r="N54" s="49">
        <f t="shared" si="15"/>
        <v>142965</v>
      </c>
    </row>
    <row r="55" spans="1:14" x14ac:dyDescent="0.25">
      <c r="A55" s="46">
        <f t="shared" si="12"/>
        <v>5</v>
      </c>
      <c r="B55" s="46">
        <v>53</v>
      </c>
      <c r="C55" s="46">
        <f>MIN(ROUND('Corrected data'!C54*IF(MOD(B55,12)=3,Parameters!$D$19,1),0),2000)</f>
        <v>1404</v>
      </c>
      <c r="D55" s="46">
        <f t="shared" si="9"/>
        <v>2808</v>
      </c>
      <c r="E55" s="46">
        <f t="shared" si="10"/>
        <v>1404</v>
      </c>
      <c r="F55" s="47" t="str">
        <f t="shared" si="11"/>
        <v>Summer</v>
      </c>
      <c r="G55" s="48">
        <f t="shared" si="13"/>
        <v>407160</v>
      </c>
      <c r="H55" s="48">
        <f t="shared" si="3"/>
        <v>35000</v>
      </c>
      <c r="I55" s="48">
        <f t="shared" si="4"/>
        <v>30000</v>
      </c>
      <c r="J55" s="48">
        <f t="shared" si="5"/>
        <v>10000</v>
      </c>
      <c r="K55" s="52">
        <f>C55*IF('Base Scenario'!F55="Winter",SP_icecream_winter,SP_icecream)+D55*SP_choc_syrup+E55*SP_straw_syrup</f>
        <v>673920</v>
      </c>
      <c r="L55" s="48">
        <f t="shared" si="14"/>
        <v>482160</v>
      </c>
      <c r="M55" s="48">
        <f t="shared" si="7"/>
        <v>47940</v>
      </c>
      <c r="N55" s="49">
        <f t="shared" si="15"/>
        <v>143820</v>
      </c>
    </row>
    <row r="56" spans="1:14" x14ac:dyDescent="0.25">
      <c r="A56" s="46">
        <f t="shared" si="12"/>
        <v>5</v>
      </c>
      <c r="B56" s="46">
        <v>54</v>
      </c>
      <c r="C56" s="46">
        <f>MIN(ROUND('Corrected data'!C55*IF(MOD(B56,12)=3,Parameters!$D$19,1),0),2000)</f>
        <v>1410</v>
      </c>
      <c r="D56" s="46">
        <f t="shared" si="9"/>
        <v>2820</v>
      </c>
      <c r="E56" s="46">
        <f t="shared" si="10"/>
        <v>1410</v>
      </c>
      <c r="F56" s="47" t="str">
        <f t="shared" si="11"/>
        <v>Summer</v>
      </c>
      <c r="G56" s="48">
        <f t="shared" si="13"/>
        <v>408900</v>
      </c>
      <c r="H56" s="48">
        <f t="shared" si="3"/>
        <v>35000</v>
      </c>
      <c r="I56" s="48">
        <f t="shared" si="4"/>
        <v>30000</v>
      </c>
      <c r="J56" s="48">
        <f t="shared" si="5"/>
        <v>10000</v>
      </c>
      <c r="K56" s="52">
        <f>C56*IF('Base Scenario'!F56="Winter",SP_icecream_winter,SP_icecream)+D56*SP_choc_syrup+E56*SP_straw_syrup</f>
        <v>676800</v>
      </c>
      <c r="L56" s="48">
        <f t="shared" si="14"/>
        <v>483900</v>
      </c>
      <c r="M56" s="48">
        <f t="shared" si="7"/>
        <v>48225</v>
      </c>
      <c r="N56" s="49">
        <f t="shared" si="15"/>
        <v>144675</v>
      </c>
    </row>
    <row r="57" spans="1:14" x14ac:dyDescent="0.25">
      <c r="A57" s="46">
        <f t="shared" si="12"/>
        <v>5</v>
      </c>
      <c r="B57" s="46">
        <v>55</v>
      </c>
      <c r="C57" s="46">
        <f>MIN(ROUND('Corrected data'!C56*IF(MOD(B57,12)=3,Parameters!$D$19,1),0),2000)</f>
        <v>1416</v>
      </c>
      <c r="D57" s="46">
        <f t="shared" si="9"/>
        <v>2832</v>
      </c>
      <c r="E57" s="46">
        <f t="shared" si="10"/>
        <v>1416</v>
      </c>
      <c r="F57" s="47" t="str">
        <f t="shared" si="11"/>
        <v>Summer</v>
      </c>
      <c r="G57" s="48">
        <f t="shared" si="13"/>
        <v>410640</v>
      </c>
      <c r="H57" s="48">
        <f t="shared" si="3"/>
        <v>35000</v>
      </c>
      <c r="I57" s="48">
        <f t="shared" si="4"/>
        <v>30000</v>
      </c>
      <c r="J57" s="48">
        <f t="shared" si="5"/>
        <v>10000</v>
      </c>
      <c r="K57" s="52">
        <f>C57*IF('Base Scenario'!F57="Winter",SP_icecream_winter,SP_icecream)+D57*SP_choc_syrup+E57*SP_straw_syrup</f>
        <v>679680</v>
      </c>
      <c r="L57" s="48">
        <f t="shared" si="14"/>
        <v>485640</v>
      </c>
      <c r="M57" s="48">
        <f t="shared" si="7"/>
        <v>48510</v>
      </c>
      <c r="N57" s="49">
        <f t="shared" si="15"/>
        <v>145530</v>
      </c>
    </row>
    <row r="58" spans="1:14" x14ac:dyDescent="0.25">
      <c r="A58" s="46">
        <f t="shared" si="12"/>
        <v>5</v>
      </c>
      <c r="B58" s="46">
        <v>56</v>
      </c>
      <c r="C58" s="46">
        <f>MIN(ROUND('Corrected data'!C57*IF(MOD(B58,12)=3,Parameters!$D$19,1),0),2000)</f>
        <v>1422</v>
      </c>
      <c r="D58" s="46">
        <f t="shared" si="9"/>
        <v>2844</v>
      </c>
      <c r="E58" s="46">
        <f t="shared" si="10"/>
        <v>1422</v>
      </c>
      <c r="F58" s="47" t="str">
        <f t="shared" si="11"/>
        <v>Summer</v>
      </c>
      <c r="G58" s="48">
        <f t="shared" si="13"/>
        <v>412380</v>
      </c>
      <c r="H58" s="48">
        <f t="shared" si="3"/>
        <v>35000</v>
      </c>
      <c r="I58" s="48">
        <f t="shared" si="4"/>
        <v>30000</v>
      </c>
      <c r="J58" s="48">
        <f t="shared" si="5"/>
        <v>10000</v>
      </c>
      <c r="K58" s="52">
        <f>C58*IF('Base Scenario'!F58="Winter",SP_icecream_winter,SP_icecream)+D58*SP_choc_syrup+E58*SP_straw_syrup</f>
        <v>682560</v>
      </c>
      <c r="L58" s="48">
        <f t="shared" si="14"/>
        <v>487380</v>
      </c>
      <c r="M58" s="48">
        <f t="shared" si="7"/>
        <v>48795</v>
      </c>
      <c r="N58" s="49">
        <f t="shared" si="15"/>
        <v>146385</v>
      </c>
    </row>
    <row r="59" spans="1:14" x14ac:dyDescent="0.25">
      <c r="A59" s="46">
        <f t="shared" si="12"/>
        <v>5</v>
      </c>
      <c r="B59" s="46">
        <v>57</v>
      </c>
      <c r="C59" s="46">
        <f>MIN(ROUND('Corrected data'!C58*IF(MOD(B59,12)=3,Parameters!$D$19,1),0),2000)</f>
        <v>1428</v>
      </c>
      <c r="D59" s="46">
        <f t="shared" si="9"/>
        <v>2856</v>
      </c>
      <c r="E59" s="46">
        <f t="shared" si="10"/>
        <v>1428</v>
      </c>
      <c r="F59" s="47" t="str">
        <f t="shared" si="11"/>
        <v>Summer</v>
      </c>
      <c r="G59" s="48">
        <f t="shared" si="13"/>
        <v>414120</v>
      </c>
      <c r="H59" s="48">
        <f t="shared" si="3"/>
        <v>35000</v>
      </c>
      <c r="I59" s="48">
        <f t="shared" si="4"/>
        <v>30000</v>
      </c>
      <c r="J59" s="48">
        <f t="shared" si="5"/>
        <v>10000</v>
      </c>
      <c r="K59" s="52">
        <f>C59*IF('Base Scenario'!F59="Winter",SP_icecream_winter,SP_icecream)+D59*SP_choc_syrup+E59*SP_straw_syrup</f>
        <v>685440</v>
      </c>
      <c r="L59" s="48">
        <f t="shared" si="14"/>
        <v>489120</v>
      </c>
      <c r="M59" s="48">
        <f t="shared" si="7"/>
        <v>49080</v>
      </c>
      <c r="N59" s="49">
        <f t="shared" si="15"/>
        <v>147240</v>
      </c>
    </row>
    <row r="60" spans="1:14" x14ac:dyDescent="0.25">
      <c r="A60" s="46">
        <f t="shared" si="12"/>
        <v>5</v>
      </c>
      <c r="B60" s="46">
        <v>58</v>
      </c>
      <c r="C60" s="46">
        <f>MIN(ROUND('Corrected data'!C59*IF(MOD(B60,12)=3,Parameters!$D$19,1),0),2000)</f>
        <v>1434</v>
      </c>
      <c r="D60" s="46">
        <f t="shared" si="9"/>
        <v>2868</v>
      </c>
      <c r="E60" s="46">
        <f t="shared" si="10"/>
        <v>1434</v>
      </c>
      <c r="F60" s="47" t="str">
        <f t="shared" si="11"/>
        <v>Summer</v>
      </c>
      <c r="G60" s="48">
        <f t="shared" si="13"/>
        <v>415860</v>
      </c>
      <c r="H60" s="48">
        <f t="shared" si="3"/>
        <v>35000</v>
      </c>
      <c r="I60" s="48">
        <f t="shared" si="4"/>
        <v>30000</v>
      </c>
      <c r="J60" s="48">
        <f t="shared" si="5"/>
        <v>10000</v>
      </c>
      <c r="K60" s="52">
        <f>C60*IF('Base Scenario'!F60="Winter",SP_icecream_winter,SP_icecream)+D60*SP_choc_syrup+E60*SP_straw_syrup</f>
        <v>688320</v>
      </c>
      <c r="L60" s="48">
        <f t="shared" si="14"/>
        <v>490860</v>
      </c>
      <c r="M60" s="48">
        <f t="shared" si="7"/>
        <v>49365</v>
      </c>
      <c r="N60" s="49">
        <f t="shared" si="15"/>
        <v>148095</v>
      </c>
    </row>
    <row r="61" spans="1:14" x14ac:dyDescent="0.25">
      <c r="A61" s="46">
        <f t="shared" si="12"/>
        <v>5</v>
      </c>
      <c r="B61" s="46">
        <v>59</v>
      </c>
      <c r="C61" s="46">
        <f>MIN(ROUND('Corrected data'!C60*IF(MOD(B61,12)=3,Parameters!$D$19,1),0),2000)</f>
        <v>1440</v>
      </c>
      <c r="D61" s="46">
        <f t="shared" si="9"/>
        <v>2880</v>
      </c>
      <c r="E61" s="46">
        <f t="shared" si="10"/>
        <v>1440</v>
      </c>
      <c r="F61" s="47" t="str">
        <f t="shared" si="11"/>
        <v>Summer</v>
      </c>
      <c r="G61" s="48">
        <f t="shared" si="13"/>
        <v>417600</v>
      </c>
      <c r="H61" s="48">
        <f t="shared" si="3"/>
        <v>35000</v>
      </c>
      <c r="I61" s="48">
        <f t="shared" si="4"/>
        <v>30000</v>
      </c>
      <c r="J61" s="48">
        <f t="shared" si="5"/>
        <v>10000</v>
      </c>
      <c r="K61" s="52">
        <f>C61*IF('Base Scenario'!F61="Winter",SP_icecream_winter,SP_icecream)+D61*SP_choc_syrup+E61*SP_straw_syrup</f>
        <v>691200</v>
      </c>
      <c r="L61" s="48">
        <f t="shared" si="14"/>
        <v>492600</v>
      </c>
      <c r="M61" s="48">
        <f t="shared" si="7"/>
        <v>49650</v>
      </c>
      <c r="N61" s="49">
        <f t="shared" si="15"/>
        <v>148950</v>
      </c>
    </row>
    <row r="62" spans="1:14" x14ac:dyDescent="0.25">
      <c r="A62" s="46">
        <f t="shared" si="12"/>
        <v>5</v>
      </c>
      <c r="B62" s="46">
        <v>60</v>
      </c>
      <c r="C62" s="46">
        <f>MIN(ROUND('Corrected data'!C61*IF(MOD(B62,12)=3,Parameters!$D$19,1),0),2000)</f>
        <v>1446</v>
      </c>
      <c r="D62" s="46">
        <f t="shared" si="9"/>
        <v>2892</v>
      </c>
      <c r="E62" s="46">
        <f t="shared" si="10"/>
        <v>1446</v>
      </c>
      <c r="F62" s="47" t="str">
        <f t="shared" si="11"/>
        <v>Summer</v>
      </c>
      <c r="G62" s="48">
        <f t="shared" si="13"/>
        <v>419340</v>
      </c>
      <c r="H62" s="48">
        <f t="shared" si="3"/>
        <v>35000</v>
      </c>
      <c r="I62" s="48">
        <f t="shared" si="4"/>
        <v>30000</v>
      </c>
      <c r="J62" s="48">
        <f t="shared" si="5"/>
        <v>10000</v>
      </c>
      <c r="K62" s="52">
        <f>C62*IF('Base Scenario'!F62="Winter",SP_icecream_winter,SP_icecream)+D62*SP_choc_syrup+E62*SP_straw_syrup</f>
        <v>694080</v>
      </c>
      <c r="L62" s="48">
        <f t="shared" si="14"/>
        <v>494340</v>
      </c>
      <c r="M62" s="48">
        <f t="shared" si="7"/>
        <v>49935</v>
      </c>
      <c r="N62" s="49">
        <f t="shared" si="15"/>
        <v>149805</v>
      </c>
    </row>
    <row r="63" spans="1:14" x14ac:dyDescent="0.25">
      <c r="A63" s="46">
        <f t="shared" si="12"/>
        <v>6</v>
      </c>
      <c r="B63" s="46">
        <v>61</v>
      </c>
      <c r="C63" s="46">
        <f>MIN(ROUND('Corrected data'!C62*IF(MOD(B63,12)=3,Parameters!$D$19,1),0),2000)</f>
        <v>1179</v>
      </c>
      <c r="D63" s="46">
        <f t="shared" si="9"/>
        <v>2358</v>
      </c>
      <c r="E63" s="46">
        <f t="shared" si="10"/>
        <v>1179</v>
      </c>
      <c r="F63" s="47" t="str">
        <f t="shared" si="11"/>
        <v>Winter</v>
      </c>
      <c r="G63" s="48">
        <f t="shared" si="13"/>
        <v>341910</v>
      </c>
      <c r="H63" s="48">
        <f t="shared" si="3"/>
        <v>35000</v>
      </c>
      <c r="I63" s="48">
        <f t="shared" si="4"/>
        <v>30000</v>
      </c>
      <c r="J63" s="48">
        <f t="shared" si="5"/>
        <v>7000</v>
      </c>
      <c r="K63" s="52">
        <f>C63*IF('Base Scenario'!F63="Winter",SP_icecream_winter,SP_icecream)+D63*SP_choc_syrup+E63*SP_straw_syrup</f>
        <v>542340</v>
      </c>
      <c r="L63" s="48">
        <f t="shared" si="14"/>
        <v>413910</v>
      </c>
      <c r="M63" s="48">
        <f t="shared" si="7"/>
        <v>32107.5</v>
      </c>
      <c r="N63" s="49">
        <f t="shared" si="15"/>
        <v>96322.5</v>
      </c>
    </row>
    <row r="64" spans="1:14" x14ac:dyDescent="0.25">
      <c r="A64" s="46">
        <f t="shared" si="12"/>
        <v>6</v>
      </c>
      <c r="B64" s="46">
        <v>62</v>
      </c>
      <c r="C64" s="46">
        <f>MIN(ROUND('Corrected data'!C63*IF(MOD(B64,12)=3,Parameters!$D$19,1),0),2000)</f>
        <v>1185</v>
      </c>
      <c r="D64" s="46">
        <f t="shared" si="9"/>
        <v>2370</v>
      </c>
      <c r="E64" s="46">
        <f t="shared" si="10"/>
        <v>1185</v>
      </c>
      <c r="F64" s="47" t="str">
        <f t="shared" si="11"/>
        <v>Winter</v>
      </c>
      <c r="G64" s="48">
        <f t="shared" si="13"/>
        <v>343650</v>
      </c>
      <c r="H64" s="48">
        <f t="shared" si="3"/>
        <v>35000</v>
      </c>
      <c r="I64" s="48">
        <f t="shared" si="4"/>
        <v>30000</v>
      </c>
      <c r="J64" s="48">
        <f t="shared" si="5"/>
        <v>7000</v>
      </c>
      <c r="K64" s="52">
        <f>C64*IF('Base Scenario'!F64="Winter",SP_icecream_winter,SP_icecream)+D64*SP_choc_syrup+E64*SP_straw_syrup</f>
        <v>545100</v>
      </c>
      <c r="L64" s="48">
        <f t="shared" si="14"/>
        <v>415650</v>
      </c>
      <c r="M64" s="48">
        <f t="shared" si="7"/>
        <v>32362.5</v>
      </c>
      <c r="N64" s="49">
        <f t="shared" si="15"/>
        <v>97087.5</v>
      </c>
    </row>
    <row r="65" spans="1:14" x14ac:dyDescent="0.25">
      <c r="A65" s="46">
        <f t="shared" si="12"/>
        <v>6</v>
      </c>
      <c r="B65" s="46">
        <v>63</v>
      </c>
      <c r="C65" s="46">
        <f>MIN(ROUND('Corrected data'!C64*IF(MOD(B65,12)=3,Parameters!$D$19,1),0),2000)</f>
        <v>1429</v>
      </c>
      <c r="D65" s="46">
        <f t="shared" si="9"/>
        <v>2858</v>
      </c>
      <c r="E65" s="46">
        <f t="shared" si="10"/>
        <v>1429</v>
      </c>
      <c r="F65" s="47" t="str">
        <f t="shared" si="11"/>
        <v>Summer</v>
      </c>
      <c r="G65" s="48">
        <f t="shared" si="13"/>
        <v>414410</v>
      </c>
      <c r="H65" s="48">
        <f t="shared" si="3"/>
        <v>35000</v>
      </c>
      <c r="I65" s="48">
        <f t="shared" si="4"/>
        <v>30000</v>
      </c>
      <c r="J65" s="48">
        <f t="shared" si="5"/>
        <v>10000</v>
      </c>
      <c r="K65" s="52">
        <f>C65*IF('Base Scenario'!F65="Winter",SP_icecream_winter,SP_icecream)+D65*SP_choc_syrup+E65*SP_straw_syrup</f>
        <v>657340</v>
      </c>
      <c r="L65" s="48">
        <f t="shared" si="14"/>
        <v>489410</v>
      </c>
      <c r="M65" s="48">
        <f t="shared" si="7"/>
        <v>41982.5</v>
      </c>
      <c r="N65" s="49">
        <f t="shared" si="15"/>
        <v>125947.5</v>
      </c>
    </row>
    <row r="66" spans="1:14" x14ac:dyDescent="0.25">
      <c r="A66" s="46">
        <f t="shared" si="12"/>
        <v>6</v>
      </c>
      <c r="B66" s="46">
        <v>64</v>
      </c>
      <c r="C66" s="46">
        <f>MIN(ROUND('Corrected data'!C65*IF(MOD(B66,12)=3,Parameters!$D$19,1),0),2000)</f>
        <v>1473</v>
      </c>
      <c r="D66" s="46">
        <f t="shared" si="9"/>
        <v>2946</v>
      </c>
      <c r="E66" s="46">
        <f t="shared" si="10"/>
        <v>1473</v>
      </c>
      <c r="F66" s="47" t="str">
        <f t="shared" si="11"/>
        <v>Summer</v>
      </c>
      <c r="G66" s="48">
        <f t="shared" si="13"/>
        <v>427170</v>
      </c>
      <c r="H66" s="48">
        <f t="shared" si="3"/>
        <v>35000</v>
      </c>
      <c r="I66" s="48">
        <f t="shared" si="4"/>
        <v>30000</v>
      </c>
      <c r="J66" s="48">
        <f t="shared" si="5"/>
        <v>10000</v>
      </c>
      <c r="K66" s="52">
        <f>C66*IF('Base Scenario'!F66="Winter",SP_icecream_winter,SP_icecream)+D66*SP_choc_syrup+E66*SP_straw_syrup</f>
        <v>707040</v>
      </c>
      <c r="L66" s="48">
        <f t="shared" si="14"/>
        <v>502170</v>
      </c>
      <c r="M66" s="48">
        <f t="shared" si="7"/>
        <v>51217.5</v>
      </c>
      <c r="N66" s="49">
        <f t="shared" si="15"/>
        <v>153652.5</v>
      </c>
    </row>
    <row r="67" spans="1:14" x14ac:dyDescent="0.25">
      <c r="A67" s="46">
        <f t="shared" si="12"/>
        <v>6</v>
      </c>
      <c r="B67" s="46">
        <v>65</v>
      </c>
      <c r="C67" s="46">
        <f>MIN(ROUND('Corrected data'!C66*IF(MOD(B67,12)=3,Parameters!$D$19,1),0),2000)</f>
        <v>1481</v>
      </c>
      <c r="D67" s="46">
        <f t="shared" si="9"/>
        <v>2962</v>
      </c>
      <c r="E67" s="46">
        <f t="shared" si="10"/>
        <v>1481</v>
      </c>
      <c r="F67" s="47" t="str">
        <f t="shared" si="11"/>
        <v>Summer</v>
      </c>
      <c r="G67" s="48">
        <f t="shared" ref="G67:G98" si="16">C67*Cost_Icecream+D67*cost_choc_syrup+E67*cost_straw_syrup</f>
        <v>429490</v>
      </c>
      <c r="H67" s="48">
        <f t="shared" ref="H67:H122" si="17">Rent</f>
        <v>35000</v>
      </c>
      <c r="I67" s="48">
        <f t="shared" ref="I67:I122" si="18">Salary</f>
        <v>30000</v>
      </c>
      <c r="J67" s="48">
        <f t="shared" ref="J67:J122" si="19">IF(F67="Winter",Electr_winter,Electr_Summer)</f>
        <v>10000</v>
      </c>
      <c r="K67" s="52">
        <f>C67*IF('Base Scenario'!F67="Winter",SP_icecream_winter,SP_icecream)+D67*SP_choc_syrup+E67*SP_straw_syrup</f>
        <v>710880</v>
      </c>
      <c r="L67" s="48">
        <f t="shared" ref="L67:L98" si="20">SUM(G67:J67)</f>
        <v>504490</v>
      </c>
      <c r="M67" s="48">
        <f t="shared" ref="M67:M122" si="21">Tax_rate*(K67-L67)</f>
        <v>51597.5</v>
      </c>
      <c r="N67" s="49">
        <f t="shared" ref="N67:N98" si="22">K67-L67-M67</f>
        <v>154792.5</v>
      </c>
    </row>
    <row r="68" spans="1:14" x14ac:dyDescent="0.25">
      <c r="A68" s="46">
        <f t="shared" si="12"/>
        <v>6</v>
      </c>
      <c r="B68" s="46">
        <v>66</v>
      </c>
      <c r="C68" s="46">
        <f>MIN(ROUND('Corrected data'!C67*IF(MOD(B68,12)=3,Parameters!$D$19,1),0),2000)</f>
        <v>1488</v>
      </c>
      <c r="D68" s="46">
        <f t="shared" ref="D68:D122" si="23">prop_choc_syrup*C68</f>
        <v>2976</v>
      </c>
      <c r="E68" s="46">
        <f t="shared" ref="E68:E122" si="24">prop_straw_syrup*C68</f>
        <v>1488</v>
      </c>
      <c r="F68" s="47" t="str">
        <f t="shared" ref="F68:F122" si="25">IF(AND(MOD(B68,12)&lt;=2, MOD(B68,12)&lt;&gt;0),"Winter","Summer")</f>
        <v>Summer</v>
      </c>
      <c r="G68" s="48">
        <f t="shared" si="16"/>
        <v>431520</v>
      </c>
      <c r="H68" s="48">
        <f t="shared" si="17"/>
        <v>35000</v>
      </c>
      <c r="I68" s="48">
        <f t="shared" si="18"/>
        <v>30000</v>
      </c>
      <c r="J68" s="48">
        <f t="shared" si="19"/>
        <v>10000</v>
      </c>
      <c r="K68" s="52">
        <f>C68*IF('Base Scenario'!F68="Winter",SP_icecream_winter,SP_icecream)+D68*SP_choc_syrup+E68*SP_straw_syrup</f>
        <v>714240</v>
      </c>
      <c r="L68" s="48">
        <f t="shared" si="20"/>
        <v>506520</v>
      </c>
      <c r="M68" s="48">
        <f t="shared" si="21"/>
        <v>51930</v>
      </c>
      <c r="N68" s="49">
        <f t="shared" si="22"/>
        <v>155790</v>
      </c>
    </row>
    <row r="69" spans="1:14" x14ac:dyDescent="0.25">
      <c r="A69" s="46">
        <f t="shared" ref="A69:A122" si="26">IF(MOD(B68,12)=0,A68+1,A68)</f>
        <v>6</v>
      </c>
      <c r="B69" s="46">
        <v>67</v>
      </c>
      <c r="C69" s="46">
        <f>MIN(ROUND('Corrected data'!C68*IF(MOD(B69,12)=3,Parameters!$D$19,1),0),2000)</f>
        <v>1495</v>
      </c>
      <c r="D69" s="46">
        <f t="shared" si="23"/>
        <v>2990</v>
      </c>
      <c r="E69" s="46">
        <f t="shared" si="24"/>
        <v>1495</v>
      </c>
      <c r="F69" s="47" t="str">
        <f t="shared" si="25"/>
        <v>Summer</v>
      </c>
      <c r="G69" s="48">
        <f t="shared" si="16"/>
        <v>433550</v>
      </c>
      <c r="H69" s="48">
        <f t="shared" si="17"/>
        <v>35000</v>
      </c>
      <c r="I69" s="48">
        <f t="shared" si="18"/>
        <v>30000</v>
      </c>
      <c r="J69" s="48">
        <f t="shared" si="19"/>
        <v>10000</v>
      </c>
      <c r="K69" s="52">
        <f>C69*IF('Base Scenario'!F69="Winter",SP_icecream_winter,SP_icecream)+D69*SP_choc_syrup+E69*SP_straw_syrup</f>
        <v>717600</v>
      </c>
      <c r="L69" s="48">
        <f t="shared" si="20"/>
        <v>508550</v>
      </c>
      <c r="M69" s="48">
        <f t="shared" si="21"/>
        <v>52262.5</v>
      </c>
      <c r="N69" s="49">
        <f t="shared" si="22"/>
        <v>156787.5</v>
      </c>
    </row>
    <row r="70" spans="1:14" x14ac:dyDescent="0.25">
      <c r="A70" s="46">
        <f t="shared" si="26"/>
        <v>6</v>
      </c>
      <c r="B70" s="46">
        <v>68</v>
      </c>
      <c r="C70" s="46">
        <f>MIN(ROUND('Corrected data'!C69*IF(MOD(B70,12)=3,Parameters!$D$19,1),0),2000)</f>
        <v>1502</v>
      </c>
      <c r="D70" s="46">
        <f t="shared" si="23"/>
        <v>3004</v>
      </c>
      <c r="E70" s="46">
        <f t="shared" si="24"/>
        <v>1502</v>
      </c>
      <c r="F70" s="47" t="str">
        <f t="shared" si="25"/>
        <v>Summer</v>
      </c>
      <c r="G70" s="48">
        <f t="shared" si="16"/>
        <v>435580</v>
      </c>
      <c r="H70" s="48">
        <f t="shared" si="17"/>
        <v>35000</v>
      </c>
      <c r="I70" s="48">
        <f t="shared" si="18"/>
        <v>30000</v>
      </c>
      <c r="J70" s="48">
        <f t="shared" si="19"/>
        <v>10000</v>
      </c>
      <c r="K70" s="52">
        <f>C70*IF('Base Scenario'!F70="Winter",SP_icecream_winter,SP_icecream)+D70*SP_choc_syrup+E70*SP_straw_syrup</f>
        <v>720960</v>
      </c>
      <c r="L70" s="48">
        <f t="shared" si="20"/>
        <v>510580</v>
      </c>
      <c r="M70" s="48">
        <f t="shared" si="21"/>
        <v>52595</v>
      </c>
      <c r="N70" s="49">
        <f t="shared" si="22"/>
        <v>157785</v>
      </c>
    </row>
    <row r="71" spans="1:14" x14ac:dyDescent="0.25">
      <c r="A71" s="46">
        <f t="shared" si="26"/>
        <v>6</v>
      </c>
      <c r="B71" s="46">
        <v>69</v>
      </c>
      <c r="C71" s="46">
        <f>MIN(ROUND('Corrected data'!C70*IF(MOD(B71,12)=3,Parameters!$D$19,1),0),2000)</f>
        <v>1510</v>
      </c>
      <c r="D71" s="46">
        <f t="shared" si="23"/>
        <v>3020</v>
      </c>
      <c r="E71" s="46">
        <f t="shared" si="24"/>
        <v>1510</v>
      </c>
      <c r="F71" s="47" t="str">
        <f t="shared" si="25"/>
        <v>Summer</v>
      </c>
      <c r="G71" s="48">
        <f t="shared" si="16"/>
        <v>437900</v>
      </c>
      <c r="H71" s="48">
        <f t="shared" si="17"/>
        <v>35000</v>
      </c>
      <c r="I71" s="48">
        <f t="shared" si="18"/>
        <v>30000</v>
      </c>
      <c r="J71" s="48">
        <f t="shared" si="19"/>
        <v>10000</v>
      </c>
      <c r="K71" s="52">
        <f>C71*IF('Base Scenario'!F71="Winter",SP_icecream_winter,SP_icecream)+D71*SP_choc_syrup+E71*SP_straw_syrup</f>
        <v>724800</v>
      </c>
      <c r="L71" s="48">
        <f t="shared" si="20"/>
        <v>512900</v>
      </c>
      <c r="M71" s="48">
        <f t="shared" si="21"/>
        <v>52975</v>
      </c>
      <c r="N71" s="49">
        <f t="shared" si="22"/>
        <v>158925</v>
      </c>
    </row>
    <row r="72" spans="1:14" x14ac:dyDescent="0.25">
      <c r="A72" s="46">
        <f t="shared" si="26"/>
        <v>6</v>
      </c>
      <c r="B72" s="46">
        <v>70</v>
      </c>
      <c r="C72" s="46">
        <f>MIN(ROUND('Corrected data'!C71*IF(MOD(B72,12)=3,Parameters!$D$19,1),0),2000)</f>
        <v>1518</v>
      </c>
      <c r="D72" s="46">
        <f t="shared" si="23"/>
        <v>3036</v>
      </c>
      <c r="E72" s="46">
        <f t="shared" si="24"/>
        <v>1518</v>
      </c>
      <c r="F72" s="47" t="str">
        <f t="shared" si="25"/>
        <v>Summer</v>
      </c>
      <c r="G72" s="48">
        <f t="shared" si="16"/>
        <v>440220</v>
      </c>
      <c r="H72" s="48">
        <f t="shared" si="17"/>
        <v>35000</v>
      </c>
      <c r="I72" s="48">
        <f t="shared" si="18"/>
        <v>30000</v>
      </c>
      <c r="J72" s="48">
        <f t="shared" si="19"/>
        <v>10000</v>
      </c>
      <c r="K72" s="52">
        <f>C72*IF('Base Scenario'!F72="Winter",SP_icecream_winter,SP_icecream)+D72*SP_choc_syrup+E72*SP_straw_syrup</f>
        <v>728640</v>
      </c>
      <c r="L72" s="48">
        <f t="shared" si="20"/>
        <v>515220</v>
      </c>
      <c r="M72" s="48">
        <f t="shared" si="21"/>
        <v>53355</v>
      </c>
      <c r="N72" s="49">
        <f t="shared" si="22"/>
        <v>160065</v>
      </c>
    </row>
    <row r="73" spans="1:14" x14ac:dyDescent="0.25">
      <c r="A73" s="46">
        <f t="shared" si="26"/>
        <v>6</v>
      </c>
      <c r="B73" s="46">
        <v>71</v>
      </c>
      <c r="C73" s="46">
        <f>MIN(ROUND('Corrected data'!C72*IF(MOD(B73,12)=3,Parameters!$D$19,1),0),2000)</f>
        <v>1526</v>
      </c>
      <c r="D73" s="46">
        <f t="shared" si="23"/>
        <v>3052</v>
      </c>
      <c r="E73" s="46">
        <f t="shared" si="24"/>
        <v>1526</v>
      </c>
      <c r="F73" s="47" t="str">
        <f t="shared" si="25"/>
        <v>Summer</v>
      </c>
      <c r="G73" s="48">
        <f t="shared" si="16"/>
        <v>442540</v>
      </c>
      <c r="H73" s="48">
        <f t="shared" si="17"/>
        <v>35000</v>
      </c>
      <c r="I73" s="48">
        <f t="shared" si="18"/>
        <v>30000</v>
      </c>
      <c r="J73" s="48">
        <f t="shared" si="19"/>
        <v>10000</v>
      </c>
      <c r="K73" s="52">
        <f>C73*IF('Base Scenario'!F73="Winter",SP_icecream_winter,SP_icecream)+D73*SP_choc_syrup+E73*SP_straw_syrup</f>
        <v>732480</v>
      </c>
      <c r="L73" s="48">
        <f t="shared" si="20"/>
        <v>517540</v>
      </c>
      <c r="M73" s="48">
        <f t="shared" si="21"/>
        <v>53735</v>
      </c>
      <c r="N73" s="49">
        <f t="shared" si="22"/>
        <v>161205</v>
      </c>
    </row>
    <row r="74" spans="1:14" x14ac:dyDescent="0.25">
      <c r="A74" s="46">
        <f t="shared" si="26"/>
        <v>6</v>
      </c>
      <c r="B74" s="46">
        <v>72</v>
      </c>
      <c r="C74" s="46">
        <f>MIN(ROUND('Corrected data'!C73*IF(MOD(B74,12)=3,Parameters!$D$19,1),0),2000)</f>
        <v>1534</v>
      </c>
      <c r="D74" s="46">
        <f t="shared" si="23"/>
        <v>3068</v>
      </c>
      <c r="E74" s="46">
        <f t="shared" si="24"/>
        <v>1534</v>
      </c>
      <c r="F74" s="47" t="str">
        <f t="shared" si="25"/>
        <v>Summer</v>
      </c>
      <c r="G74" s="48">
        <f t="shared" si="16"/>
        <v>444860</v>
      </c>
      <c r="H74" s="48">
        <f t="shared" si="17"/>
        <v>35000</v>
      </c>
      <c r="I74" s="48">
        <f t="shared" si="18"/>
        <v>30000</v>
      </c>
      <c r="J74" s="48">
        <f t="shared" si="19"/>
        <v>10000</v>
      </c>
      <c r="K74" s="52">
        <f>C74*IF('Base Scenario'!F74="Winter",SP_icecream_winter,SP_icecream)+D74*SP_choc_syrup+E74*SP_straw_syrup</f>
        <v>736320</v>
      </c>
      <c r="L74" s="48">
        <f t="shared" si="20"/>
        <v>519860</v>
      </c>
      <c r="M74" s="48">
        <f t="shared" si="21"/>
        <v>54115</v>
      </c>
      <c r="N74" s="49">
        <f t="shared" si="22"/>
        <v>162345</v>
      </c>
    </row>
    <row r="75" spans="1:14" x14ac:dyDescent="0.25">
      <c r="A75" s="46">
        <f t="shared" si="26"/>
        <v>7</v>
      </c>
      <c r="B75" s="46">
        <v>73</v>
      </c>
      <c r="C75" s="46">
        <f>MIN(ROUND('Corrected data'!C74*IF(MOD(B75,12)=3,Parameters!$D$19,1),0),2000)</f>
        <v>1249</v>
      </c>
      <c r="D75" s="46">
        <f t="shared" si="23"/>
        <v>2498</v>
      </c>
      <c r="E75" s="46">
        <f t="shared" si="24"/>
        <v>1249</v>
      </c>
      <c r="F75" s="47" t="str">
        <f t="shared" si="25"/>
        <v>Winter</v>
      </c>
      <c r="G75" s="48">
        <f t="shared" si="16"/>
        <v>362210</v>
      </c>
      <c r="H75" s="48">
        <f t="shared" si="17"/>
        <v>35000</v>
      </c>
      <c r="I75" s="48">
        <f t="shared" si="18"/>
        <v>30000</v>
      </c>
      <c r="J75" s="48">
        <f t="shared" si="19"/>
        <v>7000</v>
      </c>
      <c r="K75" s="52">
        <f>C75*IF('Base Scenario'!F75="Winter",SP_icecream_winter,SP_icecream)+D75*SP_choc_syrup+E75*SP_straw_syrup</f>
        <v>574540</v>
      </c>
      <c r="L75" s="48">
        <f t="shared" si="20"/>
        <v>434210</v>
      </c>
      <c r="M75" s="48">
        <f t="shared" si="21"/>
        <v>35082.5</v>
      </c>
      <c r="N75" s="49">
        <f t="shared" si="22"/>
        <v>105247.5</v>
      </c>
    </row>
    <row r="76" spans="1:14" x14ac:dyDescent="0.25">
      <c r="A76" s="46">
        <f t="shared" si="26"/>
        <v>7</v>
      </c>
      <c r="B76" s="46">
        <v>74</v>
      </c>
      <c r="C76" s="46">
        <f>MIN(ROUND('Corrected data'!C75*IF(MOD(B76,12)=3,Parameters!$D$19,1),0),2000)</f>
        <v>1256</v>
      </c>
      <c r="D76" s="46">
        <f t="shared" si="23"/>
        <v>2512</v>
      </c>
      <c r="E76" s="46">
        <f t="shared" si="24"/>
        <v>1256</v>
      </c>
      <c r="F76" s="47" t="str">
        <f t="shared" si="25"/>
        <v>Winter</v>
      </c>
      <c r="G76" s="48">
        <f t="shared" si="16"/>
        <v>364240</v>
      </c>
      <c r="H76" s="48">
        <f t="shared" si="17"/>
        <v>35000</v>
      </c>
      <c r="I76" s="48">
        <f t="shared" si="18"/>
        <v>30000</v>
      </c>
      <c r="J76" s="48">
        <f t="shared" si="19"/>
        <v>7000</v>
      </c>
      <c r="K76" s="52">
        <f>C76*IF('Base Scenario'!F76="Winter",SP_icecream_winter,SP_icecream)+D76*SP_choc_syrup+E76*SP_straw_syrup</f>
        <v>577760</v>
      </c>
      <c r="L76" s="48">
        <f t="shared" si="20"/>
        <v>436240</v>
      </c>
      <c r="M76" s="48">
        <f t="shared" si="21"/>
        <v>35380</v>
      </c>
      <c r="N76" s="49">
        <f t="shared" si="22"/>
        <v>106140</v>
      </c>
    </row>
    <row r="77" spans="1:14" x14ac:dyDescent="0.25">
      <c r="A77" s="46">
        <f t="shared" si="26"/>
        <v>7</v>
      </c>
      <c r="B77" s="46">
        <v>75</v>
      </c>
      <c r="C77" s="46">
        <f>MIN(ROUND('Corrected data'!C76*IF(MOD(B77,12)=3,Parameters!$D$19,1),0),2000)</f>
        <v>1516</v>
      </c>
      <c r="D77" s="46">
        <f t="shared" si="23"/>
        <v>3032</v>
      </c>
      <c r="E77" s="46">
        <f t="shared" si="24"/>
        <v>1516</v>
      </c>
      <c r="F77" s="47" t="str">
        <f t="shared" si="25"/>
        <v>Summer</v>
      </c>
      <c r="G77" s="48">
        <f t="shared" si="16"/>
        <v>439640</v>
      </c>
      <c r="H77" s="48">
        <f t="shared" si="17"/>
        <v>35000</v>
      </c>
      <c r="I77" s="48">
        <f t="shared" si="18"/>
        <v>30000</v>
      </c>
      <c r="J77" s="48">
        <f t="shared" si="19"/>
        <v>10000</v>
      </c>
      <c r="K77" s="52">
        <f>C77*IF('Base Scenario'!F77="Winter",SP_icecream_winter,SP_icecream)+D77*SP_choc_syrup+E77*SP_straw_syrup</f>
        <v>697360</v>
      </c>
      <c r="L77" s="48">
        <f t="shared" si="20"/>
        <v>514640</v>
      </c>
      <c r="M77" s="48">
        <f t="shared" si="21"/>
        <v>45680</v>
      </c>
      <c r="N77" s="49">
        <f t="shared" si="22"/>
        <v>137040</v>
      </c>
    </row>
    <row r="78" spans="1:14" x14ac:dyDescent="0.25">
      <c r="A78" s="46">
        <f t="shared" si="26"/>
        <v>7</v>
      </c>
      <c r="B78" s="46">
        <v>76</v>
      </c>
      <c r="C78" s="46">
        <f>MIN(ROUND('Corrected data'!C77*IF(MOD(B78,12)=3,Parameters!$D$19,1),0),2000)</f>
        <v>1562</v>
      </c>
      <c r="D78" s="46">
        <f t="shared" si="23"/>
        <v>3124</v>
      </c>
      <c r="E78" s="46">
        <f t="shared" si="24"/>
        <v>1562</v>
      </c>
      <c r="F78" s="47" t="str">
        <f t="shared" si="25"/>
        <v>Summer</v>
      </c>
      <c r="G78" s="48">
        <f t="shared" si="16"/>
        <v>452980</v>
      </c>
      <c r="H78" s="48">
        <f t="shared" si="17"/>
        <v>35000</v>
      </c>
      <c r="I78" s="48">
        <f t="shared" si="18"/>
        <v>30000</v>
      </c>
      <c r="J78" s="48">
        <f t="shared" si="19"/>
        <v>10000</v>
      </c>
      <c r="K78" s="52">
        <f>C78*IF('Base Scenario'!F78="Winter",SP_icecream_winter,SP_icecream)+D78*SP_choc_syrup+E78*SP_straw_syrup</f>
        <v>749760</v>
      </c>
      <c r="L78" s="48">
        <f t="shared" si="20"/>
        <v>527980</v>
      </c>
      <c r="M78" s="48">
        <f t="shared" si="21"/>
        <v>55445</v>
      </c>
      <c r="N78" s="49">
        <f t="shared" si="22"/>
        <v>166335</v>
      </c>
    </row>
    <row r="79" spans="1:14" x14ac:dyDescent="0.25">
      <c r="A79" s="46">
        <f t="shared" si="26"/>
        <v>7</v>
      </c>
      <c r="B79" s="46">
        <v>77</v>
      </c>
      <c r="C79" s="46">
        <f>MIN(ROUND('Corrected data'!C78*IF(MOD(B79,12)=3,Parameters!$D$19,1),0),2000)</f>
        <v>1570</v>
      </c>
      <c r="D79" s="46">
        <f t="shared" si="23"/>
        <v>3140</v>
      </c>
      <c r="E79" s="46">
        <f t="shared" si="24"/>
        <v>1570</v>
      </c>
      <c r="F79" s="47" t="str">
        <f t="shared" si="25"/>
        <v>Summer</v>
      </c>
      <c r="G79" s="48">
        <f t="shared" si="16"/>
        <v>455300</v>
      </c>
      <c r="H79" s="48">
        <f t="shared" si="17"/>
        <v>35000</v>
      </c>
      <c r="I79" s="48">
        <f t="shared" si="18"/>
        <v>30000</v>
      </c>
      <c r="J79" s="48">
        <f t="shared" si="19"/>
        <v>10000</v>
      </c>
      <c r="K79" s="52">
        <f>C79*IF('Base Scenario'!F79="Winter",SP_icecream_winter,SP_icecream)+D79*SP_choc_syrup+E79*SP_straw_syrup</f>
        <v>753600</v>
      </c>
      <c r="L79" s="48">
        <f t="shared" si="20"/>
        <v>530300</v>
      </c>
      <c r="M79" s="48">
        <f t="shared" si="21"/>
        <v>55825</v>
      </c>
      <c r="N79" s="49">
        <f t="shared" si="22"/>
        <v>167475</v>
      </c>
    </row>
    <row r="80" spans="1:14" x14ac:dyDescent="0.25">
      <c r="A80" s="46">
        <f t="shared" si="26"/>
        <v>7</v>
      </c>
      <c r="B80" s="46">
        <v>78</v>
      </c>
      <c r="C80" s="46">
        <f>MIN(ROUND('Corrected data'!C79*IF(MOD(B80,12)=3,Parameters!$D$19,1),0),2000)</f>
        <v>1579</v>
      </c>
      <c r="D80" s="46">
        <f t="shared" si="23"/>
        <v>3158</v>
      </c>
      <c r="E80" s="46">
        <f t="shared" si="24"/>
        <v>1579</v>
      </c>
      <c r="F80" s="47" t="str">
        <f t="shared" si="25"/>
        <v>Summer</v>
      </c>
      <c r="G80" s="48">
        <f t="shared" si="16"/>
        <v>457910</v>
      </c>
      <c r="H80" s="48">
        <f t="shared" si="17"/>
        <v>35000</v>
      </c>
      <c r="I80" s="48">
        <f t="shared" si="18"/>
        <v>30000</v>
      </c>
      <c r="J80" s="48">
        <f t="shared" si="19"/>
        <v>10000</v>
      </c>
      <c r="K80" s="52">
        <f>C80*IF('Base Scenario'!F80="Winter",SP_icecream_winter,SP_icecream)+D80*SP_choc_syrup+E80*SP_straw_syrup</f>
        <v>757920</v>
      </c>
      <c r="L80" s="48">
        <f t="shared" si="20"/>
        <v>532910</v>
      </c>
      <c r="M80" s="48">
        <f t="shared" si="21"/>
        <v>56252.5</v>
      </c>
      <c r="N80" s="49">
        <f t="shared" si="22"/>
        <v>168757.5</v>
      </c>
    </row>
    <row r="81" spans="1:14" x14ac:dyDescent="0.25">
      <c r="A81" s="46">
        <f t="shared" si="26"/>
        <v>7</v>
      </c>
      <c r="B81" s="46">
        <v>79</v>
      </c>
      <c r="C81" s="46">
        <f>MIN(ROUND('Corrected data'!C80*IF(MOD(B81,12)=3,Parameters!$D$19,1),0),2000)</f>
        <v>1588</v>
      </c>
      <c r="D81" s="46">
        <f t="shared" si="23"/>
        <v>3176</v>
      </c>
      <c r="E81" s="46">
        <f t="shared" si="24"/>
        <v>1588</v>
      </c>
      <c r="F81" s="47" t="str">
        <f t="shared" si="25"/>
        <v>Summer</v>
      </c>
      <c r="G81" s="48">
        <f t="shared" si="16"/>
        <v>460520</v>
      </c>
      <c r="H81" s="48">
        <f t="shared" si="17"/>
        <v>35000</v>
      </c>
      <c r="I81" s="48">
        <f t="shared" si="18"/>
        <v>30000</v>
      </c>
      <c r="J81" s="48">
        <f t="shared" si="19"/>
        <v>10000</v>
      </c>
      <c r="K81" s="52">
        <f>C81*IF('Base Scenario'!F81="Winter",SP_icecream_winter,SP_icecream)+D81*SP_choc_syrup+E81*SP_straw_syrup</f>
        <v>762240</v>
      </c>
      <c r="L81" s="48">
        <f t="shared" si="20"/>
        <v>535520</v>
      </c>
      <c r="M81" s="48">
        <f t="shared" si="21"/>
        <v>56680</v>
      </c>
      <c r="N81" s="49">
        <f t="shared" si="22"/>
        <v>170040</v>
      </c>
    </row>
    <row r="82" spans="1:14" x14ac:dyDescent="0.25">
      <c r="A82" s="46">
        <f t="shared" si="26"/>
        <v>7</v>
      </c>
      <c r="B82" s="46">
        <v>80</v>
      </c>
      <c r="C82" s="46">
        <f>MIN(ROUND('Corrected data'!C81*IF(MOD(B82,12)=3,Parameters!$D$19,1),0),2000)</f>
        <v>1597</v>
      </c>
      <c r="D82" s="46">
        <f t="shared" si="23"/>
        <v>3194</v>
      </c>
      <c r="E82" s="46">
        <f t="shared" si="24"/>
        <v>1597</v>
      </c>
      <c r="F82" s="47" t="str">
        <f t="shared" si="25"/>
        <v>Summer</v>
      </c>
      <c r="G82" s="48">
        <f t="shared" si="16"/>
        <v>463130</v>
      </c>
      <c r="H82" s="48">
        <f t="shared" si="17"/>
        <v>35000</v>
      </c>
      <c r="I82" s="48">
        <f t="shared" si="18"/>
        <v>30000</v>
      </c>
      <c r="J82" s="48">
        <f t="shared" si="19"/>
        <v>10000</v>
      </c>
      <c r="K82" s="52">
        <f>C82*IF('Base Scenario'!F82="Winter",SP_icecream_winter,SP_icecream)+D82*SP_choc_syrup+E82*SP_straw_syrup</f>
        <v>766560</v>
      </c>
      <c r="L82" s="48">
        <f t="shared" si="20"/>
        <v>538130</v>
      </c>
      <c r="M82" s="48">
        <f t="shared" si="21"/>
        <v>57107.5</v>
      </c>
      <c r="N82" s="49">
        <f t="shared" si="22"/>
        <v>171322.5</v>
      </c>
    </row>
    <row r="83" spans="1:14" x14ac:dyDescent="0.25">
      <c r="A83" s="46">
        <f t="shared" si="26"/>
        <v>7</v>
      </c>
      <c r="B83" s="46">
        <v>81</v>
      </c>
      <c r="C83" s="46">
        <f>MIN(ROUND('Corrected data'!C82*IF(MOD(B83,12)=3,Parameters!$D$19,1),0),2000)</f>
        <v>1606</v>
      </c>
      <c r="D83" s="46">
        <f t="shared" si="23"/>
        <v>3212</v>
      </c>
      <c r="E83" s="46">
        <f t="shared" si="24"/>
        <v>1606</v>
      </c>
      <c r="F83" s="47" t="str">
        <f t="shared" si="25"/>
        <v>Summer</v>
      </c>
      <c r="G83" s="48">
        <f t="shared" si="16"/>
        <v>465740</v>
      </c>
      <c r="H83" s="48">
        <f t="shared" si="17"/>
        <v>35000</v>
      </c>
      <c r="I83" s="48">
        <f t="shared" si="18"/>
        <v>30000</v>
      </c>
      <c r="J83" s="48">
        <f t="shared" si="19"/>
        <v>10000</v>
      </c>
      <c r="K83" s="52">
        <f>C83*IF('Base Scenario'!F83="Winter",SP_icecream_winter,SP_icecream)+D83*SP_choc_syrup+E83*SP_straw_syrup</f>
        <v>770880</v>
      </c>
      <c r="L83" s="48">
        <f t="shared" si="20"/>
        <v>540740</v>
      </c>
      <c r="M83" s="48">
        <f t="shared" si="21"/>
        <v>57535</v>
      </c>
      <c r="N83" s="49">
        <f t="shared" si="22"/>
        <v>172605</v>
      </c>
    </row>
    <row r="84" spans="1:14" x14ac:dyDescent="0.25">
      <c r="A84" s="46">
        <f t="shared" si="26"/>
        <v>7</v>
      </c>
      <c r="B84" s="46">
        <v>82</v>
      </c>
      <c r="C84" s="46">
        <f>MIN(ROUND('Corrected data'!C83*IF(MOD(B84,12)=3,Parameters!$D$19,1),0),2000)</f>
        <v>1615</v>
      </c>
      <c r="D84" s="46">
        <f t="shared" si="23"/>
        <v>3230</v>
      </c>
      <c r="E84" s="46">
        <f t="shared" si="24"/>
        <v>1615</v>
      </c>
      <c r="F84" s="47" t="str">
        <f t="shared" si="25"/>
        <v>Summer</v>
      </c>
      <c r="G84" s="48">
        <f t="shared" si="16"/>
        <v>468350</v>
      </c>
      <c r="H84" s="48">
        <f t="shared" si="17"/>
        <v>35000</v>
      </c>
      <c r="I84" s="48">
        <f t="shared" si="18"/>
        <v>30000</v>
      </c>
      <c r="J84" s="48">
        <f t="shared" si="19"/>
        <v>10000</v>
      </c>
      <c r="K84" s="52">
        <f>C84*IF('Base Scenario'!F84="Winter",SP_icecream_winter,SP_icecream)+D84*SP_choc_syrup+E84*SP_straw_syrup</f>
        <v>775200</v>
      </c>
      <c r="L84" s="48">
        <f t="shared" si="20"/>
        <v>543350</v>
      </c>
      <c r="M84" s="48">
        <f t="shared" si="21"/>
        <v>57962.5</v>
      </c>
      <c r="N84" s="49">
        <f t="shared" si="22"/>
        <v>173887.5</v>
      </c>
    </row>
    <row r="85" spans="1:14" x14ac:dyDescent="0.25">
      <c r="A85" s="46">
        <f t="shared" si="26"/>
        <v>7</v>
      </c>
      <c r="B85" s="46">
        <v>83</v>
      </c>
      <c r="C85" s="46">
        <f>MIN(ROUND('Corrected data'!C84*IF(MOD(B85,12)=3,Parameters!$D$19,1),0),2000)</f>
        <v>1624</v>
      </c>
      <c r="D85" s="46">
        <f t="shared" si="23"/>
        <v>3248</v>
      </c>
      <c r="E85" s="46">
        <f t="shared" si="24"/>
        <v>1624</v>
      </c>
      <c r="F85" s="47" t="str">
        <f t="shared" si="25"/>
        <v>Summer</v>
      </c>
      <c r="G85" s="48">
        <f t="shared" si="16"/>
        <v>470960</v>
      </c>
      <c r="H85" s="48">
        <f t="shared" si="17"/>
        <v>35000</v>
      </c>
      <c r="I85" s="48">
        <f t="shared" si="18"/>
        <v>30000</v>
      </c>
      <c r="J85" s="48">
        <f t="shared" si="19"/>
        <v>10000</v>
      </c>
      <c r="K85" s="52">
        <f>C85*IF('Base Scenario'!F85="Winter",SP_icecream_winter,SP_icecream)+D85*SP_choc_syrup+E85*SP_straw_syrup</f>
        <v>779520</v>
      </c>
      <c r="L85" s="48">
        <f t="shared" si="20"/>
        <v>545960</v>
      </c>
      <c r="M85" s="48">
        <f t="shared" si="21"/>
        <v>58390</v>
      </c>
      <c r="N85" s="49">
        <f t="shared" si="22"/>
        <v>175170</v>
      </c>
    </row>
    <row r="86" spans="1:14" x14ac:dyDescent="0.25">
      <c r="A86" s="46">
        <f t="shared" si="26"/>
        <v>7</v>
      </c>
      <c r="B86" s="46">
        <v>84</v>
      </c>
      <c r="C86" s="46">
        <f>MIN(ROUND('Corrected data'!C85*IF(MOD(B86,12)=3,Parameters!$D$19,1),0),2000)</f>
        <v>1633</v>
      </c>
      <c r="D86" s="46">
        <f t="shared" si="23"/>
        <v>3266</v>
      </c>
      <c r="E86" s="46">
        <f t="shared" si="24"/>
        <v>1633</v>
      </c>
      <c r="F86" s="47" t="str">
        <f t="shared" si="25"/>
        <v>Summer</v>
      </c>
      <c r="G86" s="48">
        <f t="shared" si="16"/>
        <v>473570</v>
      </c>
      <c r="H86" s="48">
        <f t="shared" si="17"/>
        <v>35000</v>
      </c>
      <c r="I86" s="48">
        <f t="shared" si="18"/>
        <v>30000</v>
      </c>
      <c r="J86" s="48">
        <f t="shared" si="19"/>
        <v>10000</v>
      </c>
      <c r="K86" s="52">
        <f>C86*IF('Base Scenario'!F86="Winter",SP_icecream_winter,SP_icecream)+D86*SP_choc_syrup+E86*SP_straw_syrup</f>
        <v>783840</v>
      </c>
      <c r="L86" s="48">
        <f t="shared" si="20"/>
        <v>548570</v>
      </c>
      <c r="M86" s="48">
        <f t="shared" si="21"/>
        <v>58817.5</v>
      </c>
      <c r="N86" s="49">
        <f t="shared" si="22"/>
        <v>176452.5</v>
      </c>
    </row>
    <row r="87" spans="1:14" x14ac:dyDescent="0.25">
      <c r="A87" s="46">
        <f t="shared" si="26"/>
        <v>8</v>
      </c>
      <c r="B87" s="46">
        <v>85</v>
      </c>
      <c r="C87" s="46">
        <f>MIN(ROUND('Corrected data'!C86*IF(MOD(B87,12)=3,Parameters!$D$19,1),0),2000)</f>
        <v>1332</v>
      </c>
      <c r="D87" s="46">
        <f t="shared" si="23"/>
        <v>2664</v>
      </c>
      <c r="E87" s="46">
        <f t="shared" si="24"/>
        <v>1332</v>
      </c>
      <c r="F87" s="47" t="str">
        <f t="shared" si="25"/>
        <v>Winter</v>
      </c>
      <c r="G87" s="48">
        <f t="shared" si="16"/>
        <v>386280</v>
      </c>
      <c r="H87" s="48">
        <f t="shared" si="17"/>
        <v>35000</v>
      </c>
      <c r="I87" s="48">
        <f t="shared" si="18"/>
        <v>30000</v>
      </c>
      <c r="J87" s="48">
        <f t="shared" si="19"/>
        <v>7000</v>
      </c>
      <c r="K87" s="52">
        <f>C87*IF('Base Scenario'!F87="Winter",SP_icecream_winter,SP_icecream)+D87*SP_choc_syrup+E87*SP_straw_syrup</f>
        <v>612720</v>
      </c>
      <c r="L87" s="48">
        <f t="shared" si="20"/>
        <v>458280</v>
      </c>
      <c r="M87" s="48">
        <f t="shared" si="21"/>
        <v>38610</v>
      </c>
      <c r="N87" s="49">
        <f t="shared" si="22"/>
        <v>115830</v>
      </c>
    </row>
    <row r="88" spans="1:14" x14ac:dyDescent="0.25">
      <c r="A88" s="46">
        <f t="shared" si="26"/>
        <v>8</v>
      </c>
      <c r="B88" s="46">
        <v>86</v>
      </c>
      <c r="C88" s="46">
        <f>MIN(ROUND('Corrected data'!C87*IF(MOD(B88,12)=3,Parameters!$D$19,1),0),2000)</f>
        <v>1340</v>
      </c>
      <c r="D88" s="46">
        <f t="shared" si="23"/>
        <v>2680</v>
      </c>
      <c r="E88" s="46">
        <f t="shared" si="24"/>
        <v>1340</v>
      </c>
      <c r="F88" s="47" t="str">
        <f t="shared" si="25"/>
        <v>Winter</v>
      </c>
      <c r="G88" s="48">
        <f t="shared" si="16"/>
        <v>388600</v>
      </c>
      <c r="H88" s="48">
        <f t="shared" si="17"/>
        <v>35000</v>
      </c>
      <c r="I88" s="48">
        <f t="shared" si="18"/>
        <v>30000</v>
      </c>
      <c r="J88" s="48">
        <f t="shared" si="19"/>
        <v>7000</v>
      </c>
      <c r="K88" s="52">
        <f>C88*IF('Base Scenario'!F88="Winter",SP_icecream_winter,SP_icecream)+D88*SP_choc_syrup+E88*SP_straw_syrup</f>
        <v>616400</v>
      </c>
      <c r="L88" s="48">
        <f t="shared" si="20"/>
        <v>460600</v>
      </c>
      <c r="M88" s="48">
        <f t="shared" si="21"/>
        <v>38950</v>
      </c>
      <c r="N88" s="49">
        <f t="shared" si="22"/>
        <v>116850</v>
      </c>
    </row>
    <row r="89" spans="1:14" x14ac:dyDescent="0.25">
      <c r="A89" s="46">
        <f t="shared" si="26"/>
        <v>8</v>
      </c>
      <c r="B89" s="46">
        <v>87</v>
      </c>
      <c r="C89" s="46">
        <f>MIN(ROUND('Corrected data'!C88*IF(MOD(B89,12)=3,Parameters!$D$19,1),0),2000)</f>
        <v>1618</v>
      </c>
      <c r="D89" s="46">
        <f t="shared" si="23"/>
        <v>3236</v>
      </c>
      <c r="E89" s="46">
        <f t="shared" si="24"/>
        <v>1618</v>
      </c>
      <c r="F89" s="47" t="str">
        <f t="shared" si="25"/>
        <v>Summer</v>
      </c>
      <c r="G89" s="48">
        <f t="shared" si="16"/>
        <v>469220</v>
      </c>
      <c r="H89" s="48">
        <f t="shared" si="17"/>
        <v>35000</v>
      </c>
      <c r="I89" s="48">
        <f t="shared" si="18"/>
        <v>30000</v>
      </c>
      <c r="J89" s="48">
        <f t="shared" si="19"/>
        <v>10000</v>
      </c>
      <c r="K89" s="52">
        <f>C89*IF('Base Scenario'!F89="Winter",SP_icecream_winter,SP_icecream)+D89*SP_choc_syrup+E89*SP_straw_syrup</f>
        <v>744280</v>
      </c>
      <c r="L89" s="48">
        <f t="shared" si="20"/>
        <v>544220</v>
      </c>
      <c r="M89" s="48">
        <f t="shared" si="21"/>
        <v>50015</v>
      </c>
      <c r="N89" s="49">
        <f t="shared" si="22"/>
        <v>150045</v>
      </c>
    </row>
    <row r="90" spans="1:14" x14ac:dyDescent="0.25">
      <c r="A90" s="46">
        <f t="shared" si="26"/>
        <v>8</v>
      </c>
      <c r="B90" s="46">
        <v>88</v>
      </c>
      <c r="C90" s="46">
        <f>MIN(ROUND('Corrected data'!C89*IF(MOD(B90,12)=3,Parameters!$D$19,1),0),2000)</f>
        <v>1665</v>
      </c>
      <c r="D90" s="46">
        <f t="shared" si="23"/>
        <v>3330</v>
      </c>
      <c r="E90" s="46">
        <f t="shared" si="24"/>
        <v>1665</v>
      </c>
      <c r="F90" s="47" t="str">
        <f t="shared" si="25"/>
        <v>Summer</v>
      </c>
      <c r="G90" s="48">
        <f t="shared" si="16"/>
        <v>482850</v>
      </c>
      <c r="H90" s="48">
        <f t="shared" si="17"/>
        <v>35000</v>
      </c>
      <c r="I90" s="48">
        <f t="shared" si="18"/>
        <v>30000</v>
      </c>
      <c r="J90" s="48">
        <f t="shared" si="19"/>
        <v>10000</v>
      </c>
      <c r="K90" s="52">
        <f>C90*IF('Base Scenario'!F90="Winter",SP_icecream_winter,SP_icecream)+D90*SP_choc_syrup+E90*SP_straw_syrup</f>
        <v>799200</v>
      </c>
      <c r="L90" s="48">
        <f t="shared" si="20"/>
        <v>557850</v>
      </c>
      <c r="M90" s="48">
        <f t="shared" si="21"/>
        <v>60337.5</v>
      </c>
      <c r="N90" s="49">
        <f t="shared" si="22"/>
        <v>181012.5</v>
      </c>
    </row>
    <row r="91" spans="1:14" x14ac:dyDescent="0.25">
      <c r="A91" s="46">
        <f t="shared" si="26"/>
        <v>8</v>
      </c>
      <c r="B91" s="46">
        <v>89</v>
      </c>
      <c r="C91" s="46">
        <f>MIN(ROUND('Corrected data'!C90*IF(MOD(B91,12)=3,Parameters!$D$19,1),0),2000)</f>
        <v>1675</v>
      </c>
      <c r="D91" s="46">
        <f t="shared" si="23"/>
        <v>3350</v>
      </c>
      <c r="E91" s="46">
        <f t="shared" si="24"/>
        <v>1675</v>
      </c>
      <c r="F91" s="47" t="str">
        <f t="shared" si="25"/>
        <v>Summer</v>
      </c>
      <c r="G91" s="48">
        <f t="shared" si="16"/>
        <v>485750</v>
      </c>
      <c r="H91" s="48">
        <f t="shared" si="17"/>
        <v>35000</v>
      </c>
      <c r="I91" s="48">
        <f t="shared" si="18"/>
        <v>30000</v>
      </c>
      <c r="J91" s="48">
        <f t="shared" si="19"/>
        <v>10000</v>
      </c>
      <c r="K91" s="52">
        <f>C91*IF('Base Scenario'!F91="Winter",SP_icecream_winter,SP_icecream)+D91*SP_choc_syrup+E91*SP_straw_syrup</f>
        <v>804000</v>
      </c>
      <c r="L91" s="48">
        <f t="shared" si="20"/>
        <v>560750</v>
      </c>
      <c r="M91" s="48">
        <f t="shared" si="21"/>
        <v>60812.5</v>
      </c>
      <c r="N91" s="49">
        <f t="shared" si="22"/>
        <v>182437.5</v>
      </c>
    </row>
    <row r="92" spans="1:14" x14ac:dyDescent="0.25">
      <c r="A92" s="46">
        <f t="shared" si="26"/>
        <v>8</v>
      </c>
      <c r="B92" s="46">
        <v>90</v>
      </c>
      <c r="C92" s="46">
        <f>MIN(ROUND('Corrected data'!C91*IF(MOD(B92,12)=3,Parameters!$D$19,1),0),2000)</f>
        <v>1685</v>
      </c>
      <c r="D92" s="46">
        <f t="shared" si="23"/>
        <v>3370</v>
      </c>
      <c r="E92" s="46">
        <f t="shared" si="24"/>
        <v>1685</v>
      </c>
      <c r="F92" s="47" t="str">
        <f t="shared" si="25"/>
        <v>Summer</v>
      </c>
      <c r="G92" s="48">
        <f t="shared" si="16"/>
        <v>488650</v>
      </c>
      <c r="H92" s="48">
        <f t="shared" si="17"/>
        <v>35000</v>
      </c>
      <c r="I92" s="48">
        <f t="shared" si="18"/>
        <v>30000</v>
      </c>
      <c r="J92" s="48">
        <f t="shared" si="19"/>
        <v>10000</v>
      </c>
      <c r="K92" s="52">
        <f>C92*IF('Base Scenario'!F92="Winter",SP_icecream_winter,SP_icecream)+D92*SP_choc_syrup+E92*SP_straw_syrup</f>
        <v>808800</v>
      </c>
      <c r="L92" s="48">
        <f t="shared" si="20"/>
        <v>563650</v>
      </c>
      <c r="M92" s="48">
        <f t="shared" si="21"/>
        <v>61287.5</v>
      </c>
      <c r="N92" s="49">
        <f t="shared" si="22"/>
        <v>183862.5</v>
      </c>
    </row>
    <row r="93" spans="1:14" x14ac:dyDescent="0.25">
      <c r="A93" s="46">
        <f t="shared" si="26"/>
        <v>8</v>
      </c>
      <c r="B93" s="46">
        <v>91</v>
      </c>
      <c r="C93" s="46">
        <f>MIN(ROUND('Corrected data'!C92*IF(MOD(B93,12)=3,Parameters!$D$19,1),0),2000)</f>
        <v>1695</v>
      </c>
      <c r="D93" s="46">
        <f t="shared" si="23"/>
        <v>3390</v>
      </c>
      <c r="E93" s="46">
        <f t="shared" si="24"/>
        <v>1695</v>
      </c>
      <c r="F93" s="47" t="str">
        <f t="shared" si="25"/>
        <v>Summer</v>
      </c>
      <c r="G93" s="48">
        <f t="shared" si="16"/>
        <v>491550</v>
      </c>
      <c r="H93" s="48">
        <f t="shared" si="17"/>
        <v>35000</v>
      </c>
      <c r="I93" s="48">
        <f t="shared" si="18"/>
        <v>30000</v>
      </c>
      <c r="J93" s="48">
        <f t="shared" si="19"/>
        <v>10000</v>
      </c>
      <c r="K93" s="52">
        <f>C93*IF('Base Scenario'!F93="Winter",SP_icecream_winter,SP_icecream)+D93*SP_choc_syrup+E93*SP_straw_syrup</f>
        <v>813600</v>
      </c>
      <c r="L93" s="48">
        <f t="shared" si="20"/>
        <v>566550</v>
      </c>
      <c r="M93" s="48">
        <f t="shared" si="21"/>
        <v>61762.5</v>
      </c>
      <c r="N93" s="49">
        <f t="shared" si="22"/>
        <v>185287.5</v>
      </c>
    </row>
    <row r="94" spans="1:14" x14ac:dyDescent="0.25">
      <c r="A94" s="46">
        <f t="shared" si="26"/>
        <v>8</v>
      </c>
      <c r="B94" s="46">
        <v>92</v>
      </c>
      <c r="C94" s="46">
        <f>MIN(ROUND('Corrected data'!C93*IF(MOD(B94,12)=3,Parameters!$D$19,1),0),2000)</f>
        <v>1705</v>
      </c>
      <c r="D94" s="46">
        <f t="shared" si="23"/>
        <v>3410</v>
      </c>
      <c r="E94" s="46">
        <f t="shared" si="24"/>
        <v>1705</v>
      </c>
      <c r="F94" s="47" t="str">
        <f t="shared" si="25"/>
        <v>Summer</v>
      </c>
      <c r="G94" s="48">
        <f t="shared" si="16"/>
        <v>494450</v>
      </c>
      <c r="H94" s="48">
        <f t="shared" si="17"/>
        <v>35000</v>
      </c>
      <c r="I94" s="48">
        <f t="shared" si="18"/>
        <v>30000</v>
      </c>
      <c r="J94" s="48">
        <f t="shared" si="19"/>
        <v>10000</v>
      </c>
      <c r="K94" s="52">
        <f>C94*IF('Base Scenario'!F94="Winter",SP_icecream_winter,SP_icecream)+D94*SP_choc_syrup+E94*SP_straw_syrup</f>
        <v>818400</v>
      </c>
      <c r="L94" s="48">
        <f t="shared" si="20"/>
        <v>569450</v>
      </c>
      <c r="M94" s="48">
        <f t="shared" si="21"/>
        <v>62237.5</v>
      </c>
      <c r="N94" s="49">
        <f t="shared" si="22"/>
        <v>186712.5</v>
      </c>
    </row>
    <row r="95" spans="1:14" x14ac:dyDescent="0.25">
      <c r="A95" s="46">
        <f t="shared" si="26"/>
        <v>8</v>
      </c>
      <c r="B95" s="46">
        <v>93</v>
      </c>
      <c r="C95" s="46">
        <f>MIN(ROUND('Corrected data'!C94*IF(MOD(B95,12)=3,Parameters!$D$19,1),0),2000)</f>
        <v>1715</v>
      </c>
      <c r="D95" s="46">
        <f t="shared" si="23"/>
        <v>3430</v>
      </c>
      <c r="E95" s="46">
        <f t="shared" si="24"/>
        <v>1715</v>
      </c>
      <c r="F95" s="47" t="str">
        <f t="shared" si="25"/>
        <v>Summer</v>
      </c>
      <c r="G95" s="48">
        <f t="shared" si="16"/>
        <v>497350</v>
      </c>
      <c r="H95" s="48">
        <f t="shared" si="17"/>
        <v>35000</v>
      </c>
      <c r="I95" s="48">
        <f t="shared" si="18"/>
        <v>30000</v>
      </c>
      <c r="J95" s="48">
        <f t="shared" si="19"/>
        <v>10000</v>
      </c>
      <c r="K95" s="52">
        <f>C95*IF('Base Scenario'!F95="Winter",SP_icecream_winter,SP_icecream)+D95*SP_choc_syrup+E95*SP_straw_syrup</f>
        <v>823200</v>
      </c>
      <c r="L95" s="48">
        <f t="shared" si="20"/>
        <v>572350</v>
      </c>
      <c r="M95" s="48">
        <f t="shared" si="21"/>
        <v>62712.5</v>
      </c>
      <c r="N95" s="49">
        <f t="shared" si="22"/>
        <v>188137.5</v>
      </c>
    </row>
    <row r="96" spans="1:14" x14ac:dyDescent="0.25">
      <c r="A96" s="46">
        <f t="shared" si="26"/>
        <v>8</v>
      </c>
      <c r="B96" s="46">
        <v>94</v>
      </c>
      <c r="C96" s="46">
        <f>MIN(ROUND('Corrected data'!C95*IF(MOD(B96,12)=3,Parameters!$D$19,1),0),2000)</f>
        <v>1725</v>
      </c>
      <c r="D96" s="46">
        <f t="shared" si="23"/>
        <v>3450</v>
      </c>
      <c r="E96" s="46">
        <f t="shared" si="24"/>
        <v>1725</v>
      </c>
      <c r="F96" s="47" t="str">
        <f t="shared" si="25"/>
        <v>Summer</v>
      </c>
      <c r="G96" s="48">
        <f t="shared" si="16"/>
        <v>500250</v>
      </c>
      <c r="H96" s="48">
        <f t="shared" si="17"/>
        <v>35000</v>
      </c>
      <c r="I96" s="48">
        <f t="shared" si="18"/>
        <v>30000</v>
      </c>
      <c r="J96" s="48">
        <f t="shared" si="19"/>
        <v>10000</v>
      </c>
      <c r="K96" s="52">
        <f>C96*IF('Base Scenario'!F96="Winter",SP_icecream_winter,SP_icecream)+D96*SP_choc_syrup+E96*SP_straw_syrup</f>
        <v>828000</v>
      </c>
      <c r="L96" s="48">
        <f t="shared" si="20"/>
        <v>575250</v>
      </c>
      <c r="M96" s="48">
        <f t="shared" si="21"/>
        <v>63187.5</v>
      </c>
      <c r="N96" s="49">
        <f t="shared" si="22"/>
        <v>189562.5</v>
      </c>
    </row>
    <row r="97" spans="1:14" x14ac:dyDescent="0.25">
      <c r="A97" s="46">
        <f t="shared" si="26"/>
        <v>8</v>
      </c>
      <c r="B97" s="46">
        <v>95</v>
      </c>
      <c r="C97" s="46">
        <f>MIN(ROUND('Corrected data'!C96*IF(MOD(B97,12)=3,Parameters!$D$19,1),0),2000)</f>
        <v>1735</v>
      </c>
      <c r="D97" s="46">
        <f t="shared" si="23"/>
        <v>3470</v>
      </c>
      <c r="E97" s="46">
        <f t="shared" si="24"/>
        <v>1735</v>
      </c>
      <c r="F97" s="47" t="str">
        <f t="shared" si="25"/>
        <v>Summer</v>
      </c>
      <c r="G97" s="48">
        <f t="shared" si="16"/>
        <v>503150</v>
      </c>
      <c r="H97" s="48">
        <f t="shared" si="17"/>
        <v>35000</v>
      </c>
      <c r="I97" s="48">
        <f t="shared" si="18"/>
        <v>30000</v>
      </c>
      <c r="J97" s="48">
        <f t="shared" si="19"/>
        <v>10000</v>
      </c>
      <c r="K97" s="52">
        <f>C97*IF('Base Scenario'!F97="Winter",SP_icecream_winter,SP_icecream)+D97*SP_choc_syrup+E97*SP_straw_syrup</f>
        <v>832800</v>
      </c>
      <c r="L97" s="48">
        <f t="shared" si="20"/>
        <v>578150</v>
      </c>
      <c r="M97" s="48">
        <f t="shared" si="21"/>
        <v>63662.5</v>
      </c>
      <c r="N97" s="49">
        <f t="shared" si="22"/>
        <v>190987.5</v>
      </c>
    </row>
    <row r="98" spans="1:14" x14ac:dyDescent="0.25">
      <c r="A98" s="46">
        <f t="shared" si="26"/>
        <v>8</v>
      </c>
      <c r="B98" s="46">
        <v>96</v>
      </c>
      <c r="C98" s="46">
        <f>MIN(ROUND('Corrected data'!C97*IF(MOD(B98,12)=3,Parameters!$D$19,1),0),2000)</f>
        <v>1745</v>
      </c>
      <c r="D98" s="46">
        <f t="shared" si="23"/>
        <v>3490</v>
      </c>
      <c r="E98" s="46">
        <f t="shared" si="24"/>
        <v>1745</v>
      </c>
      <c r="F98" s="47" t="str">
        <f t="shared" si="25"/>
        <v>Summer</v>
      </c>
      <c r="G98" s="48">
        <f t="shared" si="16"/>
        <v>506050</v>
      </c>
      <c r="H98" s="48">
        <f t="shared" si="17"/>
        <v>35000</v>
      </c>
      <c r="I98" s="48">
        <f t="shared" si="18"/>
        <v>30000</v>
      </c>
      <c r="J98" s="48">
        <f t="shared" si="19"/>
        <v>10000</v>
      </c>
      <c r="K98" s="52">
        <f>C98*IF('Base Scenario'!F98="Winter",SP_icecream_winter,SP_icecream)+D98*SP_choc_syrup+E98*SP_straw_syrup</f>
        <v>837600</v>
      </c>
      <c r="L98" s="48">
        <f t="shared" si="20"/>
        <v>581050</v>
      </c>
      <c r="M98" s="48">
        <f t="shared" si="21"/>
        <v>64137.5</v>
      </c>
      <c r="N98" s="49">
        <f t="shared" si="22"/>
        <v>192412.5</v>
      </c>
    </row>
    <row r="99" spans="1:14" x14ac:dyDescent="0.25">
      <c r="A99" s="46">
        <f t="shared" si="26"/>
        <v>9</v>
      </c>
      <c r="B99" s="46">
        <v>97</v>
      </c>
      <c r="C99" s="46">
        <f>MIN(ROUND('Corrected data'!C98*IF(MOD(B99,12)=3,Parameters!$D$19,1),0),2000)</f>
        <v>1428</v>
      </c>
      <c r="D99" s="46">
        <f t="shared" si="23"/>
        <v>2856</v>
      </c>
      <c r="E99" s="46">
        <f t="shared" si="24"/>
        <v>1428</v>
      </c>
      <c r="F99" s="47" t="str">
        <f t="shared" si="25"/>
        <v>Winter</v>
      </c>
      <c r="G99" s="48">
        <f t="shared" ref="G99:G122" si="27">C99*Cost_Icecream+D99*cost_choc_syrup+E99*cost_straw_syrup</f>
        <v>414120</v>
      </c>
      <c r="H99" s="48">
        <f t="shared" si="17"/>
        <v>35000</v>
      </c>
      <c r="I99" s="48">
        <f t="shared" si="18"/>
        <v>30000</v>
      </c>
      <c r="J99" s="48">
        <f t="shared" si="19"/>
        <v>7000</v>
      </c>
      <c r="K99" s="52">
        <f>C99*IF('Base Scenario'!F99="Winter",SP_icecream_winter,SP_icecream)+D99*SP_choc_syrup+E99*SP_straw_syrup</f>
        <v>656880</v>
      </c>
      <c r="L99" s="48">
        <f t="shared" ref="L99:L122" si="28">SUM(G99:J99)</f>
        <v>486120</v>
      </c>
      <c r="M99" s="48">
        <f t="shared" si="21"/>
        <v>42690</v>
      </c>
      <c r="N99" s="49">
        <f t="shared" ref="N99:N122" si="29">K99-L99-M99</f>
        <v>128070</v>
      </c>
    </row>
    <row r="100" spans="1:14" x14ac:dyDescent="0.25">
      <c r="A100" s="46">
        <f t="shared" si="26"/>
        <v>9</v>
      </c>
      <c r="B100" s="46">
        <v>98</v>
      </c>
      <c r="C100" s="46">
        <f>MIN(ROUND('Corrected data'!C99*IF(MOD(B100,12)=3,Parameters!$D$19,1),0),2000)</f>
        <v>1437</v>
      </c>
      <c r="D100" s="46">
        <f t="shared" si="23"/>
        <v>2874</v>
      </c>
      <c r="E100" s="46">
        <f t="shared" si="24"/>
        <v>1437</v>
      </c>
      <c r="F100" s="47" t="str">
        <f t="shared" si="25"/>
        <v>Winter</v>
      </c>
      <c r="G100" s="48">
        <f t="shared" si="27"/>
        <v>416730</v>
      </c>
      <c r="H100" s="48">
        <f t="shared" si="17"/>
        <v>35000</v>
      </c>
      <c r="I100" s="48">
        <f t="shared" si="18"/>
        <v>30000</v>
      </c>
      <c r="J100" s="48">
        <f t="shared" si="19"/>
        <v>7000</v>
      </c>
      <c r="K100" s="52">
        <f>C100*IF('Base Scenario'!F100="Winter",SP_icecream_winter,SP_icecream)+D100*SP_choc_syrup+E100*SP_straw_syrup</f>
        <v>661020</v>
      </c>
      <c r="L100" s="48">
        <f t="shared" si="28"/>
        <v>488730</v>
      </c>
      <c r="M100" s="48">
        <f t="shared" si="21"/>
        <v>43072.5</v>
      </c>
      <c r="N100" s="49">
        <f t="shared" si="29"/>
        <v>129217.5</v>
      </c>
    </row>
    <row r="101" spans="1:14" x14ac:dyDescent="0.25">
      <c r="A101" s="46">
        <f t="shared" si="26"/>
        <v>9</v>
      </c>
      <c r="B101" s="46">
        <v>99</v>
      </c>
      <c r="C101" s="46">
        <f>MIN(ROUND('Corrected data'!C100*IF(MOD(B101,12)=3,Parameters!$D$19,1),0),2000)</f>
        <v>1735</v>
      </c>
      <c r="D101" s="46">
        <f t="shared" si="23"/>
        <v>3470</v>
      </c>
      <c r="E101" s="46">
        <f t="shared" si="24"/>
        <v>1735</v>
      </c>
      <c r="F101" s="47" t="str">
        <f t="shared" si="25"/>
        <v>Summer</v>
      </c>
      <c r="G101" s="48">
        <f t="shared" si="27"/>
        <v>503150</v>
      </c>
      <c r="H101" s="48">
        <f t="shared" si="17"/>
        <v>35000</v>
      </c>
      <c r="I101" s="48">
        <f t="shared" si="18"/>
        <v>30000</v>
      </c>
      <c r="J101" s="48">
        <f t="shared" si="19"/>
        <v>10000</v>
      </c>
      <c r="K101" s="52">
        <f>C101*IF('Base Scenario'!F101="Winter",SP_icecream_winter,SP_icecream)+D101*SP_choc_syrup+E101*SP_straw_syrup</f>
        <v>798100</v>
      </c>
      <c r="L101" s="48">
        <f t="shared" si="28"/>
        <v>578150</v>
      </c>
      <c r="M101" s="48">
        <f t="shared" si="21"/>
        <v>54987.5</v>
      </c>
      <c r="N101" s="49">
        <f t="shared" si="29"/>
        <v>164962.5</v>
      </c>
    </row>
    <row r="102" spans="1:14" x14ac:dyDescent="0.25">
      <c r="A102" s="46">
        <f t="shared" si="26"/>
        <v>9</v>
      </c>
      <c r="B102" s="46">
        <v>100</v>
      </c>
      <c r="C102" s="46">
        <f>MIN(ROUND('Corrected data'!C101*IF(MOD(B102,12)=3,Parameters!$D$19,1),0),2000)</f>
        <v>1785</v>
      </c>
      <c r="D102" s="46">
        <f t="shared" si="23"/>
        <v>3570</v>
      </c>
      <c r="E102" s="46">
        <f t="shared" si="24"/>
        <v>1785</v>
      </c>
      <c r="F102" s="47" t="str">
        <f t="shared" si="25"/>
        <v>Summer</v>
      </c>
      <c r="G102" s="48">
        <f t="shared" si="27"/>
        <v>517650</v>
      </c>
      <c r="H102" s="48">
        <f t="shared" si="17"/>
        <v>35000</v>
      </c>
      <c r="I102" s="48">
        <f t="shared" si="18"/>
        <v>30000</v>
      </c>
      <c r="J102" s="48">
        <f t="shared" si="19"/>
        <v>10000</v>
      </c>
      <c r="K102" s="52">
        <f>C102*IF('Base Scenario'!F102="Winter",SP_icecream_winter,SP_icecream)+D102*SP_choc_syrup+E102*SP_straw_syrup</f>
        <v>856800</v>
      </c>
      <c r="L102" s="48">
        <f t="shared" si="28"/>
        <v>592650</v>
      </c>
      <c r="M102" s="48">
        <f t="shared" si="21"/>
        <v>66037.5</v>
      </c>
      <c r="N102" s="49">
        <f t="shared" si="29"/>
        <v>198112.5</v>
      </c>
    </row>
    <row r="103" spans="1:14" x14ac:dyDescent="0.25">
      <c r="A103" s="46">
        <f t="shared" si="26"/>
        <v>9</v>
      </c>
      <c r="B103" s="46">
        <v>101</v>
      </c>
      <c r="C103" s="46">
        <f>MIN(ROUND('Corrected data'!C102*IF(MOD(B103,12)=3,Parameters!$D$19,1),0),2000)</f>
        <v>1796</v>
      </c>
      <c r="D103" s="46">
        <f t="shared" si="23"/>
        <v>3592</v>
      </c>
      <c r="E103" s="46">
        <f t="shared" si="24"/>
        <v>1796</v>
      </c>
      <c r="F103" s="47" t="str">
        <f t="shared" si="25"/>
        <v>Summer</v>
      </c>
      <c r="G103" s="48">
        <f t="shared" si="27"/>
        <v>520840</v>
      </c>
      <c r="H103" s="48">
        <f t="shared" si="17"/>
        <v>35000</v>
      </c>
      <c r="I103" s="48">
        <f t="shared" si="18"/>
        <v>30000</v>
      </c>
      <c r="J103" s="48">
        <f t="shared" si="19"/>
        <v>10000</v>
      </c>
      <c r="K103" s="52">
        <f>C103*IF('Base Scenario'!F103="Winter",SP_icecream_winter,SP_icecream)+D103*SP_choc_syrup+E103*SP_straw_syrup</f>
        <v>862080</v>
      </c>
      <c r="L103" s="48">
        <f t="shared" si="28"/>
        <v>595840</v>
      </c>
      <c r="M103" s="48">
        <f t="shared" si="21"/>
        <v>66560</v>
      </c>
      <c r="N103" s="49">
        <f t="shared" si="29"/>
        <v>199680</v>
      </c>
    </row>
    <row r="104" spans="1:14" x14ac:dyDescent="0.25">
      <c r="A104" s="46">
        <f t="shared" si="26"/>
        <v>9</v>
      </c>
      <c r="B104" s="46">
        <v>102</v>
      </c>
      <c r="C104" s="46">
        <f>MIN(ROUND('Corrected data'!C103*IF(MOD(B104,12)=3,Parameters!$D$19,1),0),2000)</f>
        <v>1808</v>
      </c>
      <c r="D104" s="46">
        <f t="shared" si="23"/>
        <v>3616</v>
      </c>
      <c r="E104" s="46">
        <f t="shared" si="24"/>
        <v>1808</v>
      </c>
      <c r="F104" s="47" t="str">
        <f t="shared" si="25"/>
        <v>Summer</v>
      </c>
      <c r="G104" s="48">
        <f t="shared" si="27"/>
        <v>524320</v>
      </c>
      <c r="H104" s="48">
        <f t="shared" si="17"/>
        <v>35000</v>
      </c>
      <c r="I104" s="48">
        <f t="shared" si="18"/>
        <v>30000</v>
      </c>
      <c r="J104" s="48">
        <f t="shared" si="19"/>
        <v>10000</v>
      </c>
      <c r="K104" s="52">
        <f>C104*IF('Base Scenario'!F104="Winter",SP_icecream_winter,SP_icecream)+D104*SP_choc_syrup+E104*SP_straw_syrup</f>
        <v>867840</v>
      </c>
      <c r="L104" s="48">
        <f t="shared" si="28"/>
        <v>599320</v>
      </c>
      <c r="M104" s="48">
        <f t="shared" si="21"/>
        <v>67130</v>
      </c>
      <c r="N104" s="49">
        <f t="shared" si="29"/>
        <v>201390</v>
      </c>
    </row>
    <row r="105" spans="1:14" x14ac:dyDescent="0.25">
      <c r="A105" s="46">
        <f t="shared" si="26"/>
        <v>9</v>
      </c>
      <c r="B105" s="46">
        <v>103</v>
      </c>
      <c r="C105" s="46">
        <f>MIN(ROUND('Corrected data'!C104*IF(MOD(B105,12)=3,Parameters!$D$19,1),0),2000)</f>
        <v>1820</v>
      </c>
      <c r="D105" s="46">
        <f t="shared" si="23"/>
        <v>3640</v>
      </c>
      <c r="E105" s="46">
        <f t="shared" si="24"/>
        <v>1820</v>
      </c>
      <c r="F105" s="47" t="str">
        <f t="shared" si="25"/>
        <v>Summer</v>
      </c>
      <c r="G105" s="48">
        <f t="shared" si="27"/>
        <v>527800</v>
      </c>
      <c r="H105" s="48">
        <f t="shared" si="17"/>
        <v>35000</v>
      </c>
      <c r="I105" s="48">
        <f t="shared" si="18"/>
        <v>30000</v>
      </c>
      <c r="J105" s="48">
        <f t="shared" si="19"/>
        <v>10000</v>
      </c>
      <c r="K105" s="52">
        <f>C105*IF('Base Scenario'!F105="Winter",SP_icecream_winter,SP_icecream)+D105*SP_choc_syrup+E105*SP_straw_syrup</f>
        <v>873600</v>
      </c>
      <c r="L105" s="48">
        <f t="shared" si="28"/>
        <v>602800</v>
      </c>
      <c r="M105" s="48">
        <f t="shared" si="21"/>
        <v>67700</v>
      </c>
      <c r="N105" s="49">
        <f t="shared" si="29"/>
        <v>203100</v>
      </c>
    </row>
    <row r="106" spans="1:14" x14ac:dyDescent="0.25">
      <c r="A106" s="46">
        <f t="shared" si="26"/>
        <v>9</v>
      </c>
      <c r="B106" s="46">
        <v>104</v>
      </c>
      <c r="C106" s="46">
        <f>MIN(ROUND('Corrected data'!C105*IF(MOD(B106,12)=3,Parameters!$D$19,1),0),2000)</f>
        <v>1832</v>
      </c>
      <c r="D106" s="46">
        <f t="shared" si="23"/>
        <v>3664</v>
      </c>
      <c r="E106" s="46">
        <f t="shared" si="24"/>
        <v>1832</v>
      </c>
      <c r="F106" s="47" t="str">
        <f t="shared" si="25"/>
        <v>Summer</v>
      </c>
      <c r="G106" s="48">
        <f t="shared" si="27"/>
        <v>531280</v>
      </c>
      <c r="H106" s="48">
        <f t="shared" si="17"/>
        <v>35000</v>
      </c>
      <c r="I106" s="48">
        <f t="shared" si="18"/>
        <v>30000</v>
      </c>
      <c r="J106" s="48">
        <f t="shared" si="19"/>
        <v>10000</v>
      </c>
      <c r="K106" s="52">
        <f>C106*IF('Base Scenario'!F106="Winter",SP_icecream_winter,SP_icecream)+D106*SP_choc_syrup+E106*SP_straw_syrup</f>
        <v>879360</v>
      </c>
      <c r="L106" s="48">
        <f t="shared" si="28"/>
        <v>606280</v>
      </c>
      <c r="M106" s="48">
        <f t="shared" si="21"/>
        <v>68270</v>
      </c>
      <c r="N106" s="49">
        <f t="shared" si="29"/>
        <v>204810</v>
      </c>
    </row>
    <row r="107" spans="1:14" x14ac:dyDescent="0.25">
      <c r="A107" s="46">
        <f t="shared" si="26"/>
        <v>9</v>
      </c>
      <c r="B107" s="46">
        <v>105</v>
      </c>
      <c r="C107" s="46">
        <f>MIN(ROUND('Corrected data'!C106*IF(MOD(B107,12)=3,Parameters!$D$19,1),0),2000)</f>
        <v>1844</v>
      </c>
      <c r="D107" s="46">
        <f t="shared" si="23"/>
        <v>3688</v>
      </c>
      <c r="E107" s="46">
        <f t="shared" si="24"/>
        <v>1844</v>
      </c>
      <c r="F107" s="47" t="str">
        <f t="shared" si="25"/>
        <v>Summer</v>
      </c>
      <c r="G107" s="48">
        <f t="shared" si="27"/>
        <v>534760</v>
      </c>
      <c r="H107" s="48">
        <f t="shared" si="17"/>
        <v>35000</v>
      </c>
      <c r="I107" s="48">
        <f t="shared" si="18"/>
        <v>30000</v>
      </c>
      <c r="J107" s="48">
        <f t="shared" si="19"/>
        <v>10000</v>
      </c>
      <c r="K107" s="52">
        <f>C107*IF('Base Scenario'!F107="Winter",SP_icecream_winter,SP_icecream)+D107*SP_choc_syrup+E107*SP_straw_syrup</f>
        <v>885120</v>
      </c>
      <c r="L107" s="48">
        <f t="shared" si="28"/>
        <v>609760</v>
      </c>
      <c r="M107" s="48">
        <f t="shared" si="21"/>
        <v>68840</v>
      </c>
      <c r="N107" s="49">
        <f t="shared" si="29"/>
        <v>206520</v>
      </c>
    </row>
    <row r="108" spans="1:14" x14ac:dyDescent="0.25">
      <c r="A108" s="46">
        <f t="shared" si="26"/>
        <v>9</v>
      </c>
      <c r="B108" s="46">
        <v>106</v>
      </c>
      <c r="C108" s="46">
        <f>MIN(ROUND('Corrected data'!C107*IF(MOD(B108,12)=3,Parameters!$D$19,1),0),2000)</f>
        <v>1856</v>
      </c>
      <c r="D108" s="46">
        <f t="shared" si="23"/>
        <v>3712</v>
      </c>
      <c r="E108" s="46">
        <f t="shared" si="24"/>
        <v>1856</v>
      </c>
      <c r="F108" s="47" t="str">
        <f t="shared" si="25"/>
        <v>Summer</v>
      </c>
      <c r="G108" s="48">
        <f t="shared" si="27"/>
        <v>538240</v>
      </c>
      <c r="H108" s="48">
        <f t="shared" si="17"/>
        <v>35000</v>
      </c>
      <c r="I108" s="48">
        <f t="shared" si="18"/>
        <v>30000</v>
      </c>
      <c r="J108" s="48">
        <f t="shared" si="19"/>
        <v>10000</v>
      </c>
      <c r="K108" s="52">
        <f>C108*IF('Base Scenario'!F108="Winter",SP_icecream_winter,SP_icecream)+D108*SP_choc_syrup+E108*SP_straw_syrup</f>
        <v>890880</v>
      </c>
      <c r="L108" s="48">
        <f t="shared" si="28"/>
        <v>613240</v>
      </c>
      <c r="M108" s="48">
        <f t="shared" si="21"/>
        <v>69410</v>
      </c>
      <c r="N108" s="49">
        <f t="shared" si="29"/>
        <v>208230</v>
      </c>
    </row>
    <row r="109" spans="1:14" x14ac:dyDescent="0.25">
      <c r="A109" s="46">
        <f t="shared" si="26"/>
        <v>9</v>
      </c>
      <c r="B109" s="46">
        <v>107</v>
      </c>
      <c r="C109" s="46">
        <f>MIN(ROUND('Corrected data'!C108*IF(MOD(B109,12)=3,Parameters!$D$19,1),0),2000)</f>
        <v>1868</v>
      </c>
      <c r="D109" s="46">
        <f t="shared" si="23"/>
        <v>3736</v>
      </c>
      <c r="E109" s="46">
        <f t="shared" si="24"/>
        <v>1868</v>
      </c>
      <c r="F109" s="47" t="str">
        <f t="shared" si="25"/>
        <v>Summer</v>
      </c>
      <c r="G109" s="48">
        <f t="shared" si="27"/>
        <v>541720</v>
      </c>
      <c r="H109" s="48">
        <f t="shared" si="17"/>
        <v>35000</v>
      </c>
      <c r="I109" s="48">
        <f t="shared" si="18"/>
        <v>30000</v>
      </c>
      <c r="J109" s="48">
        <f t="shared" si="19"/>
        <v>10000</v>
      </c>
      <c r="K109" s="52">
        <f>C109*IF('Base Scenario'!F109="Winter",SP_icecream_winter,SP_icecream)+D109*SP_choc_syrup+E109*SP_straw_syrup</f>
        <v>896640</v>
      </c>
      <c r="L109" s="48">
        <f t="shared" si="28"/>
        <v>616720</v>
      </c>
      <c r="M109" s="48">
        <f t="shared" si="21"/>
        <v>69980</v>
      </c>
      <c r="N109" s="49">
        <f t="shared" si="29"/>
        <v>209940</v>
      </c>
    </row>
    <row r="110" spans="1:14" x14ac:dyDescent="0.25">
      <c r="A110" s="46">
        <f t="shared" si="26"/>
        <v>9</v>
      </c>
      <c r="B110" s="46">
        <v>108</v>
      </c>
      <c r="C110" s="46">
        <f>MIN(ROUND('Corrected data'!C109*IF(MOD(B110,12)=3,Parameters!$D$19,1),0),2000)</f>
        <v>1880</v>
      </c>
      <c r="D110" s="46">
        <f t="shared" si="23"/>
        <v>3760</v>
      </c>
      <c r="E110" s="46">
        <f t="shared" si="24"/>
        <v>1880</v>
      </c>
      <c r="F110" s="47" t="str">
        <f t="shared" si="25"/>
        <v>Summer</v>
      </c>
      <c r="G110" s="48">
        <f t="shared" si="27"/>
        <v>545200</v>
      </c>
      <c r="H110" s="48">
        <f t="shared" si="17"/>
        <v>35000</v>
      </c>
      <c r="I110" s="48">
        <f t="shared" si="18"/>
        <v>30000</v>
      </c>
      <c r="J110" s="48">
        <f t="shared" si="19"/>
        <v>10000</v>
      </c>
      <c r="K110" s="52">
        <f>C110*IF('Base Scenario'!F110="Winter",SP_icecream_winter,SP_icecream)+D110*SP_choc_syrup+E110*SP_straw_syrup</f>
        <v>902400</v>
      </c>
      <c r="L110" s="48">
        <f t="shared" si="28"/>
        <v>620200</v>
      </c>
      <c r="M110" s="48">
        <f t="shared" si="21"/>
        <v>70550</v>
      </c>
      <c r="N110" s="49">
        <f t="shared" si="29"/>
        <v>211650</v>
      </c>
    </row>
    <row r="111" spans="1:14" x14ac:dyDescent="0.25">
      <c r="A111" s="46">
        <f t="shared" si="26"/>
        <v>10</v>
      </c>
      <c r="B111" s="46">
        <v>109</v>
      </c>
      <c r="C111" s="46">
        <f>MIN(ROUND('Corrected data'!C110*IF(MOD(B111,12)=3,Parameters!$D$19,1),0),2000)</f>
        <v>1539</v>
      </c>
      <c r="D111" s="46">
        <f t="shared" si="23"/>
        <v>3078</v>
      </c>
      <c r="E111" s="46">
        <f t="shared" si="24"/>
        <v>1539</v>
      </c>
      <c r="F111" s="47" t="str">
        <f t="shared" si="25"/>
        <v>Winter</v>
      </c>
      <c r="G111" s="48">
        <f t="shared" si="27"/>
        <v>446310</v>
      </c>
      <c r="H111" s="48">
        <f t="shared" si="17"/>
        <v>35000</v>
      </c>
      <c r="I111" s="48">
        <f t="shared" si="18"/>
        <v>30000</v>
      </c>
      <c r="J111" s="48">
        <f t="shared" si="19"/>
        <v>7000</v>
      </c>
      <c r="K111" s="52">
        <f>C111*IF('Base Scenario'!F111="Winter",SP_icecream_winter,SP_icecream)+D111*SP_choc_syrup+E111*SP_straw_syrup</f>
        <v>707940</v>
      </c>
      <c r="L111" s="48">
        <f t="shared" si="28"/>
        <v>518310</v>
      </c>
      <c r="M111" s="48">
        <f t="shared" si="21"/>
        <v>47407.5</v>
      </c>
      <c r="N111" s="49">
        <f t="shared" si="29"/>
        <v>142222.5</v>
      </c>
    </row>
    <row r="112" spans="1:14" x14ac:dyDescent="0.25">
      <c r="A112" s="46">
        <f t="shared" si="26"/>
        <v>10</v>
      </c>
      <c r="B112" s="46">
        <v>110</v>
      </c>
      <c r="C112" s="46">
        <f>MIN(ROUND('Corrected data'!C111*IF(MOD(B112,12)=3,Parameters!$D$19,1),0),2000)</f>
        <v>1550</v>
      </c>
      <c r="D112" s="46">
        <f t="shared" si="23"/>
        <v>3100</v>
      </c>
      <c r="E112" s="46">
        <f t="shared" si="24"/>
        <v>1550</v>
      </c>
      <c r="F112" s="47" t="str">
        <f t="shared" si="25"/>
        <v>Winter</v>
      </c>
      <c r="G112" s="48">
        <f t="shared" si="27"/>
        <v>449500</v>
      </c>
      <c r="H112" s="48">
        <f t="shared" si="17"/>
        <v>35000</v>
      </c>
      <c r="I112" s="48">
        <f t="shared" si="18"/>
        <v>30000</v>
      </c>
      <c r="J112" s="48">
        <f t="shared" si="19"/>
        <v>7000</v>
      </c>
      <c r="K112" s="52">
        <f>C112*IF('Base Scenario'!F112="Winter",SP_icecream_winter,SP_icecream)+D112*SP_choc_syrup+E112*SP_straw_syrup</f>
        <v>713000</v>
      </c>
      <c r="L112" s="48">
        <f t="shared" si="28"/>
        <v>521500</v>
      </c>
      <c r="M112" s="48">
        <f t="shared" si="21"/>
        <v>47875</v>
      </c>
      <c r="N112" s="49">
        <f t="shared" si="29"/>
        <v>143625</v>
      </c>
    </row>
    <row r="113" spans="1:14" x14ac:dyDescent="0.25">
      <c r="A113" s="46">
        <f t="shared" si="26"/>
        <v>10</v>
      </c>
      <c r="B113" s="46">
        <v>111</v>
      </c>
      <c r="C113" s="46">
        <f>MIN(ROUND('Corrected data'!C112*IF(MOD(B113,12)=3,Parameters!$D$19,1),0),2000)</f>
        <v>1873</v>
      </c>
      <c r="D113" s="46">
        <f t="shared" si="23"/>
        <v>3746</v>
      </c>
      <c r="E113" s="46">
        <f t="shared" si="24"/>
        <v>1873</v>
      </c>
      <c r="F113" s="47" t="str">
        <f t="shared" si="25"/>
        <v>Summer</v>
      </c>
      <c r="G113" s="48">
        <f t="shared" si="27"/>
        <v>543170</v>
      </c>
      <c r="H113" s="48">
        <f t="shared" si="17"/>
        <v>35000</v>
      </c>
      <c r="I113" s="48">
        <f t="shared" si="18"/>
        <v>30000</v>
      </c>
      <c r="J113" s="48">
        <f t="shared" si="19"/>
        <v>10000</v>
      </c>
      <c r="K113" s="52">
        <f>C113*IF('Base Scenario'!F113="Winter",SP_icecream_winter,SP_icecream)+D113*SP_choc_syrup+E113*SP_straw_syrup</f>
        <v>861580</v>
      </c>
      <c r="L113" s="48">
        <f t="shared" si="28"/>
        <v>618170</v>
      </c>
      <c r="M113" s="48">
        <f t="shared" si="21"/>
        <v>60852.5</v>
      </c>
      <c r="N113" s="49">
        <f t="shared" si="29"/>
        <v>182557.5</v>
      </c>
    </row>
    <row r="114" spans="1:14" x14ac:dyDescent="0.25">
      <c r="A114" s="46">
        <f t="shared" si="26"/>
        <v>10</v>
      </c>
      <c r="B114" s="46">
        <v>112</v>
      </c>
      <c r="C114" s="46">
        <f>MIN(ROUND('Corrected data'!C113*IF(MOD(B114,12)=3,Parameters!$D$19,1),0),2000)</f>
        <v>1924</v>
      </c>
      <c r="D114" s="46">
        <f t="shared" si="23"/>
        <v>3848</v>
      </c>
      <c r="E114" s="46">
        <f t="shared" si="24"/>
        <v>1924</v>
      </c>
      <c r="F114" s="47" t="str">
        <f t="shared" si="25"/>
        <v>Summer</v>
      </c>
      <c r="G114" s="48">
        <f t="shared" si="27"/>
        <v>557960</v>
      </c>
      <c r="H114" s="48">
        <f t="shared" si="17"/>
        <v>35000</v>
      </c>
      <c r="I114" s="48">
        <f t="shared" si="18"/>
        <v>30000</v>
      </c>
      <c r="J114" s="48">
        <f t="shared" si="19"/>
        <v>10000</v>
      </c>
      <c r="K114" s="52">
        <f>C114*IF('Base Scenario'!F114="Winter",SP_icecream_winter,SP_icecream)+D114*SP_choc_syrup+E114*SP_straw_syrup</f>
        <v>923520</v>
      </c>
      <c r="L114" s="48">
        <f t="shared" si="28"/>
        <v>632960</v>
      </c>
      <c r="M114" s="48">
        <f t="shared" si="21"/>
        <v>72640</v>
      </c>
      <c r="N114" s="49">
        <f t="shared" si="29"/>
        <v>217920</v>
      </c>
    </row>
    <row r="115" spans="1:14" x14ac:dyDescent="0.25">
      <c r="A115" s="46">
        <f t="shared" si="26"/>
        <v>10</v>
      </c>
      <c r="B115" s="46">
        <v>113</v>
      </c>
      <c r="C115" s="46">
        <f>MIN(ROUND('Corrected data'!C114*IF(MOD(B115,12)=3,Parameters!$D$19,1),0),2000)</f>
        <v>1937</v>
      </c>
      <c r="D115" s="46">
        <f t="shared" si="23"/>
        <v>3874</v>
      </c>
      <c r="E115" s="46">
        <f t="shared" si="24"/>
        <v>1937</v>
      </c>
      <c r="F115" s="47" t="str">
        <f t="shared" si="25"/>
        <v>Summer</v>
      </c>
      <c r="G115" s="48">
        <f t="shared" si="27"/>
        <v>561730</v>
      </c>
      <c r="H115" s="48">
        <f t="shared" si="17"/>
        <v>35000</v>
      </c>
      <c r="I115" s="48">
        <f t="shared" si="18"/>
        <v>30000</v>
      </c>
      <c r="J115" s="48">
        <f t="shared" si="19"/>
        <v>10000</v>
      </c>
      <c r="K115" s="52">
        <f>C115*IF('Base Scenario'!F115="Winter",SP_icecream_winter,SP_icecream)+D115*SP_choc_syrup+E115*SP_straw_syrup</f>
        <v>929760</v>
      </c>
      <c r="L115" s="48">
        <f t="shared" si="28"/>
        <v>636730</v>
      </c>
      <c r="M115" s="48">
        <f t="shared" si="21"/>
        <v>73257.5</v>
      </c>
      <c r="N115" s="49">
        <f t="shared" si="29"/>
        <v>219772.5</v>
      </c>
    </row>
    <row r="116" spans="1:14" x14ac:dyDescent="0.25">
      <c r="A116" s="46">
        <f t="shared" si="26"/>
        <v>10</v>
      </c>
      <c r="B116" s="46">
        <v>114</v>
      </c>
      <c r="C116" s="46">
        <f>MIN(ROUND('Corrected data'!C115*IF(MOD(B116,12)=3,Parameters!$D$19,1),0),2000)</f>
        <v>1951</v>
      </c>
      <c r="D116" s="46">
        <f t="shared" si="23"/>
        <v>3902</v>
      </c>
      <c r="E116" s="46">
        <f t="shared" si="24"/>
        <v>1951</v>
      </c>
      <c r="F116" s="47" t="str">
        <f t="shared" si="25"/>
        <v>Summer</v>
      </c>
      <c r="G116" s="48">
        <f t="shared" si="27"/>
        <v>565790</v>
      </c>
      <c r="H116" s="48">
        <f t="shared" si="17"/>
        <v>35000</v>
      </c>
      <c r="I116" s="48">
        <f t="shared" si="18"/>
        <v>30000</v>
      </c>
      <c r="J116" s="48">
        <f t="shared" si="19"/>
        <v>10000</v>
      </c>
      <c r="K116" s="52">
        <f>C116*IF('Base Scenario'!F116="Winter",SP_icecream_winter,SP_icecream)+D116*SP_choc_syrup+E116*SP_straw_syrup</f>
        <v>936480</v>
      </c>
      <c r="L116" s="48">
        <f t="shared" si="28"/>
        <v>640790</v>
      </c>
      <c r="M116" s="48">
        <f t="shared" si="21"/>
        <v>73922.5</v>
      </c>
      <c r="N116" s="49">
        <f t="shared" si="29"/>
        <v>221767.5</v>
      </c>
    </row>
    <row r="117" spans="1:14" x14ac:dyDescent="0.25">
      <c r="A117" s="46">
        <f t="shared" si="26"/>
        <v>10</v>
      </c>
      <c r="B117" s="46">
        <v>115</v>
      </c>
      <c r="C117" s="46">
        <f>MIN(ROUND('Corrected data'!C116*IF(MOD(B117,12)=3,Parameters!$D$19,1),0),2000)</f>
        <v>1965</v>
      </c>
      <c r="D117" s="46">
        <f t="shared" si="23"/>
        <v>3930</v>
      </c>
      <c r="E117" s="46">
        <f t="shared" si="24"/>
        <v>1965</v>
      </c>
      <c r="F117" s="47" t="str">
        <f t="shared" si="25"/>
        <v>Summer</v>
      </c>
      <c r="G117" s="48">
        <f t="shared" si="27"/>
        <v>569850</v>
      </c>
      <c r="H117" s="48">
        <f t="shared" si="17"/>
        <v>35000</v>
      </c>
      <c r="I117" s="48">
        <f t="shared" si="18"/>
        <v>30000</v>
      </c>
      <c r="J117" s="48">
        <f t="shared" si="19"/>
        <v>10000</v>
      </c>
      <c r="K117" s="52">
        <f>C117*IF('Base Scenario'!F117="Winter",SP_icecream_winter,SP_icecream)+D117*SP_choc_syrup+E117*SP_straw_syrup</f>
        <v>943200</v>
      </c>
      <c r="L117" s="48">
        <f t="shared" si="28"/>
        <v>644850</v>
      </c>
      <c r="M117" s="48">
        <f t="shared" si="21"/>
        <v>74587.5</v>
      </c>
      <c r="N117" s="49">
        <f t="shared" si="29"/>
        <v>223762.5</v>
      </c>
    </row>
    <row r="118" spans="1:14" x14ac:dyDescent="0.25">
      <c r="A118" s="46">
        <f t="shared" si="26"/>
        <v>10</v>
      </c>
      <c r="B118" s="46">
        <v>116</v>
      </c>
      <c r="C118" s="46">
        <f>MIN(ROUND('Corrected data'!C117*IF(MOD(B118,12)=3,Parameters!$D$19,1),0),2000)</f>
        <v>1979</v>
      </c>
      <c r="D118" s="46">
        <f t="shared" si="23"/>
        <v>3958</v>
      </c>
      <c r="E118" s="46">
        <f t="shared" si="24"/>
        <v>1979</v>
      </c>
      <c r="F118" s="47" t="str">
        <f t="shared" si="25"/>
        <v>Summer</v>
      </c>
      <c r="G118" s="48">
        <f t="shared" si="27"/>
        <v>573910</v>
      </c>
      <c r="H118" s="48">
        <f t="shared" si="17"/>
        <v>35000</v>
      </c>
      <c r="I118" s="48">
        <f t="shared" si="18"/>
        <v>30000</v>
      </c>
      <c r="J118" s="48">
        <f t="shared" si="19"/>
        <v>10000</v>
      </c>
      <c r="K118" s="52">
        <f>C118*IF('Base Scenario'!F118="Winter",SP_icecream_winter,SP_icecream)+D118*SP_choc_syrup+E118*SP_straw_syrup</f>
        <v>949920</v>
      </c>
      <c r="L118" s="48">
        <f t="shared" si="28"/>
        <v>648910</v>
      </c>
      <c r="M118" s="48">
        <f t="shared" si="21"/>
        <v>75252.5</v>
      </c>
      <c r="N118" s="49">
        <f t="shared" si="29"/>
        <v>225757.5</v>
      </c>
    </row>
    <row r="119" spans="1:14" x14ac:dyDescent="0.25">
      <c r="A119" s="46">
        <f t="shared" si="26"/>
        <v>10</v>
      </c>
      <c r="B119" s="46">
        <v>117</v>
      </c>
      <c r="C119" s="46">
        <f>MIN(ROUND('Corrected data'!C118*IF(MOD(B119,12)=3,Parameters!$D$19,1),0),2000)</f>
        <v>1993</v>
      </c>
      <c r="D119" s="46">
        <f t="shared" si="23"/>
        <v>3986</v>
      </c>
      <c r="E119" s="46">
        <f t="shared" si="24"/>
        <v>1993</v>
      </c>
      <c r="F119" s="47" t="str">
        <f t="shared" si="25"/>
        <v>Summer</v>
      </c>
      <c r="G119" s="48">
        <f t="shared" si="27"/>
        <v>577970</v>
      </c>
      <c r="H119" s="48">
        <f t="shared" si="17"/>
        <v>35000</v>
      </c>
      <c r="I119" s="48">
        <f t="shared" si="18"/>
        <v>30000</v>
      </c>
      <c r="J119" s="48">
        <f t="shared" si="19"/>
        <v>10000</v>
      </c>
      <c r="K119" s="52">
        <f>C119*IF('Base Scenario'!F119="Winter",SP_icecream_winter,SP_icecream)+D119*SP_choc_syrup+E119*SP_straw_syrup</f>
        <v>956640</v>
      </c>
      <c r="L119" s="48">
        <f t="shared" si="28"/>
        <v>652970</v>
      </c>
      <c r="M119" s="48">
        <f t="shared" si="21"/>
        <v>75917.5</v>
      </c>
      <c r="N119" s="49">
        <f t="shared" si="29"/>
        <v>227752.5</v>
      </c>
    </row>
    <row r="120" spans="1:14" x14ac:dyDescent="0.25">
      <c r="A120" s="46">
        <f t="shared" si="26"/>
        <v>10</v>
      </c>
      <c r="B120" s="46">
        <v>118</v>
      </c>
      <c r="C120" s="46">
        <f>MIN(ROUND('Corrected data'!C119*IF(MOD(B120,12)=3,Parameters!$D$19,1),0),2000)</f>
        <v>2000</v>
      </c>
      <c r="D120" s="46">
        <f t="shared" si="23"/>
        <v>4000</v>
      </c>
      <c r="E120" s="46">
        <f t="shared" si="24"/>
        <v>2000</v>
      </c>
      <c r="F120" s="47" t="str">
        <f t="shared" si="25"/>
        <v>Summer</v>
      </c>
      <c r="G120" s="48">
        <f t="shared" si="27"/>
        <v>580000</v>
      </c>
      <c r="H120" s="48">
        <f t="shared" si="17"/>
        <v>35000</v>
      </c>
      <c r="I120" s="48">
        <f t="shared" si="18"/>
        <v>30000</v>
      </c>
      <c r="J120" s="48">
        <f t="shared" si="19"/>
        <v>10000</v>
      </c>
      <c r="K120" s="52">
        <f>C120*IF('Base Scenario'!F120="Winter",SP_icecream_winter,SP_icecream)+D120*SP_choc_syrup+E120*SP_straw_syrup</f>
        <v>960000</v>
      </c>
      <c r="L120" s="48">
        <f t="shared" si="28"/>
        <v>655000</v>
      </c>
      <c r="M120" s="48">
        <f t="shared" si="21"/>
        <v>76250</v>
      </c>
      <c r="N120" s="49">
        <f t="shared" si="29"/>
        <v>228750</v>
      </c>
    </row>
    <row r="121" spans="1:14" x14ac:dyDescent="0.25">
      <c r="A121" s="46">
        <f t="shared" si="26"/>
        <v>10</v>
      </c>
      <c r="B121" s="46">
        <v>119</v>
      </c>
      <c r="C121" s="46">
        <f>MIN(ROUND('Corrected data'!C120*IF(MOD(B121,12)=3,Parameters!$D$19,1),0),2000)</f>
        <v>2000</v>
      </c>
      <c r="D121" s="46">
        <f t="shared" si="23"/>
        <v>4000</v>
      </c>
      <c r="E121" s="46">
        <f t="shared" si="24"/>
        <v>2000</v>
      </c>
      <c r="F121" s="47" t="str">
        <f t="shared" si="25"/>
        <v>Summer</v>
      </c>
      <c r="G121" s="48">
        <f t="shared" si="27"/>
        <v>580000</v>
      </c>
      <c r="H121" s="48">
        <f t="shared" si="17"/>
        <v>35000</v>
      </c>
      <c r="I121" s="48">
        <f t="shared" si="18"/>
        <v>30000</v>
      </c>
      <c r="J121" s="48">
        <f t="shared" si="19"/>
        <v>10000</v>
      </c>
      <c r="K121" s="52">
        <f>C121*IF('Base Scenario'!F121="Winter",SP_icecream_winter,SP_icecream)+D121*SP_choc_syrup+E121*SP_straw_syrup</f>
        <v>960000</v>
      </c>
      <c r="L121" s="48">
        <f t="shared" si="28"/>
        <v>655000</v>
      </c>
      <c r="M121" s="48">
        <f t="shared" si="21"/>
        <v>76250</v>
      </c>
      <c r="N121" s="49">
        <f t="shared" si="29"/>
        <v>228750</v>
      </c>
    </row>
    <row r="122" spans="1:14" x14ac:dyDescent="0.25">
      <c r="A122" s="46">
        <f t="shared" si="26"/>
        <v>10</v>
      </c>
      <c r="B122" s="46">
        <v>120</v>
      </c>
      <c r="C122" s="46">
        <f>MIN(ROUND('Corrected data'!C121*IF(MOD(B122,12)=3,Parameters!$D$19,1),0),2000)</f>
        <v>2000</v>
      </c>
      <c r="D122" s="46">
        <f t="shared" si="23"/>
        <v>4000</v>
      </c>
      <c r="E122" s="46">
        <f t="shared" si="24"/>
        <v>2000</v>
      </c>
      <c r="F122" s="47" t="str">
        <f t="shared" si="25"/>
        <v>Summer</v>
      </c>
      <c r="G122" s="48">
        <f t="shared" si="27"/>
        <v>580000</v>
      </c>
      <c r="H122" s="48">
        <f t="shared" si="17"/>
        <v>35000</v>
      </c>
      <c r="I122" s="48">
        <f t="shared" si="18"/>
        <v>30000</v>
      </c>
      <c r="J122" s="48">
        <f t="shared" si="19"/>
        <v>10000</v>
      </c>
      <c r="K122" s="52">
        <f>C122*IF('Base Scenario'!F122="Winter",SP_icecream_winter,SP_icecream)+D122*SP_choc_syrup+E122*SP_straw_syrup</f>
        <v>960000</v>
      </c>
      <c r="L122" s="48">
        <f t="shared" si="28"/>
        <v>655000</v>
      </c>
      <c r="M122" s="48">
        <f t="shared" si="21"/>
        <v>76250</v>
      </c>
      <c r="N122" s="49">
        <f t="shared" si="29"/>
        <v>228750</v>
      </c>
    </row>
    <row r="123" spans="1:14" x14ac:dyDescent="0.25">
      <c r="G123" s="2"/>
      <c r="H123" s="2"/>
      <c r="I123" s="2"/>
      <c r="J123" s="2"/>
      <c r="K123" s="2"/>
      <c r="L123" s="2"/>
      <c r="M123" s="2"/>
      <c r="N123" s="7"/>
    </row>
    <row r="124" spans="1:14" x14ac:dyDescent="0.25">
      <c r="G124" s="2"/>
      <c r="H124" s="2"/>
      <c r="I124" s="2"/>
      <c r="J124" s="2"/>
      <c r="K124" s="2"/>
      <c r="L124" s="2"/>
      <c r="M124" s="2"/>
      <c r="N124" s="7"/>
    </row>
    <row r="125" spans="1:14" x14ac:dyDescent="0.25">
      <c r="G125" s="2"/>
      <c r="H125" s="2"/>
      <c r="I125" s="2"/>
      <c r="J125" s="2"/>
      <c r="K125" s="2"/>
      <c r="L125" s="2"/>
      <c r="M125" s="2"/>
      <c r="N125" s="7"/>
    </row>
    <row r="126" spans="1:14" x14ac:dyDescent="0.25">
      <c r="G126" s="2"/>
      <c r="H126" s="2"/>
      <c r="I126" s="2"/>
      <c r="J126" s="2"/>
      <c r="K126" s="2"/>
      <c r="L126" s="2"/>
      <c r="M126" s="2"/>
      <c r="N126" s="7"/>
    </row>
    <row r="127" spans="1:14" x14ac:dyDescent="0.25">
      <c r="G127" s="2"/>
      <c r="H127" s="2"/>
      <c r="I127" s="2"/>
      <c r="J127" s="2"/>
      <c r="K127" s="2"/>
      <c r="L127" s="2"/>
      <c r="M127" s="2"/>
      <c r="N127" s="7"/>
    </row>
    <row r="128" spans="1:14" x14ac:dyDescent="0.25">
      <c r="G128" s="2"/>
      <c r="H128" s="2"/>
      <c r="I128" s="2"/>
      <c r="J128" s="2"/>
      <c r="K128" s="2"/>
      <c r="L128" s="2"/>
      <c r="M128" s="2"/>
      <c r="N128" s="7"/>
    </row>
    <row r="129" spans="7:14" x14ac:dyDescent="0.25">
      <c r="G129" s="2"/>
      <c r="H129" s="2"/>
      <c r="I129" s="2"/>
      <c r="J129" s="2"/>
      <c r="K129" s="2"/>
      <c r="L129" s="2"/>
      <c r="M129" s="2"/>
      <c r="N129" s="7"/>
    </row>
    <row r="130" spans="7:14" x14ac:dyDescent="0.25">
      <c r="G130" s="2"/>
      <c r="H130" s="2"/>
      <c r="I130" s="2"/>
      <c r="J130" s="2"/>
      <c r="K130" s="2"/>
      <c r="L130" s="2"/>
      <c r="M130" s="2"/>
      <c r="N130" s="7"/>
    </row>
    <row r="131" spans="7:14" x14ac:dyDescent="0.25">
      <c r="G131" s="2"/>
      <c r="H131" s="2"/>
      <c r="I131" s="2"/>
      <c r="J131" s="2"/>
      <c r="K131" s="2"/>
      <c r="L131" s="2"/>
      <c r="M131" s="2"/>
      <c r="N131" s="7"/>
    </row>
    <row r="132" spans="7:14" x14ac:dyDescent="0.25">
      <c r="G132" s="2"/>
      <c r="H132" s="2"/>
      <c r="I132" s="2"/>
      <c r="J132" s="2"/>
      <c r="K132" s="2"/>
      <c r="L132" s="2"/>
      <c r="M132" s="2"/>
      <c r="N132" s="7"/>
    </row>
    <row r="133" spans="7:14" x14ac:dyDescent="0.25">
      <c r="G133" s="2"/>
      <c r="H133" s="2"/>
      <c r="I133" s="2"/>
      <c r="J133" s="2"/>
      <c r="K133" s="2"/>
      <c r="L133" s="2"/>
      <c r="M133" s="2"/>
      <c r="N133" s="7"/>
    </row>
    <row r="134" spans="7:14" x14ac:dyDescent="0.25">
      <c r="G134" s="2"/>
      <c r="H134" s="2"/>
      <c r="I134" s="2"/>
      <c r="J134" s="2"/>
      <c r="K134" s="2"/>
      <c r="L134" s="2"/>
      <c r="M134" s="2"/>
      <c r="N134" s="7"/>
    </row>
    <row r="135" spans="7:14" x14ac:dyDescent="0.25">
      <c r="G135" s="2"/>
      <c r="H135" s="2"/>
      <c r="I135" s="2"/>
      <c r="J135" s="2"/>
      <c r="K135" s="2"/>
      <c r="L135" s="2"/>
      <c r="M135" s="2"/>
      <c r="N135" s="7"/>
    </row>
    <row r="136" spans="7:14" x14ac:dyDescent="0.25">
      <c r="G136" s="2"/>
      <c r="H136" s="2"/>
      <c r="I136" s="2"/>
      <c r="J136" s="2"/>
      <c r="K136" s="2"/>
      <c r="L136" s="2"/>
      <c r="M136" s="2"/>
      <c r="N136" s="7"/>
    </row>
    <row r="137" spans="7:14" x14ac:dyDescent="0.25">
      <c r="G137" s="2"/>
      <c r="H137" s="2"/>
      <c r="I137" s="2"/>
      <c r="J137" s="2"/>
      <c r="K137" s="2"/>
      <c r="L137" s="2"/>
      <c r="M137" s="2"/>
      <c r="N137" s="7"/>
    </row>
    <row r="138" spans="7:14" x14ac:dyDescent="0.25">
      <c r="G138" s="2"/>
      <c r="H138" s="2"/>
      <c r="I138" s="2"/>
      <c r="J138" s="2"/>
      <c r="K138" s="2"/>
      <c r="L138" s="2"/>
      <c r="M138" s="2"/>
      <c r="N138" s="7"/>
    </row>
    <row r="139" spans="7:14" x14ac:dyDescent="0.25">
      <c r="G139" s="2"/>
      <c r="H139" s="2"/>
      <c r="I139" s="2"/>
      <c r="J139" s="2"/>
      <c r="K139" s="2"/>
      <c r="L139" s="2"/>
      <c r="M139" s="2"/>
      <c r="N139" s="7"/>
    </row>
    <row r="140" spans="7:14" x14ac:dyDescent="0.25">
      <c r="G140" s="2"/>
      <c r="H140" s="2"/>
      <c r="I140" s="2"/>
      <c r="J140" s="2"/>
      <c r="K140" s="2"/>
      <c r="L140" s="2"/>
      <c r="M140" s="2"/>
      <c r="N140" s="7"/>
    </row>
    <row r="141" spans="7:14" x14ac:dyDescent="0.25">
      <c r="G141" s="2"/>
      <c r="H141" s="2"/>
      <c r="I141" s="2"/>
      <c r="J141" s="2"/>
      <c r="K141" s="2"/>
      <c r="L141" s="2"/>
      <c r="M141" s="2"/>
      <c r="N141" s="7"/>
    </row>
    <row r="142" spans="7:14" x14ac:dyDescent="0.25">
      <c r="G142" s="2"/>
      <c r="H142" s="2"/>
      <c r="I142" s="2"/>
      <c r="J142" s="2"/>
      <c r="K142" s="2"/>
      <c r="L142" s="2"/>
      <c r="M142" s="2"/>
      <c r="N142" s="7"/>
    </row>
    <row r="143" spans="7:14" x14ac:dyDescent="0.25">
      <c r="G143" s="2"/>
      <c r="H143" s="2"/>
      <c r="I143" s="2"/>
      <c r="J143" s="2"/>
      <c r="K143" s="2"/>
      <c r="L143" s="2"/>
      <c r="M143" s="2"/>
      <c r="N143" s="7"/>
    </row>
    <row r="144" spans="7:14" x14ac:dyDescent="0.25">
      <c r="G144" s="2"/>
      <c r="H144" s="2"/>
      <c r="I144" s="2"/>
      <c r="J144" s="2"/>
      <c r="K144" s="2"/>
      <c r="L144" s="2"/>
      <c r="M144" s="2"/>
      <c r="N144" s="7"/>
    </row>
    <row r="145" spans="7:14" x14ac:dyDescent="0.25">
      <c r="G145" s="2"/>
      <c r="H145" s="2"/>
      <c r="I145" s="2"/>
      <c r="J145" s="2"/>
      <c r="K145" s="2"/>
      <c r="L145" s="2"/>
      <c r="M145" s="2"/>
      <c r="N145" s="7"/>
    </row>
    <row r="146" spans="7:14" x14ac:dyDescent="0.25">
      <c r="G146" s="2"/>
      <c r="H146" s="2"/>
      <c r="I146" s="2"/>
      <c r="J146" s="2"/>
      <c r="K146" s="2"/>
      <c r="L146" s="2"/>
      <c r="M146" s="2"/>
      <c r="N146" s="7"/>
    </row>
    <row r="147" spans="7:14" x14ac:dyDescent="0.25">
      <c r="G147" s="2"/>
      <c r="H147" s="2"/>
      <c r="I147" s="2"/>
      <c r="J147" s="2"/>
      <c r="K147" s="2"/>
      <c r="L147" s="2"/>
      <c r="M147" s="2"/>
      <c r="N147" s="7"/>
    </row>
    <row r="148" spans="7:14" x14ac:dyDescent="0.25">
      <c r="G148" s="2"/>
      <c r="H148" s="2"/>
      <c r="I148" s="2"/>
      <c r="J148" s="2"/>
      <c r="K148" s="2"/>
      <c r="L148" s="2"/>
      <c r="M148" s="2"/>
      <c r="N148" s="7"/>
    </row>
    <row r="149" spans="7:14" x14ac:dyDescent="0.25">
      <c r="G149" s="2"/>
      <c r="H149" s="2"/>
      <c r="I149" s="2"/>
      <c r="J149" s="2"/>
      <c r="K149" s="2"/>
      <c r="L149" s="2"/>
      <c r="M149" s="2"/>
      <c r="N149" s="7"/>
    </row>
    <row r="150" spans="7:14" x14ac:dyDescent="0.25">
      <c r="G150" s="2"/>
      <c r="H150" s="2"/>
      <c r="I150" s="2"/>
      <c r="J150" s="2"/>
      <c r="K150" s="2"/>
      <c r="L150" s="2"/>
      <c r="M150" s="2"/>
      <c r="N150" s="7"/>
    </row>
    <row r="151" spans="7:14" x14ac:dyDescent="0.25">
      <c r="G151" s="2"/>
      <c r="H151" s="2"/>
      <c r="I151" s="2"/>
      <c r="J151" s="2"/>
      <c r="K151" s="2"/>
      <c r="L151" s="2"/>
      <c r="M151" s="2"/>
      <c r="N151" s="7"/>
    </row>
    <row r="152" spans="7:14" x14ac:dyDescent="0.25">
      <c r="G152" s="2"/>
      <c r="H152" s="2"/>
      <c r="I152" s="2"/>
      <c r="J152" s="2"/>
      <c r="K152" s="2"/>
      <c r="L152" s="2"/>
      <c r="M152" s="2"/>
      <c r="N152" s="7"/>
    </row>
    <row r="153" spans="7:14" x14ac:dyDescent="0.25">
      <c r="G153" s="2"/>
      <c r="H153" s="2"/>
      <c r="I153" s="2"/>
      <c r="J153" s="2"/>
      <c r="K153" s="2"/>
      <c r="L153" s="2"/>
      <c r="M153" s="2"/>
      <c r="N153" s="7"/>
    </row>
    <row r="154" spans="7:14" x14ac:dyDescent="0.25">
      <c r="G154" s="2"/>
      <c r="H154" s="2"/>
      <c r="I154" s="2"/>
      <c r="J154" s="2"/>
      <c r="K154" s="2"/>
      <c r="L154" s="2"/>
      <c r="M154" s="2"/>
      <c r="N154" s="7"/>
    </row>
    <row r="155" spans="7:14" x14ac:dyDescent="0.25">
      <c r="G155" s="2"/>
      <c r="H155" s="2"/>
      <c r="I155" s="2"/>
      <c r="J155" s="2"/>
      <c r="K155" s="2"/>
      <c r="L155" s="2"/>
      <c r="M155" s="2"/>
      <c r="N155" s="7"/>
    </row>
    <row r="156" spans="7:14" x14ac:dyDescent="0.25">
      <c r="G156" s="2"/>
      <c r="H156" s="2"/>
      <c r="I156" s="2"/>
      <c r="J156" s="2"/>
      <c r="K156" s="2"/>
      <c r="L156" s="2"/>
      <c r="M156" s="2"/>
      <c r="N156" s="7"/>
    </row>
    <row r="157" spans="7:14" x14ac:dyDescent="0.25">
      <c r="G157" s="2"/>
      <c r="H157" s="2"/>
      <c r="I157" s="2"/>
      <c r="J157" s="2"/>
      <c r="K157" s="2"/>
      <c r="L157" s="2"/>
      <c r="M157" s="2"/>
      <c r="N157" s="7"/>
    </row>
    <row r="158" spans="7:14" x14ac:dyDescent="0.25">
      <c r="G158" s="2"/>
      <c r="H158" s="2"/>
      <c r="I158" s="2"/>
      <c r="J158" s="2"/>
      <c r="K158" s="2"/>
      <c r="L158" s="2"/>
      <c r="M158" s="2"/>
      <c r="N158" s="7"/>
    </row>
    <row r="159" spans="7:14" x14ac:dyDescent="0.25">
      <c r="G159" s="2"/>
      <c r="H159" s="2"/>
      <c r="I159" s="2"/>
      <c r="J159" s="2"/>
      <c r="K159" s="2"/>
      <c r="L159" s="2"/>
      <c r="M159" s="2"/>
      <c r="N159" s="7"/>
    </row>
    <row r="160" spans="7:14" x14ac:dyDescent="0.25">
      <c r="G160" s="2"/>
      <c r="H160" s="2"/>
      <c r="I160" s="2"/>
      <c r="J160" s="2"/>
      <c r="K160" s="2"/>
      <c r="L160" s="2"/>
      <c r="M160" s="2"/>
      <c r="N160" s="7"/>
    </row>
    <row r="161" spans="7:14" x14ac:dyDescent="0.25">
      <c r="G161" s="2"/>
      <c r="H161" s="2"/>
      <c r="I161" s="2"/>
      <c r="J161" s="2"/>
      <c r="K161" s="2"/>
      <c r="L161" s="2"/>
      <c r="M161" s="2"/>
      <c r="N161" s="7"/>
    </row>
    <row r="162" spans="7:14" x14ac:dyDescent="0.25">
      <c r="G162" s="2"/>
      <c r="H162" s="2"/>
      <c r="I162" s="2"/>
      <c r="J162" s="2"/>
      <c r="K162" s="2"/>
      <c r="L162" s="2"/>
      <c r="M162" s="2"/>
      <c r="N162" s="7"/>
    </row>
    <row r="163" spans="7:14" x14ac:dyDescent="0.25">
      <c r="G163" s="2"/>
      <c r="H163" s="2"/>
      <c r="I163" s="2"/>
      <c r="J163" s="2"/>
      <c r="K163" s="2"/>
      <c r="L163" s="2"/>
      <c r="M163" s="2"/>
      <c r="N163" s="7"/>
    </row>
    <row r="164" spans="7:14" x14ac:dyDescent="0.25">
      <c r="G164" s="2"/>
      <c r="H164" s="2"/>
      <c r="I164" s="2"/>
      <c r="J164" s="2"/>
      <c r="K164" s="2"/>
      <c r="L164" s="2"/>
      <c r="M164" s="2"/>
      <c r="N164" s="7"/>
    </row>
    <row r="165" spans="7:14" x14ac:dyDescent="0.25">
      <c r="G165" s="2"/>
      <c r="H165" s="2"/>
      <c r="I165" s="2"/>
      <c r="J165" s="2"/>
      <c r="K165" s="2"/>
      <c r="L165" s="2"/>
      <c r="M165" s="2"/>
      <c r="N165" s="7"/>
    </row>
    <row r="166" spans="7:14" x14ac:dyDescent="0.25">
      <c r="G166" s="2"/>
      <c r="H166" s="2"/>
      <c r="I166" s="2"/>
      <c r="J166" s="2"/>
      <c r="K166" s="2"/>
      <c r="L166" s="2"/>
      <c r="M166" s="2"/>
      <c r="N166" s="7"/>
    </row>
    <row r="167" spans="7:14" x14ac:dyDescent="0.25">
      <c r="G167" s="2"/>
      <c r="H167" s="2"/>
      <c r="I167" s="2"/>
      <c r="J167" s="2"/>
      <c r="K167" s="2"/>
      <c r="L167" s="2"/>
      <c r="M167" s="2"/>
      <c r="N167" s="7"/>
    </row>
    <row r="168" spans="7:14" x14ac:dyDescent="0.25">
      <c r="G168" s="2"/>
      <c r="H168" s="2"/>
      <c r="I168" s="2"/>
      <c r="J168" s="2"/>
      <c r="K168" s="2"/>
      <c r="L168" s="2"/>
      <c r="M168" s="2"/>
      <c r="N168" s="7"/>
    </row>
    <row r="169" spans="7:14" x14ac:dyDescent="0.25">
      <c r="G169" s="2"/>
      <c r="H169" s="2"/>
      <c r="I169" s="2"/>
      <c r="J169" s="2"/>
      <c r="K169" s="2"/>
      <c r="L169" s="2"/>
      <c r="M169" s="2"/>
      <c r="N169" s="7"/>
    </row>
    <row r="170" spans="7:14" x14ac:dyDescent="0.25">
      <c r="G170" s="2"/>
      <c r="H170" s="2"/>
      <c r="I170" s="2"/>
      <c r="J170" s="2"/>
      <c r="K170" s="2"/>
      <c r="L170" s="2"/>
      <c r="M170" s="2"/>
      <c r="N170" s="7"/>
    </row>
    <row r="171" spans="7:14" x14ac:dyDescent="0.25">
      <c r="G171" s="2"/>
      <c r="H171" s="2"/>
      <c r="I171" s="2"/>
      <c r="J171" s="2"/>
      <c r="K171" s="2"/>
      <c r="L171" s="2"/>
      <c r="M171" s="2"/>
      <c r="N171" s="7"/>
    </row>
    <row r="172" spans="7:14" x14ac:dyDescent="0.25">
      <c r="G172" s="2"/>
      <c r="H172" s="2"/>
      <c r="I172" s="2"/>
      <c r="J172" s="2"/>
      <c r="K172" s="2"/>
      <c r="L172" s="2"/>
      <c r="M172" s="2"/>
      <c r="N172" s="7"/>
    </row>
    <row r="173" spans="7:14" x14ac:dyDescent="0.25">
      <c r="G173" s="2"/>
      <c r="H173" s="2"/>
      <c r="I173" s="2"/>
      <c r="J173" s="2"/>
      <c r="K173" s="2"/>
      <c r="L173" s="2"/>
      <c r="M173" s="2"/>
      <c r="N173" s="7"/>
    </row>
    <row r="174" spans="7:14" x14ac:dyDescent="0.25">
      <c r="G174" s="2"/>
      <c r="H174" s="2"/>
      <c r="I174" s="2"/>
      <c r="J174" s="2"/>
      <c r="K174" s="2"/>
      <c r="L174" s="2"/>
      <c r="M174" s="2"/>
      <c r="N174" s="7"/>
    </row>
    <row r="175" spans="7:14" x14ac:dyDescent="0.25">
      <c r="G175" s="2"/>
      <c r="H175" s="2"/>
      <c r="I175" s="2"/>
      <c r="J175" s="2"/>
      <c r="K175" s="2"/>
      <c r="L175" s="2"/>
      <c r="M175" s="2"/>
      <c r="N175" s="7"/>
    </row>
    <row r="176" spans="7:14" x14ac:dyDescent="0.25">
      <c r="G176" s="2"/>
      <c r="H176" s="2"/>
      <c r="I176" s="2"/>
      <c r="J176" s="2"/>
      <c r="K176" s="2"/>
      <c r="L176" s="2"/>
      <c r="M176" s="2"/>
      <c r="N176" s="7"/>
    </row>
    <row r="177" spans="7:14" x14ac:dyDescent="0.25">
      <c r="G177" s="2"/>
      <c r="H177" s="2"/>
      <c r="I177" s="2"/>
      <c r="J177" s="2"/>
      <c r="K177" s="2"/>
      <c r="L177" s="2"/>
      <c r="M177" s="2"/>
      <c r="N177" s="7"/>
    </row>
    <row r="178" spans="7:14" x14ac:dyDescent="0.25">
      <c r="G178" s="2"/>
      <c r="H178" s="2"/>
      <c r="I178" s="2"/>
      <c r="J178" s="2"/>
      <c r="K178" s="2"/>
      <c r="L178" s="2"/>
      <c r="M178" s="2"/>
      <c r="N178" s="7"/>
    </row>
    <row r="179" spans="7:14" x14ac:dyDescent="0.25">
      <c r="G179" s="2"/>
      <c r="H179" s="2"/>
      <c r="I179" s="2"/>
      <c r="J179" s="2"/>
      <c r="K179" s="2"/>
      <c r="L179" s="2"/>
      <c r="M179" s="2"/>
      <c r="N179" s="7"/>
    </row>
    <row r="180" spans="7:14" x14ac:dyDescent="0.25">
      <c r="G180" s="2"/>
      <c r="H180" s="2"/>
      <c r="I180" s="2"/>
      <c r="J180" s="2"/>
      <c r="K180" s="2"/>
      <c r="L180" s="2"/>
      <c r="M180" s="2"/>
      <c r="N180" s="7"/>
    </row>
    <row r="181" spans="7:14" x14ac:dyDescent="0.25">
      <c r="G181" s="2"/>
      <c r="H181" s="2"/>
      <c r="I181" s="2"/>
      <c r="J181" s="2"/>
      <c r="K181" s="2"/>
      <c r="L181" s="2"/>
      <c r="M181" s="2"/>
      <c r="N181" s="7"/>
    </row>
    <row r="182" spans="7:14" x14ac:dyDescent="0.25">
      <c r="G182" s="2"/>
      <c r="H182" s="2"/>
      <c r="I182" s="2"/>
      <c r="J182" s="2"/>
      <c r="K182" s="2"/>
      <c r="L182" s="2"/>
      <c r="M182" s="2"/>
      <c r="N182" s="7"/>
    </row>
    <row r="183" spans="7:14" x14ac:dyDescent="0.25">
      <c r="G183" s="2"/>
      <c r="H183" s="2"/>
      <c r="I183" s="2"/>
      <c r="J183" s="2"/>
      <c r="K183" s="2"/>
      <c r="L183" s="2"/>
      <c r="M183" s="2"/>
      <c r="N183" s="7"/>
    </row>
    <row r="184" spans="7:14" x14ac:dyDescent="0.25">
      <c r="G184" s="2"/>
      <c r="H184" s="2"/>
      <c r="I184" s="2"/>
      <c r="J184" s="2"/>
      <c r="K184" s="2"/>
      <c r="L184" s="2"/>
      <c r="M184" s="2"/>
      <c r="N184" s="7"/>
    </row>
    <row r="185" spans="7:14" x14ac:dyDescent="0.25">
      <c r="G185" s="2"/>
      <c r="H185" s="2"/>
      <c r="I185" s="2"/>
      <c r="J185" s="2"/>
      <c r="K185" s="2"/>
      <c r="L185" s="2"/>
      <c r="M185" s="2"/>
      <c r="N185" s="7"/>
    </row>
    <row r="186" spans="7:14" x14ac:dyDescent="0.25">
      <c r="G186" s="2"/>
      <c r="H186" s="2"/>
      <c r="I186" s="2"/>
      <c r="J186" s="2"/>
      <c r="K186" s="2"/>
      <c r="L186" s="2"/>
      <c r="M186" s="2"/>
      <c r="N186" s="7"/>
    </row>
    <row r="187" spans="7:14" x14ac:dyDescent="0.25">
      <c r="G187" s="2"/>
      <c r="H187" s="2"/>
      <c r="I187" s="2"/>
      <c r="J187" s="2"/>
      <c r="K187" s="2"/>
      <c r="L187" s="2"/>
      <c r="M187" s="2"/>
      <c r="N187" s="7"/>
    </row>
    <row r="188" spans="7:14" x14ac:dyDescent="0.25">
      <c r="G188" s="2"/>
      <c r="H188" s="2"/>
      <c r="I188" s="2"/>
      <c r="J188" s="2"/>
      <c r="K188" s="2"/>
      <c r="L188" s="2"/>
      <c r="M188" s="2"/>
      <c r="N188" s="7"/>
    </row>
    <row r="189" spans="7:14" x14ac:dyDescent="0.25">
      <c r="G189" s="2"/>
      <c r="H189" s="2"/>
      <c r="I189" s="2"/>
      <c r="J189" s="2"/>
      <c r="K189" s="2"/>
      <c r="L189" s="2"/>
      <c r="M189" s="2"/>
      <c r="N189" s="7"/>
    </row>
    <row r="190" spans="7:14" x14ac:dyDescent="0.25">
      <c r="G190" s="2"/>
      <c r="H190" s="2"/>
      <c r="I190" s="2"/>
      <c r="J190" s="2"/>
      <c r="K190" s="2"/>
      <c r="L190" s="2"/>
      <c r="M190" s="2"/>
      <c r="N190" s="7"/>
    </row>
    <row r="191" spans="7:14" x14ac:dyDescent="0.25">
      <c r="G191" s="2"/>
      <c r="H191" s="2"/>
      <c r="I191" s="2"/>
      <c r="J191" s="2"/>
      <c r="K191" s="2"/>
      <c r="L191" s="2"/>
      <c r="M191" s="2"/>
      <c r="N191" s="7"/>
    </row>
    <row r="192" spans="7:14" x14ac:dyDescent="0.25">
      <c r="G192" s="2"/>
      <c r="H192" s="2"/>
      <c r="I192" s="2"/>
      <c r="J192" s="2"/>
      <c r="K192" s="2"/>
      <c r="L192" s="2"/>
      <c r="M192" s="2"/>
      <c r="N192" s="7"/>
    </row>
    <row r="193" spans="7:14" x14ac:dyDescent="0.25">
      <c r="G193" s="2"/>
      <c r="H193" s="2"/>
      <c r="I193" s="2"/>
      <c r="J193" s="2"/>
      <c r="K193" s="2"/>
      <c r="L193" s="2"/>
      <c r="M193" s="2"/>
      <c r="N193" s="7"/>
    </row>
    <row r="194" spans="7:14" x14ac:dyDescent="0.25">
      <c r="G194" s="2"/>
      <c r="H194" s="2"/>
      <c r="I194" s="2"/>
      <c r="J194" s="2"/>
      <c r="K194" s="2"/>
      <c r="L194" s="2"/>
      <c r="M194" s="2"/>
      <c r="N194" s="7"/>
    </row>
    <row r="195" spans="7:14" x14ac:dyDescent="0.25">
      <c r="G195" s="2"/>
      <c r="H195" s="2"/>
      <c r="I195" s="2"/>
      <c r="J195" s="2"/>
      <c r="K195" s="2"/>
      <c r="L195" s="2"/>
      <c r="M195" s="2"/>
      <c r="N195" s="7"/>
    </row>
    <row r="196" spans="7:14" x14ac:dyDescent="0.25">
      <c r="G196" s="2"/>
      <c r="H196" s="2"/>
      <c r="I196" s="2"/>
      <c r="J196" s="2"/>
      <c r="K196" s="2"/>
      <c r="L196" s="2"/>
      <c r="M196" s="2"/>
      <c r="N196" s="7"/>
    </row>
    <row r="197" spans="7:14" x14ac:dyDescent="0.25">
      <c r="G197" s="2"/>
      <c r="H197" s="2"/>
      <c r="I197" s="2"/>
      <c r="J197" s="2"/>
      <c r="K197" s="2"/>
      <c r="L197" s="2"/>
      <c r="M197" s="2"/>
      <c r="N197" s="7"/>
    </row>
    <row r="198" spans="7:14" x14ac:dyDescent="0.25">
      <c r="G198" s="2"/>
      <c r="H198" s="2"/>
      <c r="I198" s="2"/>
      <c r="J198" s="2"/>
      <c r="K198" s="2"/>
      <c r="L198" s="2"/>
      <c r="M198" s="2"/>
      <c r="N198" s="7"/>
    </row>
    <row r="199" spans="7:14" x14ac:dyDescent="0.25">
      <c r="G199" s="2"/>
      <c r="H199" s="2"/>
      <c r="I199" s="2"/>
      <c r="J199" s="2"/>
      <c r="K199" s="2"/>
      <c r="L199" s="2"/>
      <c r="M199" s="2"/>
      <c r="N199" s="7"/>
    </row>
    <row r="200" spans="7:14" x14ac:dyDescent="0.25">
      <c r="G200" s="2"/>
      <c r="H200" s="2"/>
      <c r="I200" s="2"/>
      <c r="J200" s="2"/>
      <c r="K200" s="2"/>
      <c r="L200" s="2"/>
      <c r="M200" s="2"/>
      <c r="N200" s="7"/>
    </row>
    <row r="201" spans="7:14" x14ac:dyDescent="0.25">
      <c r="G201" s="2"/>
      <c r="H201" s="2"/>
      <c r="I201" s="2"/>
      <c r="J201" s="2"/>
      <c r="K201" s="2"/>
      <c r="L201" s="2"/>
      <c r="M201" s="2"/>
      <c r="N201" s="7"/>
    </row>
    <row r="202" spans="7:14" x14ac:dyDescent="0.25">
      <c r="G202" s="2"/>
      <c r="H202" s="2"/>
      <c r="I202" s="2"/>
      <c r="J202" s="2"/>
      <c r="K202" s="2"/>
      <c r="L202" s="2"/>
      <c r="M202" s="2"/>
      <c r="N202" s="7"/>
    </row>
    <row r="203" spans="7:14" x14ac:dyDescent="0.25">
      <c r="G203" s="2"/>
      <c r="H203" s="2"/>
      <c r="I203" s="2"/>
      <c r="J203" s="2"/>
      <c r="K203" s="2"/>
      <c r="L203" s="2"/>
      <c r="M203" s="2"/>
      <c r="N203" s="7"/>
    </row>
    <row r="204" spans="7:14" x14ac:dyDescent="0.25">
      <c r="G204" s="2"/>
      <c r="H204" s="2"/>
      <c r="I204" s="2"/>
      <c r="J204" s="2"/>
      <c r="K204" s="2"/>
      <c r="L204" s="2"/>
      <c r="M204" s="2"/>
      <c r="N204" s="7"/>
    </row>
    <row r="205" spans="7:14" x14ac:dyDescent="0.25">
      <c r="G205" s="2"/>
      <c r="H205" s="2"/>
      <c r="I205" s="2"/>
      <c r="J205" s="2"/>
      <c r="K205" s="2"/>
      <c r="L205" s="2"/>
      <c r="M205" s="2"/>
      <c r="N205" s="7"/>
    </row>
    <row r="206" spans="7:14" x14ac:dyDescent="0.25">
      <c r="G206" s="2"/>
      <c r="H206" s="2"/>
      <c r="I206" s="2"/>
      <c r="J206" s="2"/>
      <c r="K206" s="2"/>
      <c r="L206" s="2"/>
      <c r="M206" s="2"/>
      <c r="N206" s="7"/>
    </row>
    <row r="207" spans="7:14" x14ac:dyDescent="0.25">
      <c r="G207" s="2"/>
      <c r="H207" s="2"/>
      <c r="I207" s="2"/>
      <c r="J207" s="2"/>
      <c r="K207" s="2"/>
      <c r="L207" s="2"/>
      <c r="M207" s="2"/>
      <c r="N207" s="7"/>
    </row>
    <row r="208" spans="7:14" x14ac:dyDescent="0.25">
      <c r="G208" s="2"/>
      <c r="H208" s="2"/>
      <c r="I208" s="2"/>
      <c r="J208" s="2"/>
      <c r="K208" s="2"/>
      <c r="L208" s="2"/>
      <c r="M208" s="2"/>
      <c r="N208" s="7"/>
    </row>
    <row r="209" spans="7:14" x14ac:dyDescent="0.25">
      <c r="G209" s="2"/>
      <c r="H209" s="2"/>
      <c r="I209" s="2"/>
      <c r="J209" s="2"/>
      <c r="K209" s="2"/>
      <c r="L209" s="2"/>
      <c r="M209" s="2"/>
      <c r="N209" s="7"/>
    </row>
    <row r="210" spans="7:14" x14ac:dyDescent="0.25">
      <c r="G210" s="2"/>
      <c r="H210" s="2"/>
      <c r="I210" s="2"/>
      <c r="J210" s="2"/>
      <c r="K210" s="2"/>
      <c r="L210" s="2"/>
      <c r="M210" s="2"/>
      <c r="N210" s="7"/>
    </row>
    <row r="211" spans="7:14" x14ac:dyDescent="0.25">
      <c r="G211" s="2"/>
      <c r="H211" s="2"/>
      <c r="I211" s="2"/>
      <c r="J211" s="2"/>
      <c r="K211" s="2"/>
      <c r="L211" s="2"/>
      <c r="M211" s="2"/>
      <c r="N211" s="7"/>
    </row>
    <row r="212" spans="7:14" x14ac:dyDescent="0.25">
      <c r="G212" s="2"/>
      <c r="H212" s="2"/>
      <c r="I212" s="2"/>
      <c r="J212" s="2"/>
      <c r="K212" s="2"/>
      <c r="L212" s="2"/>
      <c r="M212" s="2"/>
      <c r="N212" s="7"/>
    </row>
    <row r="213" spans="7:14" x14ac:dyDescent="0.25">
      <c r="G213" s="2"/>
      <c r="H213" s="2"/>
      <c r="I213" s="2"/>
      <c r="J213" s="2"/>
      <c r="K213" s="2"/>
      <c r="L213" s="2"/>
      <c r="M213" s="2"/>
      <c r="N213" s="7"/>
    </row>
    <row r="214" spans="7:14" x14ac:dyDescent="0.25">
      <c r="G214" s="2"/>
      <c r="H214" s="2"/>
      <c r="I214" s="2"/>
      <c r="J214" s="2"/>
      <c r="K214" s="2"/>
      <c r="L214" s="2"/>
      <c r="M214" s="2"/>
      <c r="N214" s="7"/>
    </row>
    <row r="215" spans="7:14" x14ac:dyDescent="0.25">
      <c r="G215" s="2"/>
      <c r="H215" s="2"/>
      <c r="I215" s="2"/>
      <c r="J215" s="2"/>
      <c r="K215" s="2"/>
      <c r="L215" s="2"/>
      <c r="M215" s="2"/>
      <c r="N215" s="7"/>
    </row>
    <row r="216" spans="7:14" x14ac:dyDescent="0.25">
      <c r="G216" s="2"/>
      <c r="H216" s="2"/>
      <c r="I216" s="2"/>
      <c r="J216" s="2"/>
      <c r="K216" s="2"/>
      <c r="L216" s="2"/>
      <c r="M216" s="2"/>
      <c r="N216" s="7"/>
    </row>
    <row r="217" spans="7:14" x14ac:dyDescent="0.25">
      <c r="G217" s="2"/>
      <c r="H217" s="2"/>
      <c r="I217" s="2"/>
      <c r="J217" s="2"/>
      <c r="K217" s="2"/>
      <c r="L217" s="2"/>
      <c r="M217" s="2"/>
      <c r="N217" s="7"/>
    </row>
    <row r="218" spans="7:14" x14ac:dyDescent="0.25">
      <c r="G218" s="2"/>
      <c r="H218" s="2"/>
      <c r="I218" s="2"/>
      <c r="J218" s="2"/>
      <c r="K218" s="2"/>
      <c r="L218" s="2"/>
      <c r="M218" s="2"/>
      <c r="N218" s="7"/>
    </row>
    <row r="219" spans="7:14" x14ac:dyDescent="0.25">
      <c r="G219" s="2"/>
      <c r="H219" s="2"/>
      <c r="I219" s="2"/>
      <c r="J219" s="2"/>
      <c r="K219" s="2"/>
      <c r="L219" s="2"/>
      <c r="M219" s="2"/>
      <c r="N219" s="7"/>
    </row>
    <row r="220" spans="7:14" x14ac:dyDescent="0.25">
      <c r="G220" s="2"/>
      <c r="H220" s="2"/>
      <c r="I220" s="2"/>
      <c r="J220" s="2"/>
      <c r="K220" s="2"/>
      <c r="L220" s="2"/>
      <c r="M220" s="2"/>
      <c r="N220" s="7"/>
    </row>
    <row r="221" spans="7:14" x14ac:dyDescent="0.25">
      <c r="G221" s="2"/>
      <c r="H221" s="2"/>
      <c r="I221" s="2"/>
      <c r="J221" s="2"/>
      <c r="K221" s="2"/>
      <c r="L221" s="2"/>
      <c r="M221" s="2"/>
      <c r="N221" s="7"/>
    </row>
    <row r="222" spans="7:14" x14ac:dyDescent="0.25">
      <c r="G222" s="2"/>
      <c r="H222" s="2"/>
      <c r="I222" s="2"/>
      <c r="J222" s="2"/>
      <c r="K222" s="2"/>
      <c r="L222" s="2"/>
      <c r="M222" s="2"/>
      <c r="N222" s="7"/>
    </row>
    <row r="223" spans="7:14" x14ac:dyDescent="0.25">
      <c r="G223" s="2"/>
      <c r="H223" s="2"/>
      <c r="I223" s="2"/>
      <c r="J223" s="2"/>
      <c r="K223" s="2"/>
      <c r="L223" s="2"/>
      <c r="M223" s="2"/>
      <c r="N223" s="7"/>
    </row>
    <row r="224" spans="7:14" x14ac:dyDescent="0.25">
      <c r="G224" s="2"/>
      <c r="H224" s="2"/>
      <c r="I224" s="2"/>
      <c r="J224" s="2"/>
      <c r="K224" s="2"/>
      <c r="L224" s="2"/>
      <c r="M224" s="2"/>
      <c r="N224" s="7"/>
    </row>
    <row r="225" spans="7:14" x14ac:dyDescent="0.25">
      <c r="G225" s="2"/>
      <c r="H225" s="2"/>
      <c r="I225" s="2"/>
      <c r="J225" s="2"/>
      <c r="K225" s="2"/>
      <c r="L225" s="2"/>
      <c r="M225" s="2"/>
      <c r="N225" s="7"/>
    </row>
    <row r="226" spans="7:14" x14ac:dyDescent="0.25">
      <c r="G226" s="2"/>
      <c r="H226" s="2"/>
      <c r="I226" s="2"/>
      <c r="J226" s="2"/>
      <c r="K226" s="2"/>
      <c r="L226" s="2"/>
      <c r="M226" s="2"/>
      <c r="N226" s="7"/>
    </row>
    <row r="227" spans="7:14" x14ac:dyDescent="0.25">
      <c r="G227" s="2"/>
      <c r="H227" s="2"/>
      <c r="I227" s="2"/>
      <c r="J227" s="2"/>
      <c r="K227" s="2"/>
      <c r="L227" s="2"/>
      <c r="M227" s="2"/>
      <c r="N227" s="7"/>
    </row>
    <row r="228" spans="7:14" x14ac:dyDescent="0.25">
      <c r="G228" s="2"/>
      <c r="H228" s="2"/>
      <c r="I228" s="2"/>
      <c r="J228" s="2"/>
      <c r="K228" s="2"/>
      <c r="L228" s="2"/>
      <c r="M228" s="2"/>
      <c r="N228" s="7"/>
    </row>
    <row r="229" spans="7:14" x14ac:dyDescent="0.25">
      <c r="G229" s="2"/>
      <c r="H229" s="2"/>
      <c r="I229" s="2"/>
      <c r="J229" s="2"/>
      <c r="K229" s="2"/>
      <c r="L229" s="2"/>
      <c r="M229" s="2"/>
      <c r="N229" s="7"/>
    </row>
    <row r="230" spans="7:14" x14ac:dyDescent="0.25">
      <c r="G230" s="2"/>
      <c r="H230" s="2"/>
      <c r="I230" s="2"/>
      <c r="J230" s="2"/>
      <c r="K230" s="2"/>
      <c r="L230" s="2"/>
      <c r="M230" s="2"/>
      <c r="N230" s="7"/>
    </row>
    <row r="231" spans="7:14" x14ac:dyDescent="0.25">
      <c r="G231" s="2"/>
      <c r="H231" s="2"/>
      <c r="I231" s="2"/>
      <c r="J231" s="2"/>
      <c r="K231" s="2"/>
      <c r="L231" s="2"/>
      <c r="M231" s="2"/>
      <c r="N231" s="7"/>
    </row>
    <row r="232" spans="7:14" x14ac:dyDescent="0.25">
      <c r="G232" s="2"/>
      <c r="H232" s="2"/>
      <c r="I232" s="2"/>
      <c r="J232" s="2"/>
      <c r="K232" s="2"/>
      <c r="L232" s="2"/>
      <c r="M232" s="2"/>
      <c r="N232" s="7"/>
    </row>
    <row r="233" spans="7:14" x14ac:dyDescent="0.25">
      <c r="G233" s="2"/>
      <c r="H233" s="2"/>
      <c r="I233" s="2"/>
      <c r="J233" s="2"/>
      <c r="K233" s="2"/>
      <c r="L233" s="2"/>
      <c r="M233" s="2"/>
      <c r="N233" s="7"/>
    </row>
    <row r="234" spans="7:14" x14ac:dyDescent="0.25">
      <c r="G234" s="2"/>
      <c r="H234" s="2"/>
      <c r="I234" s="2"/>
      <c r="J234" s="2"/>
      <c r="K234" s="2"/>
      <c r="L234" s="2"/>
      <c r="M234" s="2"/>
      <c r="N234" s="7"/>
    </row>
    <row r="235" spans="7:14" x14ac:dyDescent="0.25">
      <c r="G235" s="2"/>
      <c r="H235" s="2"/>
      <c r="I235" s="2"/>
      <c r="J235" s="2"/>
      <c r="K235" s="2"/>
      <c r="L235" s="2"/>
      <c r="M235" s="2"/>
      <c r="N235" s="7"/>
    </row>
    <row r="236" spans="7:14" x14ac:dyDescent="0.25">
      <c r="G236" s="2"/>
      <c r="H236" s="2"/>
      <c r="I236" s="2"/>
      <c r="J236" s="2"/>
      <c r="K236" s="2"/>
      <c r="L236" s="2"/>
      <c r="M236" s="2"/>
      <c r="N236" s="7"/>
    </row>
    <row r="237" spans="7:14" x14ac:dyDescent="0.25">
      <c r="G237" s="2"/>
      <c r="H237" s="2"/>
      <c r="I237" s="2"/>
      <c r="J237" s="2"/>
      <c r="K237" s="2"/>
      <c r="L237" s="2"/>
      <c r="M237" s="2"/>
      <c r="N237" s="7"/>
    </row>
    <row r="238" spans="7:14" x14ac:dyDescent="0.25">
      <c r="G238" s="2"/>
      <c r="H238" s="2"/>
      <c r="I238" s="2"/>
      <c r="J238" s="2"/>
      <c r="K238" s="2"/>
      <c r="L238" s="2"/>
      <c r="M238" s="2"/>
      <c r="N238" s="7"/>
    </row>
    <row r="239" spans="7:14" x14ac:dyDescent="0.25">
      <c r="G239" s="2"/>
      <c r="H239" s="2"/>
      <c r="I239" s="2"/>
      <c r="J239" s="2"/>
      <c r="K239" s="2"/>
      <c r="L239" s="2"/>
      <c r="M239" s="2"/>
      <c r="N239" s="7"/>
    </row>
    <row r="240" spans="7:14" x14ac:dyDescent="0.25">
      <c r="G240" s="2"/>
      <c r="H240" s="2"/>
      <c r="I240" s="2"/>
      <c r="J240" s="2"/>
      <c r="K240" s="2"/>
      <c r="L240" s="2"/>
      <c r="M240" s="2"/>
      <c r="N240" s="7"/>
    </row>
    <row r="241" spans="7:14" x14ac:dyDescent="0.25">
      <c r="G241" s="2"/>
      <c r="H241" s="2"/>
      <c r="I241" s="2"/>
      <c r="J241" s="2"/>
      <c r="K241" s="2"/>
      <c r="L241" s="2"/>
      <c r="M241" s="2"/>
      <c r="N241" s="7"/>
    </row>
    <row r="242" spans="7:14" x14ac:dyDescent="0.25">
      <c r="G242" s="2"/>
      <c r="H242" s="2"/>
      <c r="I242" s="2"/>
      <c r="J242" s="2"/>
      <c r="K242" s="2"/>
      <c r="L242" s="2"/>
      <c r="M242" s="2"/>
      <c r="N242" s="7"/>
    </row>
    <row r="243" spans="7:14" x14ac:dyDescent="0.25">
      <c r="G243" s="2"/>
      <c r="H243" s="2"/>
      <c r="I243" s="2"/>
      <c r="J243" s="2"/>
      <c r="K243" s="2"/>
      <c r="L243" s="2"/>
      <c r="M243" s="2"/>
      <c r="N243" s="7"/>
    </row>
    <row r="244" spans="7:14" x14ac:dyDescent="0.25">
      <c r="G244" s="2"/>
      <c r="H244" s="2"/>
      <c r="I244" s="2"/>
      <c r="J244" s="2"/>
      <c r="K244" s="2"/>
      <c r="L244" s="2"/>
      <c r="M244" s="2"/>
      <c r="N244" s="7"/>
    </row>
    <row r="245" spans="7:14" x14ac:dyDescent="0.25">
      <c r="G245" s="2"/>
      <c r="H245" s="2"/>
      <c r="I245" s="2"/>
      <c r="J245" s="2"/>
      <c r="K245" s="2"/>
      <c r="L245" s="2"/>
      <c r="M245" s="2"/>
      <c r="N245" s="7"/>
    </row>
    <row r="246" spans="7:14" x14ac:dyDescent="0.25">
      <c r="G246" s="2"/>
      <c r="H246" s="2"/>
      <c r="I246" s="2"/>
      <c r="J246" s="2"/>
      <c r="K246" s="2"/>
      <c r="L246" s="2"/>
      <c r="M246" s="2"/>
      <c r="N246" s="7"/>
    </row>
    <row r="247" spans="7:14" x14ac:dyDescent="0.25">
      <c r="G247" s="2"/>
      <c r="H247" s="2"/>
      <c r="I247" s="2"/>
      <c r="J247" s="2"/>
      <c r="K247" s="2"/>
      <c r="L247" s="2"/>
      <c r="M247" s="2"/>
      <c r="N247" s="7"/>
    </row>
    <row r="248" spans="7:14" x14ac:dyDescent="0.25">
      <c r="G248" s="2"/>
      <c r="H248" s="2"/>
      <c r="I248" s="2"/>
      <c r="J248" s="2"/>
      <c r="K248" s="2"/>
      <c r="L248" s="2"/>
      <c r="M248" s="2"/>
      <c r="N248" s="7"/>
    </row>
    <row r="249" spans="7:14" x14ac:dyDescent="0.25">
      <c r="G249" s="2"/>
      <c r="H249" s="2"/>
      <c r="I249" s="2"/>
      <c r="J249" s="2"/>
      <c r="K249" s="2"/>
      <c r="L249" s="2"/>
      <c r="M249" s="2"/>
      <c r="N249" s="7"/>
    </row>
    <row r="250" spans="7:14" x14ac:dyDescent="0.25">
      <c r="G250" s="2"/>
      <c r="H250" s="2"/>
      <c r="I250" s="2"/>
      <c r="J250" s="2"/>
      <c r="K250" s="2"/>
      <c r="L250" s="2"/>
      <c r="M250" s="2"/>
      <c r="N250" s="7"/>
    </row>
    <row r="251" spans="7:14" x14ac:dyDescent="0.25">
      <c r="G251" s="2"/>
      <c r="H251" s="2"/>
      <c r="I251" s="2"/>
      <c r="J251" s="2"/>
      <c r="K251" s="2"/>
      <c r="L251" s="2"/>
      <c r="M251" s="2"/>
      <c r="N251" s="7"/>
    </row>
    <row r="252" spans="7:14" x14ac:dyDescent="0.25">
      <c r="G252" s="2"/>
      <c r="H252" s="2"/>
      <c r="I252" s="2"/>
      <c r="J252" s="2"/>
      <c r="K252" s="2"/>
      <c r="L252" s="2"/>
      <c r="M252" s="2"/>
      <c r="N252" s="7"/>
    </row>
    <row r="253" spans="7:14" x14ac:dyDescent="0.25">
      <c r="G253" s="2"/>
      <c r="H253" s="2"/>
      <c r="I253" s="2"/>
      <c r="J253" s="2"/>
      <c r="K253" s="2"/>
      <c r="L253" s="2"/>
      <c r="M253" s="2"/>
      <c r="N253" s="7"/>
    </row>
    <row r="254" spans="7:14" x14ac:dyDescent="0.25">
      <c r="G254" s="2"/>
      <c r="H254" s="2"/>
      <c r="I254" s="2"/>
      <c r="J254" s="2"/>
      <c r="K254" s="2"/>
      <c r="L254" s="2"/>
      <c r="M254" s="2"/>
      <c r="N254" s="7"/>
    </row>
    <row r="255" spans="7:14" x14ac:dyDescent="0.25">
      <c r="G255" s="2"/>
      <c r="H255" s="2"/>
      <c r="I255" s="2"/>
      <c r="J255" s="2"/>
      <c r="K255" s="2"/>
      <c r="L255" s="2"/>
      <c r="M255" s="2"/>
      <c r="N255" s="7"/>
    </row>
    <row r="256" spans="7:14" x14ac:dyDescent="0.25">
      <c r="G256" s="2"/>
      <c r="H256" s="2"/>
      <c r="I256" s="2"/>
      <c r="J256" s="2"/>
      <c r="K256" s="2"/>
      <c r="L256" s="2"/>
      <c r="M256" s="2"/>
      <c r="N256" s="7"/>
    </row>
    <row r="257" spans="7:14" x14ac:dyDescent="0.25">
      <c r="G257" s="2"/>
      <c r="H257" s="2"/>
      <c r="I257" s="2"/>
      <c r="J257" s="2"/>
      <c r="K257" s="2"/>
      <c r="L257" s="2"/>
      <c r="M257" s="2"/>
      <c r="N257" s="7"/>
    </row>
    <row r="258" spans="7:14" x14ac:dyDescent="0.25">
      <c r="G258" s="2"/>
      <c r="H258" s="2"/>
      <c r="I258" s="2"/>
      <c r="J258" s="2"/>
      <c r="K258" s="2"/>
      <c r="L258" s="2"/>
      <c r="M258" s="2"/>
      <c r="N258" s="7"/>
    </row>
    <row r="259" spans="7:14" x14ac:dyDescent="0.25">
      <c r="G259" s="2"/>
      <c r="H259" s="2"/>
      <c r="I259" s="2"/>
      <c r="J259" s="2"/>
      <c r="K259" s="2"/>
      <c r="L259" s="2"/>
      <c r="M259" s="2"/>
      <c r="N259" s="7"/>
    </row>
    <row r="260" spans="7:14" x14ac:dyDescent="0.25">
      <c r="G260" s="2"/>
      <c r="H260" s="2"/>
      <c r="I260" s="2"/>
      <c r="J260" s="2"/>
      <c r="K260" s="2"/>
      <c r="L260" s="2"/>
      <c r="M260" s="2"/>
      <c r="N260" s="7"/>
    </row>
    <row r="261" spans="7:14" x14ac:dyDescent="0.25">
      <c r="G261" s="2"/>
      <c r="H261" s="2"/>
      <c r="I261" s="2"/>
      <c r="J261" s="2"/>
      <c r="K261" s="2"/>
      <c r="L261" s="2"/>
      <c r="M261" s="2"/>
      <c r="N261" s="7"/>
    </row>
    <row r="262" spans="7:14" x14ac:dyDescent="0.25">
      <c r="G262" s="2"/>
      <c r="H262" s="2"/>
      <c r="I262" s="2"/>
      <c r="J262" s="2"/>
      <c r="K262" s="2"/>
      <c r="L262" s="2"/>
      <c r="M262" s="2"/>
      <c r="N262" s="7"/>
    </row>
    <row r="263" spans="7:14" x14ac:dyDescent="0.25">
      <c r="G263" s="2"/>
      <c r="H263" s="2"/>
      <c r="I263" s="2"/>
      <c r="J263" s="2"/>
      <c r="K263" s="2"/>
      <c r="L263" s="2"/>
      <c r="M263" s="2"/>
      <c r="N263" s="7"/>
    </row>
    <row r="264" spans="7:14" x14ac:dyDescent="0.25">
      <c r="G264" s="2"/>
      <c r="H264" s="2"/>
      <c r="I264" s="2"/>
      <c r="J264" s="2"/>
      <c r="K264" s="2"/>
      <c r="L264" s="2"/>
      <c r="M264" s="2"/>
      <c r="N264" s="7"/>
    </row>
    <row r="265" spans="7:14" x14ac:dyDescent="0.25">
      <c r="G265" s="2"/>
      <c r="H265" s="2"/>
      <c r="I265" s="2"/>
      <c r="J265" s="2"/>
      <c r="K265" s="2"/>
      <c r="L265" s="2"/>
      <c r="M265" s="2"/>
      <c r="N265" s="7"/>
    </row>
    <row r="266" spans="7:14" x14ac:dyDescent="0.25">
      <c r="G266" s="2"/>
      <c r="H266" s="2"/>
      <c r="I266" s="2"/>
      <c r="J266" s="2"/>
      <c r="K266" s="2"/>
      <c r="L266" s="2"/>
      <c r="M266" s="2"/>
      <c r="N266" s="7"/>
    </row>
    <row r="267" spans="7:14" x14ac:dyDescent="0.25">
      <c r="G267" s="2"/>
      <c r="H267" s="2"/>
      <c r="I267" s="2"/>
      <c r="J267" s="2"/>
      <c r="K267" s="2"/>
      <c r="L267" s="2"/>
      <c r="M267" s="2"/>
      <c r="N267" s="7"/>
    </row>
    <row r="268" spans="7:14" x14ac:dyDescent="0.25">
      <c r="G268" s="2"/>
      <c r="H268" s="2"/>
      <c r="I268" s="2"/>
      <c r="J268" s="2"/>
      <c r="K268" s="2"/>
      <c r="L268" s="2"/>
      <c r="M268" s="2"/>
      <c r="N268" s="7"/>
    </row>
    <row r="269" spans="7:14" x14ac:dyDescent="0.25">
      <c r="G269" s="2"/>
      <c r="H269" s="2"/>
      <c r="I269" s="2"/>
      <c r="J269" s="2"/>
      <c r="K269" s="2"/>
      <c r="L269" s="2"/>
      <c r="M269" s="2"/>
      <c r="N269" s="7"/>
    </row>
    <row r="270" spans="7:14" x14ac:dyDescent="0.25">
      <c r="G270" s="2"/>
      <c r="H270" s="2"/>
      <c r="I270" s="2"/>
      <c r="J270" s="2"/>
      <c r="K270" s="2"/>
      <c r="L270" s="2"/>
      <c r="M270" s="2"/>
      <c r="N270" s="7"/>
    </row>
    <row r="271" spans="7:14" x14ac:dyDescent="0.25">
      <c r="G271" s="2"/>
      <c r="H271" s="2"/>
      <c r="I271" s="2"/>
      <c r="J271" s="2"/>
      <c r="K271" s="2"/>
      <c r="L271" s="2"/>
      <c r="M271" s="2"/>
      <c r="N271" s="7"/>
    </row>
    <row r="272" spans="7:14" x14ac:dyDescent="0.25">
      <c r="G272" s="2"/>
      <c r="H272" s="2"/>
      <c r="I272" s="2"/>
      <c r="J272" s="2"/>
      <c r="K272" s="2"/>
      <c r="L272" s="2"/>
      <c r="M272" s="2"/>
      <c r="N272" s="7"/>
    </row>
    <row r="273" spans="7:14" x14ac:dyDescent="0.25">
      <c r="G273" s="2"/>
      <c r="H273" s="2"/>
      <c r="I273" s="2"/>
      <c r="J273" s="2"/>
      <c r="K273" s="2"/>
      <c r="L273" s="2"/>
      <c r="M273" s="2"/>
      <c r="N273" s="7"/>
    </row>
    <row r="274" spans="7:14" x14ac:dyDescent="0.25">
      <c r="G274" s="2"/>
      <c r="H274" s="2"/>
      <c r="I274" s="2"/>
      <c r="J274" s="2"/>
      <c r="K274" s="2"/>
      <c r="L274" s="2"/>
      <c r="M274" s="2"/>
      <c r="N274" s="7"/>
    </row>
    <row r="275" spans="7:14" x14ac:dyDescent="0.25">
      <c r="G275" s="2"/>
      <c r="H275" s="2"/>
      <c r="I275" s="2"/>
      <c r="J275" s="2"/>
      <c r="K275" s="2"/>
      <c r="L275" s="2"/>
      <c r="M275" s="2"/>
      <c r="N275" s="7"/>
    </row>
    <row r="276" spans="7:14" x14ac:dyDescent="0.25">
      <c r="G276" s="2"/>
      <c r="H276" s="2"/>
      <c r="I276" s="2"/>
      <c r="J276" s="2"/>
      <c r="K276" s="2"/>
      <c r="L276" s="2"/>
      <c r="M276" s="2"/>
      <c r="N276" s="7"/>
    </row>
    <row r="277" spans="7:14" x14ac:dyDescent="0.25">
      <c r="G277" s="2"/>
      <c r="H277" s="2"/>
      <c r="I277" s="2"/>
      <c r="J277" s="2"/>
      <c r="K277" s="2"/>
      <c r="L277" s="2"/>
      <c r="M277" s="2"/>
      <c r="N277" s="7"/>
    </row>
    <row r="278" spans="7:14" x14ac:dyDescent="0.25">
      <c r="G278" s="2"/>
      <c r="H278" s="2"/>
      <c r="I278" s="2"/>
      <c r="J278" s="2"/>
      <c r="K278" s="2"/>
      <c r="L278" s="2"/>
      <c r="M278" s="2"/>
      <c r="N278" s="7"/>
    </row>
    <row r="279" spans="7:14" x14ac:dyDescent="0.25">
      <c r="G279" s="2"/>
      <c r="H279" s="2"/>
      <c r="I279" s="2"/>
      <c r="J279" s="2"/>
      <c r="K279" s="2"/>
      <c r="L279" s="2"/>
      <c r="M279" s="2"/>
      <c r="N279" s="7"/>
    </row>
    <row r="280" spans="7:14" x14ac:dyDescent="0.25">
      <c r="G280" s="2"/>
      <c r="H280" s="2"/>
      <c r="I280" s="2"/>
      <c r="J280" s="2"/>
      <c r="K280" s="2"/>
      <c r="L280" s="2"/>
      <c r="M280" s="2"/>
      <c r="N280" s="7"/>
    </row>
    <row r="281" spans="7:14" x14ac:dyDescent="0.25">
      <c r="G281" s="2"/>
      <c r="H281" s="2"/>
      <c r="I281" s="2"/>
      <c r="J281" s="2"/>
      <c r="K281" s="2"/>
      <c r="L281" s="2"/>
      <c r="M281" s="2"/>
      <c r="N281" s="7"/>
    </row>
    <row r="282" spans="7:14" x14ac:dyDescent="0.25">
      <c r="G282" s="2"/>
      <c r="H282" s="2"/>
      <c r="I282" s="2"/>
      <c r="J282" s="2"/>
      <c r="K282" s="2"/>
      <c r="L282" s="2"/>
      <c r="M282" s="2"/>
      <c r="N282" s="7"/>
    </row>
    <row r="283" spans="7:14" x14ac:dyDescent="0.25">
      <c r="G283" s="2"/>
      <c r="H283" s="2"/>
      <c r="I283" s="2"/>
      <c r="J283" s="2"/>
      <c r="K283" s="2"/>
      <c r="L283" s="2"/>
      <c r="M283" s="2"/>
      <c r="N283" s="7"/>
    </row>
    <row r="284" spans="7:14" x14ac:dyDescent="0.25">
      <c r="G284" s="2"/>
      <c r="H284" s="2"/>
      <c r="I284" s="2"/>
      <c r="J284" s="2"/>
      <c r="K284" s="2"/>
      <c r="L284" s="2"/>
      <c r="M284" s="2"/>
      <c r="N284" s="7"/>
    </row>
    <row r="285" spans="7:14" x14ac:dyDescent="0.25">
      <c r="G285" s="2"/>
      <c r="H285" s="2"/>
      <c r="I285" s="2"/>
      <c r="J285" s="2"/>
      <c r="K285" s="2"/>
      <c r="L285" s="2"/>
      <c r="M285" s="2"/>
      <c r="N285" s="7"/>
    </row>
    <row r="286" spans="7:14" x14ac:dyDescent="0.25">
      <c r="G286" s="2"/>
      <c r="H286" s="2"/>
      <c r="I286" s="2"/>
      <c r="J286" s="2"/>
      <c r="K286" s="2"/>
      <c r="L286" s="2"/>
      <c r="M286" s="2"/>
      <c r="N286" s="7"/>
    </row>
    <row r="287" spans="7:14" x14ac:dyDescent="0.25">
      <c r="G287" s="2"/>
      <c r="H287" s="2"/>
      <c r="I287" s="2"/>
      <c r="J287" s="2"/>
      <c r="K287" s="2"/>
      <c r="L287" s="2"/>
      <c r="M287" s="2"/>
      <c r="N287" s="7"/>
    </row>
    <row r="288" spans="7:14" x14ac:dyDescent="0.25">
      <c r="G288" s="2"/>
      <c r="H288" s="2"/>
      <c r="I288" s="2"/>
      <c r="J288" s="2"/>
      <c r="K288" s="2"/>
      <c r="L288" s="2"/>
      <c r="M288" s="2"/>
      <c r="N288" s="7"/>
    </row>
    <row r="289" spans="7:14" x14ac:dyDescent="0.25">
      <c r="G289" s="2"/>
      <c r="H289" s="2"/>
      <c r="I289" s="2"/>
      <c r="J289" s="2"/>
      <c r="K289" s="2"/>
      <c r="L289" s="2"/>
      <c r="M289" s="2"/>
      <c r="N289" s="7"/>
    </row>
    <row r="290" spans="7:14" x14ac:dyDescent="0.25">
      <c r="G290" s="2"/>
      <c r="H290" s="2"/>
      <c r="I290" s="2"/>
      <c r="J290" s="2"/>
      <c r="K290" s="2"/>
      <c r="L290" s="2"/>
      <c r="M290" s="2"/>
      <c r="N290" s="7"/>
    </row>
    <row r="291" spans="7:14" x14ac:dyDescent="0.25">
      <c r="G291" s="2"/>
      <c r="H291" s="2"/>
      <c r="I291" s="2"/>
      <c r="J291" s="2"/>
      <c r="K291" s="2"/>
      <c r="L291" s="2"/>
      <c r="M291" s="2"/>
      <c r="N291" s="7"/>
    </row>
    <row r="292" spans="7:14" x14ac:dyDescent="0.25">
      <c r="G292" s="2"/>
      <c r="H292" s="2"/>
      <c r="I292" s="2"/>
      <c r="J292" s="2"/>
      <c r="K292" s="2"/>
      <c r="L292" s="2"/>
      <c r="M292" s="2"/>
      <c r="N292" s="7"/>
    </row>
    <row r="293" spans="7:14" x14ac:dyDescent="0.25">
      <c r="G293" s="2"/>
      <c r="H293" s="2"/>
      <c r="I293" s="2"/>
      <c r="J293" s="2"/>
      <c r="K293" s="2"/>
      <c r="L293" s="2"/>
      <c r="M293" s="2"/>
      <c r="N293" s="7"/>
    </row>
    <row r="294" spans="7:14" x14ac:dyDescent="0.25">
      <c r="G294" s="2"/>
      <c r="H294" s="2"/>
      <c r="I294" s="2"/>
      <c r="J294" s="2"/>
      <c r="K294" s="2"/>
      <c r="L294" s="2"/>
      <c r="M294" s="2"/>
      <c r="N294" s="7"/>
    </row>
    <row r="295" spans="7:14" x14ac:dyDescent="0.25">
      <c r="G295" s="2"/>
      <c r="H295" s="2"/>
      <c r="I295" s="2"/>
      <c r="J295" s="2"/>
      <c r="K295" s="2"/>
      <c r="L295" s="2"/>
      <c r="M295" s="2"/>
      <c r="N295" s="7"/>
    </row>
    <row r="296" spans="7:14" x14ac:dyDescent="0.25">
      <c r="G296" s="2"/>
      <c r="H296" s="2"/>
      <c r="I296" s="2"/>
      <c r="J296" s="2"/>
      <c r="K296" s="2"/>
      <c r="L296" s="2"/>
      <c r="M296" s="2"/>
      <c r="N296" s="7"/>
    </row>
    <row r="297" spans="7:14" x14ac:dyDescent="0.25">
      <c r="G297" s="2"/>
      <c r="H297" s="2"/>
      <c r="I297" s="2"/>
      <c r="J297" s="2"/>
      <c r="K297" s="2"/>
      <c r="L297" s="2"/>
      <c r="M297" s="2"/>
      <c r="N297" s="7"/>
    </row>
    <row r="298" spans="7:14" x14ac:dyDescent="0.25">
      <c r="G298" s="2"/>
      <c r="H298" s="2"/>
      <c r="I298" s="2"/>
      <c r="J298" s="2"/>
      <c r="K298" s="2"/>
      <c r="L298" s="2"/>
      <c r="M298" s="2"/>
      <c r="N298" s="7"/>
    </row>
    <row r="299" spans="7:14" x14ac:dyDescent="0.25">
      <c r="G299" s="2"/>
      <c r="H299" s="2"/>
      <c r="I299" s="2"/>
      <c r="J299" s="2"/>
      <c r="K299" s="2"/>
      <c r="L299" s="2"/>
      <c r="M299" s="2"/>
      <c r="N299" s="7"/>
    </row>
    <row r="300" spans="7:14" x14ac:dyDescent="0.25">
      <c r="G300" s="2"/>
      <c r="H300" s="2"/>
      <c r="I300" s="2"/>
      <c r="J300" s="2"/>
      <c r="K300" s="2"/>
      <c r="L300" s="2"/>
      <c r="M300" s="2"/>
      <c r="N300" s="7"/>
    </row>
    <row r="301" spans="7:14" x14ac:dyDescent="0.25">
      <c r="G301" s="2"/>
      <c r="H301" s="2"/>
      <c r="I301" s="2"/>
      <c r="J301" s="2"/>
      <c r="K301" s="2"/>
      <c r="L301" s="2"/>
      <c r="M301" s="2"/>
      <c r="N301" s="7"/>
    </row>
    <row r="302" spans="7:14" x14ac:dyDescent="0.25">
      <c r="G302" s="2"/>
      <c r="H302" s="2"/>
      <c r="I302" s="2"/>
      <c r="J302" s="2"/>
      <c r="K302" s="2"/>
      <c r="L302" s="2"/>
      <c r="M302" s="2"/>
      <c r="N302" s="7"/>
    </row>
    <row r="303" spans="7:14" x14ac:dyDescent="0.25">
      <c r="G303" s="2"/>
      <c r="H303" s="2"/>
      <c r="I303" s="2"/>
      <c r="J303" s="2"/>
      <c r="K303" s="2"/>
      <c r="L303" s="2"/>
      <c r="M303" s="2"/>
      <c r="N303" s="7"/>
    </row>
    <row r="304" spans="7:14" x14ac:dyDescent="0.25">
      <c r="G304" s="2"/>
      <c r="H304" s="2"/>
      <c r="I304" s="2"/>
      <c r="J304" s="2"/>
      <c r="K304" s="2"/>
      <c r="L304" s="2"/>
      <c r="M304" s="2"/>
      <c r="N304" s="7"/>
    </row>
    <row r="305" spans="7:14" x14ac:dyDescent="0.25">
      <c r="G305" s="2"/>
      <c r="H305" s="2"/>
      <c r="I305" s="2"/>
      <c r="J305" s="2"/>
      <c r="K305" s="2"/>
      <c r="L305" s="2"/>
      <c r="M305" s="2"/>
      <c r="N305" s="7"/>
    </row>
    <row r="306" spans="7:14" x14ac:dyDescent="0.25">
      <c r="G306" s="2"/>
      <c r="H306" s="2"/>
      <c r="I306" s="2"/>
      <c r="J306" s="2"/>
      <c r="K306" s="2"/>
      <c r="L306" s="2"/>
      <c r="M306" s="2"/>
      <c r="N306" s="7"/>
    </row>
    <row r="307" spans="7:14" x14ac:dyDescent="0.25">
      <c r="G307" s="2"/>
      <c r="H307" s="2"/>
      <c r="I307" s="2"/>
      <c r="J307" s="2"/>
      <c r="K307" s="2"/>
      <c r="L307" s="2"/>
      <c r="M307" s="2"/>
      <c r="N307" s="7"/>
    </row>
    <row r="308" spans="7:14" x14ac:dyDescent="0.25">
      <c r="G308" s="2"/>
      <c r="H308" s="2"/>
      <c r="I308" s="2"/>
      <c r="J308" s="2"/>
      <c r="K308" s="2"/>
      <c r="L308" s="2"/>
      <c r="M308" s="2"/>
      <c r="N308" s="7"/>
    </row>
    <row r="309" spans="7:14" x14ac:dyDescent="0.25">
      <c r="G309" s="2"/>
      <c r="H309" s="2"/>
      <c r="I309" s="2"/>
      <c r="J309" s="2"/>
      <c r="K309" s="2"/>
      <c r="L309" s="2"/>
      <c r="M309" s="2"/>
      <c r="N309" s="7"/>
    </row>
    <row r="310" spans="7:14" x14ac:dyDescent="0.25">
      <c r="G310" s="2"/>
      <c r="H310" s="2"/>
      <c r="I310" s="2"/>
      <c r="J310" s="2"/>
      <c r="K310" s="2"/>
      <c r="L310" s="2"/>
      <c r="M310" s="2"/>
      <c r="N310" s="7"/>
    </row>
    <row r="311" spans="7:14" x14ac:dyDescent="0.25">
      <c r="G311" s="2"/>
      <c r="H311" s="2"/>
      <c r="I311" s="2"/>
      <c r="J311" s="2"/>
      <c r="K311" s="2"/>
      <c r="L311" s="2"/>
      <c r="M311" s="2"/>
      <c r="N311" s="7"/>
    </row>
    <row r="312" spans="7:14" x14ac:dyDescent="0.25">
      <c r="G312" s="2"/>
      <c r="H312" s="2"/>
      <c r="I312" s="2"/>
      <c r="J312" s="2"/>
      <c r="K312" s="2"/>
      <c r="L312" s="2"/>
      <c r="M312" s="2"/>
      <c r="N312" s="7"/>
    </row>
    <row r="313" spans="7:14" x14ac:dyDescent="0.25">
      <c r="G313" s="2"/>
      <c r="H313" s="2"/>
      <c r="I313" s="2"/>
      <c r="J313" s="2"/>
      <c r="K313" s="2"/>
      <c r="L313" s="2"/>
      <c r="M313" s="2"/>
      <c r="N313" s="7"/>
    </row>
    <row r="314" spans="7:14" x14ac:dyDescent="0.25">
      <c r="G314" s="2"/>
      <c r="H314" s="2"/>
      <c r="I314" s="2"/>
      <c r="J314" s="2"/>
      <c r="K314" s="2"/>
      <c r="L314" s="2"/>
      <c r="M314" s="2"/>
      <c r="N314" s="7"/>
    </row>
    <row r="315" spans="7:14" x14ac:dyDescent="0.25">
      <c r="G315" s="2"/>
      <c r="H315" s="2"/>
      <c r="I315" s="2"/>
      <c r="J315" s="2"/>
      <c r="K315" s="2"/>
      <c r="L315" s="2"/>
      <c r="M315" s="2"/>
      <c r="N315" s="7"/>
    </row>
    <row r="316" spans="7:14" x14ac:dyDescent="0.25">
      <c r="G316" s="2"/>
      <c r="H316" s="2"/>
      <c r="I316" s="2"/>
      <c r="J316" s="2"/>
      <c r="K316" s="2"/>
      <c r="L316" s="2"/>
      <c r="M316" s="2"/>
      <c r="N316" s="7"/>
    </row>
    <row r="317" spans="7:14" x14ac:dyDescent="0.25">
      <c r="G317" s="2"/>
      <c r="H317" s="2"/>
      <c r="I317" s="2"/>
      <c r="J317" s="2"/>
      <c r="K317" s="2"/>
      <c r="L317" s="2"/>
      <c r="M317" s="2"/>
      <c r="N317" s="7"/>
    </row>
    <row r="318" spans="7:14" x14ac:dyDescent="0.25">
      <c r="G318" s="2"/>
      <c r="H318" s="2"/>
      <c r="I318" s="2"/>
      <c r="J318" s="2"/>
      <c r="K318" s="2"/>
      <c r="L318" s="2"/>
      <c r="M318" s="2"/>
      <c r="N318" s="7"/>
    </row>
    <row r="319" spans="7:14" x14ac:dyDescent="0.25">
      <c r="G319" s="2"/>
      <c r="H319" s="2"/>
      <c r="I319" s="2"/>
      <c r="J319" s="2"/>
      <c r="K319" s="2"/>
      <c r="L319" s="2"/>
      <c r="M319" s="2"/>
      <c r="N319" s="7"/>
    </row>
    <row r="320" spans="7:14" x14ac:dyDescent="0.25">
      <c r="G320" s="2"/>
      <c r="H320" s="2"/>
      <c r="I320" s="2"/>
      <c r="J320" s="2"/>
      <c r="K320" s="2"/>
      <c r="L320" s="2"/>
      <c r="M320" s="2"/>
      <c r="N320" s="7"/>
    </row>
    <row r="321" spans="7:14" x14ac:dyDescent="0.25">
      <c r="G321" s="2"/>
      <c r="H321" s="2"/>
      <c r="I321" s="2"/>
      <c r="J321" s="2"/>
      <c r="K321" s="2"/>
      <c r="L321" s="2"/>
      <c r="M321" s="2"/>
      <c r="N321" s="7"/>
    </row>
    <row r="322" spans="7:14" x14ac:dyDescent="0.25">
      <c r="G322" s="2"/>
      <c r="H322" s="2"/>
      <c r="I322" s="2"/>
      <c r="J322" s="2"/>
      <c r="K322" s="2"/>
      <c r="L322" s="2"/>
      <c r="M322" s="2"/>
      <c r="N322" s="7"/>
    </row>
    <row r="323" spans="7:14" x14ac:dyDescent="0.25">
      <c r="G323" s="2"/>
      <c r="H323" s="2"/>
      <c r="I323" s="2"/>
      <c r="J323" s="2"/>
      <c r="K323" s="2"/>
      <c r="L323" s="2"/>
      <c r="M323" s="2"/>
      <c r="N323" s="7"/>
    </row>
    <row r="324" spans="7:14" x14ac:dyDescent="0.25">
      <c r="G324" s="2"/>
      <c r="H324" s="2"/>
      <c r="I324" s="2"/>
      <c r="J324" s="2"/>
      <c r="K324" s="2"/>
      <c r="L324" s="2"/>
      <c r="M324" s="2"/>
      <c r="N324" s="7"/>
    </row>
    <row r="325" spans="7:14" x14ac:dyDescent="0.25">
      <c r="G325" s="2"/>
      <c r="H325" s="2"/>
      <c r="I325" s="2"/>
      <c r="J325" s="2"/>
      <c r="K325" s="2"/>
      <c r="L325" s="2"/>
      <c r="M325" s="2"/>
      <c r="N325" s="7"/>
    </row>
    <row r="326" spans="7:14" x14ac:dyDescent="0.25">
      <c r="G326" s="2"/>
      <c r="H326" s="2"/>
      <c r="I326" s="2"/>
      <c r="J326" s="2"/>
      <c r="K326" s="2"/>
      <c r="L326" s="2"/>
      <c r="M326" s="2"/>
      <c r="N326" s="7"/>
    </row>
    <row r="327" spans="7:14" x14ac:dyDescent="0.25">
      <c r="G327" s="2"/>
      <c r="H327" s="2"/>
      <c r="I327" s="2"/>
      <c r="J327" s="2"/>
      <c r="K327" s="2"/>
      <c r="L327" s="2"/>
      <c r="M327" s="2"/>
      <c r="N327" s="7"/>
    </row>
    <row r="328" spans="7:14" x14ac:dyDescent="0.25">
      <c r="G328" s="2"/>
      <c r="H328" s="2"/>
      <c r="I328" s="2"/>
      <c r="J328" s="2"/>
      <c r="K328" s="2"/>
      <c r="L328" s="2"/>
      <c r="M328" s="2"/>
      <c r="N328" s="7"/>
    </row>
    <row r="329" spans="7:14" x14ac:dyDescent="0.25">
      <c r="G329" s="2"/>
      <c r="H329" s="2"/>
      <c r="I329" s="2"/>
      <c r="J329" s="2"/>
      <c r="K329" s="2"/>
      <c r="L329" s="2"/>
      <c r="M329" s="2"/>
      <c r="N329" s="7"/>
    </row>
    <row r="330" spans="7:14" x14ac:dyDescent="0.25">
      <c r="G330" s="2"/>
      <c r="H330" s="2"/>
      <c r="I330" s="2"/>
      <c r="J330" s="2"/>
      <c r="K330" s="2"/>
      <c r="L330" s="2"/>
      <c r="M330" s="2"/>
      <c r="N330" s="7"/>
    </row>
    <row r="331" spans="7:14" x14ac:dyDescent="0.25">
      <c r="G331" s="2"/>
      <c r="H331" s="2"/>
      <c r="I331" s="2"/>
      <c r="J331" s="2"/>
      <c r="K331" s="2"/>
      <c r="L331" s="2"/>
      <c r="M331" s="2"/>
      <c r="N331" s="7"/>
    </row>
    <row r="332" spans="7:14" x14ac:dyDescent="0.25">
      <c r="G332" s="2"/>
      <c r="H332" s="2"/>
      <c r="I332" s="2"/>
      <c r="J332" s="2"/>
      <c r="K332" s="2"/>
      <c r="L332" s="2"/>
      <c r="M332" s="2"/>
      <c r="N332" s="7"/>
    </row>
    <row r="333" spans="7:14" x14ac:dyDescent="0.25">
      <c r="G333" s="2"/>
      <c r="H333" s="2"/>
      <c r="I333" s="2"/>
      <c r="J333" s="2"/>
      <c r="K333" s="2"/>
      <c r="L333" s="2"/>
      <c r="M333" s="2"/>
      <c r="N333" s="7"/>
    </row>
    <row r="334" spans="7:14" x14ac:dyDescent="0.25">
      <c r="G334" s="2"/>
      <c r="H334" s="2"/>
      <c r="I334" s="2"/>
      <c r="J334" s="2"/>
      <c r="K334" s="2"/>
      <c r="L334" s="2"/>
      <c r="M334" s="2"/>
      <c r="N334" s="7"/>
    </row>
    <row r="335" spans="7:14" x14ac:dyDescent="0.25">
      <c r="G335" s="2"/>
      <c r="H335" s="2"/>
      <c r="I335" s="2"/>
      <c r="J335" s="2"/>
      <c r="K335" s="2"/>
      <c r="L335" s="2"/>
      <c r="M335" s="2"/>
      <c r="N335" s="7"/>
    </row>
    <row r="336" spans="7:14" x14ac:dyDescent="0.25">
      <c r="G336" s="2"/>
      <c r="H336" s="2"/>
      <c r="I336" s="2"/>
      <c r="J336" s="2"/>
      <c r="K336" s="2"/>
      <c r="L336" s="2"/>
      <c r="M336" s="2"/>
      <c r="N336" s="7"/>
    </row>
    <row r="337" spans="7:14" x14ac:dyDescent="0.25">
      <c r="G337" s="2"/>
      <c r="H337" s="2"/>
      <c r="I337" s="2"/>
      <c r="J337" s="2"/>
      <c r="K337" s="2"/>
      <c r="L337" s="2"/>
      <c r="M337" s="2"/>
      <c r="N337" s="7"/>
    </row>
    <row r="338" spans="7:14" x14ac:dyDescent="0.25">
      <c r="G338" s="2"/>
      <c r="H338" s="2"/>
      <c r="I338" s="2"/>
      <c r="J338" s="2"/>
      <c r="K338" s="2"/>
      <c r="L338" s="2"/>
      <c r="M338" s="2"/>
      <c r="N338" s="7"/>
    </row>
    <row r="339" spans="7:14" x14ac:dyDescent="0.25">
      <c r="G339" s="2"/>
      <c r="H339" s="2"/>
      <c r="I339" s="2"/>
      <c r="J339" s="2"/>
      <c r="K339" s="2"/>
      <c r="L339" s="2"/>
      <c r="M339" s="2"/>
      <c r="N339" s="7"/>
    </row>
    <row r="340" spans="7:14" x14ac:dyDescent="0.25">
      <c r="G340" s="2"/>
      <c r="H340" s="2"/>
      <c r="I340" s="2"/>
      <c r="J340" s="2"/>
      <c r="K340" s="2"/>
      <c r="L340" s="2"/>
      <c r="M340" s="2"/>
      <c r="N340" s="7"/>
    </row>
    <row r="341" spans="7:14" x14ac:dyDescent="0.25">
      <c r="G341" s="2"/>
      <c r="H341" s="2"/>
      <c r="I341" s="2"/>
      <c r="J341" s="2"/>
      <c r="K341" s="2"/>
      <c r="L341" s="2"/>
      <c r="M341" s="2"/>
      <c r="N341" s="7"/>
    </row>
    <row r="342" spans="7:14" x14ac:dyDescent="0.25">
      <c r="G342" s="2"/>
      <c r="H342" s="2"/>
      <c r="I342" s="2"/>
      <c r="J342" s="2"/>
      <c r="K342" s="2"/>
      <c r="L342" s="2"/>
      <c r="M342" s="2"/>
      <c r="N342" s="7"/>
    </row>
    <row r="343" spans="7:14" x14ac:dyDescent="0.25">
      <c r="G343" s="2"/>
      <c r="H343" s="2"/>
      <c r="I343" s="2"/>
      <c r="J343" s="2"/>
      <c r="K343" s="2"/>
      <c r="L343" s="2"/>
      <c r="M343" s="2"/>
      <c r="N343" s="7"/>
    </row>
    <row r="344" spans="7:14" x14ac:dyDescent="0.25">
      <c r="G344" s="2"/>
      <c r="H344" s="2"/>
      <c r="I344" s="2"/>
      <c r="J344" s="2"/>
      <c r="K344" s="2"/>
      <c r="L344" s="2"/>
      <c r="M344" s="2"/>
      <c r="N344" s="7"/>
    </row>
    <row r="345" spans="7:14" x14ac:dyDescent="0.25">
      <c r="G345" s="2"/>
      <c r="H345" s="2"/>
      <c r="I345" s="2"/>
      <c r="J345" s="2"/>
      <c r="K345" s="2"/>
      <c r="L345" s="2"/>
      <c r="M345" s="2"/>
      <c r="N345" s="7"/>
    </row>
    <row r="346" spans="7:14" x14ac:dyDescent="0.25">
      <c r="G346" s="2"/>
      <c r="H346" s="2"/>
      <c r="I346" s="2"/>
      <c r="J346" s="2"/>
      <c r="K346" s="2"/>
      <c r="L346" s="2"/>
      <c r="M346" s="2"/>
      <c r="N346" s="7"/>
    </row>
    <row r="347" spans="7:14" x14ac:dyDescent="0.25">
      <c r="G347" s="2"/>
      <c r="H347" s="2"/>
      <c r="I347" s="2"/>
      <c r="J347" s="2"/>
      <c r="K347" s="2"/>
      <c r="L347" s="2"/>
      <c r="M347" s="2"/>
      <c r="N347" s="7"/>
    </row>
    <row r="348" spans="7:14" x14ac:dyDescent="0.25">
      <c r="G348" s="2"/>
      <c r="H348" s="2"/>
      <c r="I348" s="2"/>
      <c r="J348" s="2"/>
      <c r="K348" s="2"/>
      <c r="L348" s="2"/>
      <c r="M348" s="2"/>
      <c r="N348" s="7"/>
    </row>
    <row r="349" spans="7:14" x14ac:dyDescent="0.25">
      <c r="G349" s="2"/>
      <c r="H349" s="2"/>
      <c r="I349" s="2"/>
      <c r="J349" s="2"/>
      <c r="K349" s="2"/>
      <c r="L349" s="2"/>
      <c r="M349" s="2"/>
      <c r="N349" s="7"/>
    </row>
    <row r="350" spans="7:14" x14ac:dyDescent="0.25">
      <c r="G350" s="2"/>
      <c r="H350" s="2"/>
      <c r="I350" s="2"/>
      <c r="J350" s="2"/>
      <c r="K350" s="2"/>
      <c r="L350" s="2"/>
      <c r="M350" s="2"/>
      <c r="N350" s="7"/>
    </row>
    <row r="351" spans="7:14" x14ac:dyDescent="0.25">
      <c r="G351" s="2"/>
      <c r="H351" s="2"/>
      <c r="I351" s="2"/>
      <c r="J351" s="2"/>
      <c r="K351" s="2"/>
      <c r="L351" s="2"/>
      <c r="M351" s="2"/>
      <c r="N351" s="7"/>
    </row>
    <row r="352" spans="7:14" x14ac:dyDescent="0.25">
      <c r="G352" s="2"/>
      <c r="H352" s="2"/>
      <c r="I352" s="2"/>
      <c r="J352" s="2"/>
      <c r="K352" s="2"/>
      <c r="L352" s="2"/>
      <c r="M352" s="2"/>
      <c r="N352" s="7"/>
    </row>
    <row r="353" spans="7:14" x14ac:dyDescent="0.25">
      <c r="G353" s="2"/>
      <c r="H353" s="2"/>
      <c r="I353" s="2"/>
      <c r="J353" s="2"/>
      <c r="K353" s="2"/>
      <c r="L353" s="2"/>
      <c r="M353" s="2"/>
      <c r="N353" s="7"/>
    </row>
    <row r="354" spans="7:14" x14ac:dyDescent="0.25">
      <c r="G354" s="2"/>
      <c r="H354" s="2"/>
      <c r="I354" s="2"/>
      <c r="J354" s="2"/>
      <c r="K354" s="2"/>
      <c r="L354" s="2"/>
      <c r="M354" s="2"/>
      <c r="N354" s="7"/>
    </row>
    <row r="355" spans="7:14" x14ac:dyDescent="0.25">
      <c r="G355" s="2"/>
      <c r="H355" s="2"/>
      <c r="I355" s="2"/>
      <c r="J355" s="2"/>
      <c r="K355" s="2"/>
      <c r="L355" s="2"/>
      <c r="M355" s="2"/>
      <c r="N355" s="7"/>
    </row>
    <row r="356" spans="7:14" x14ac:dyDescent="0.25">
      <c r="G356" s="2"/>
      <c r="H356" s="2"/>
      <c r="I356" s="2"/>
      <c r="J356" s="2"/>
      <c r="K356" s="2"/>
      <c r="L356" s="2"/>
      <c r="M356" s="2"/>
      <c r="N356" s="7"/>
    </row>
    <row r="357" spans="7:14" x14ac:dyDescent="0.25">
      <c r="G357" s="2"/>
      <c r="H357" s="2"/>
      <c r="I357" s="2"/>
      <c r="J357" s="2"/>
      <c r="K357" s="2"/>
      <c r="L357" s="2"/>
      <c r="M357" s="2"/>
      <c r="N357" s="7"/>
    </row>
    <row r="358" spans="7:14" x14ac:dyDescent="0.25">
      <c r="G358" s="2"/>
      <c r="H358" s="2"/>
      <c r="I358" s="2"/>
      <c r="J358" s="2"/>
      <c r="K358" s="2"/>
      <c r="L358" s="2"/>
      <c r="M358" s="2"/>
      <c r="N358" s="7"/>
    </row>
    <row r="359" spans="7:14" x14ac:dyDescent="0.25">
      <c r="G359" s="2"/>
      <c r="H359" s="2"/>
      <c r="I359" s="2"/>
      <c r="J359" s="2"/>
      <c r="K359" s="2"/>
      <c r="L359" s="2"/>
      <c r="M359" s="2"/>
      <c r="N359" s="7"/>
    </row>
    <row r="360" spans="7:14" x14ac:dyDescent="0.25">
      <c r="G360" s="2"/>
      <c r="H360" s="2"/>
      <c r="I360" s="2"/>
      <c r="J360" s="2"/>
      <c r="K360" s="2"/>
      <c r="L360" s="2"/>
      <c r="M360" s="2"/>
      <c r="N360" s="7"/>
    </row>
    <row r="361" spans="7:14" x14ac:dyDescent="0.25">
      <c r="G361" s="2"/>
      <c r="H361" s="2"/>
      <c r="I361" s="2"/>
      <c r="J361" s="2"/>
      <c r="K361" s="2"/>
      <c r="L361" s="2"/>
      <c r="M361" s="2"/>
      <c r="N361" s="7"/>
    </row>
    <row r="362" spans="7:14" x14ac:dyDescent="0.25">
      <c r="G362" s="2"/>
      <c r="H362" s="2"/>
      <c r="I362" s="2"/>
      <c r="J362" s="2"/>
      <c r="K362" s="2"/>
      <c r="L362" s="2"/>
      <c r="M362" s="2"/>
      <c r="N362" s="7"/>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2"/>
  <sheetViews>
    <sheetView showGridLines="0" workbookViewId="0"/>
  </sheetViews>
  <sheetFormatPr defaultRowHeight="15" x14ac:dyDescent="0.25"/>
  <cols>
    <col min="1" max="14" width="9.5703125" customWidth="1"/>
    <col min="16" max="16" width="9.5703125" customWidth="1"/>
    <col min="17" max="17" width="10.5703125" bestFit="1" customWidth="1"/>
    <col min="18" max="19" width="9.5703125" customWidth="1"/>
    <col min="20" max="20" width="10.5703125" bestFit="1" customWidth="1"/>
    <col min="24" max="24" width="11.140625" bestFit="1" customWidth="1"/>
  </cols>
  <sheetData>
    <row r="1" spans="1:24" x14ac:dyDescent="0.25">
      <c r="R1" s="5" t="s">
        <v>29</v>
      </c>
      <c r="U1" s="6">
        <f>(1+Interest)^(1/12)-1</f>
        <v>4.8675505653430484E-3</v>
      </c>
    </row>
    <row r="2" spans="1:24" x14ac:dyDescent="0.25">
      <c r="P2" s="88" t="s">
        <v>20</v>
      </c>
      <c r="Q2" s="88"/>
      <c r="R2" s="88"/>
      <c r="S2" s="88"/>
      <c r="T2" s="88"/>
      <c r="U2" s="88"/>
    </row>
    <row r="3" spans="1:24" x14ac:dyDescent="0.25">
      <c r="G3" s="2"/>
      <c r="H3" s="2"/>
      <c r="I3" s="2"/>
      <c r="J3" s="2"/>
      <c r="K3" s="2"/>
      <c r="L3" s="2"/>
      <c r="M3" s="2"/>
      <c r="N3" s="3"/>
      <c r="P3" s="4"/>
      <c r="Q3" s="4"/>
      <c r="R3" s="4"/>
      <c r="S3" s="4"/>
      <c r="T3" s="4"/>
      <c r="U3" s="4"/>
    </row>
    <row r="4" spans="1:24" ht="30" x14ac:dyDescent="0.25">
      <c r="A4" s="50" t="s">
        <v>36</v>
      </c>
      <c r="B4" s="50" t="s">
        <v>21</v>
      </c>
      <c r="C4" s="50" t="s">
        <v>1</v>
      </c>
      <c r="D4" s="50" t="s">
        <v>2</v>
      </c>
      <c r="E4" s="50" t="s">
        <v>3</v>
      </c>
      <c r="F4" s="50" t="s">
        <v>12</v>
      </c>
      <c r="G4" s="50" t="s">
        <v>18</v>
      </c>
      <c r="H4" s="50" t="s">
        <v>23</v>
      </c>
      <c r="I4" s="50" t="s">
        <v>15</v>
      </c>
      <c r="J4" s="50" t="s">
        <v>16</v>
      </c>
      <c r="K4" s="50" t="s">
        <v>13</v>
      </c>
      <c r="L4" s="50" t="s">
        <v>38</v>
      </c>
      <c r="M4" s="50" t="s">
        <v>32</v>
      </c>
      <c r="N4" s="50" t="s">
        <v>19</v>
      </c>
      <c r="P4" s="54" t="s">
        <v>21</v>
      </c>
      <c r="Q4" s="54" t="s">
        <v>22</v>
      </c>
      <c r="R4" s="54" t="s">
        <v>23</v>
      </c>
      <c r="S4" s="54" t="s">
        <v>24</v>
      </c>
      <c r="T4" s="54" t="s">
        <v>25</v>
      </c>
      <c r="W4" s="45" t="s">
        <v>59</v>
      </c>
      <c r="X4" s="58">
        <f>NPV(Disc_Rate_PM,N5:N124)</f>
        <v>11653630.407973265</v>
      </c>
    </row>
    <row r="5" spans="1:24" ht="30" x14ac:dyDescent="0.25">
      <c r="A5" s="46">
        <v>1</v>
      </c>
      <c r="B5" s="46">
        <v>1</v>
      </c>
      <c r="C5" s="46">
        <f>MIN(ROUND('Corrected data'!C2*IF(MOD(B5,12)=3,Parameters!$D$19,1),0),2000)</f>
        <v>960</v>
      </c>
      <c r="D5" s="46">
        <f t="shared" ref="D5" si="0">prop_choc_syrup*C5</f>
        <v>1920</v>
      </c>
      <c r="E5" s="46">
        <f t="shared" ref="E5" si="1">prop_straw_syrup*C5</f>
        <v>960</v>
      </c>
      <c r="F5" s="51" t="str">
        <f>IF(AND(MOD(B5,12)&lt;=2, MOD(B5,12)&lt;&gt;0),"Winter","Summer")</f>
        <v>Winter</v>
      </c>
      <c r="G5" s="48">
        <f t="shared" ref="G5:G36" si="2">C5*Cost_Icecream+D5*cost_choc_syrup+E5*cost_straw_syrup</f>
        <v>278400</v>
      </c>
      <c r="H5" s="52">
        <f t="shared" ref="H5:H36" si="3">R5</f>
        <v>24337.752826715241</v>
      </c>
      <c r="I5" s="48">
        <f t="shared" ref="I5:I36" si="4">Salary</f>
        <v>30000</v>
      </c>
      <c r="J5" s="48">
        <f t="shared" ref="J5:J68" si="5">IF(F5="Winter",Electr_winter,Electr_Summer)</f>
        <v>7000</v>
      </c>
      <c r="K5" s="48">
        <f t="shared" ref="K5:K68" si="6">C5*IF(F5="Winter",SP_icecream_winter,SP_icecream)+D5*SP_choc_syrup+E5*SP_straw_syrup</f>
        <v>441600</v>
      </c>
      <c r="L5" s="48">
        <f t="shared" ref="L5:L36" si="7">SUM(G5:J5)</f>
        <v>339737.75282671524</v>
      </c>
      <c r="M5" s="48">
        <f t="shared" ref="M5:M68" si="8">Tax_rate*(K5-L5)</f>
        <v>25465.561793321191</v>
      </c>
      <c r="N5" s="49">
        <f t="shared" ref="N5:N36" si="9">K5-L5-M5</f>
        <v>76396.685379963572</v>
      </c>
      <c r="P5" s="46">
        <v>1</v>
      </c>
      <c r="Q5" s="53">
        <f>Loan</f>
        <v>5000000</v>
      </c>
      <c r="R5" s="48">
        <f t="shared" ref="R5:R36" si="10">Q5*$U$1</f>
        <v>24337.752826715241</v>
      </c>
      <c r="S5" s="53">
        <v>55112.013070636116</v>
      </c>
      <c r="T5" s="49">
        <f>Q5+R5-S5</f>
        <v>4969225.7397560785</v>
      </c>
      <c r="W5" s="45" t="s">
        <v>60</v>
      </c>
      <c r="X5" s="58">
        <f>NPV(Disc_Rate_PM,K5:K124)</f>
        <v>50202865.135928676</v>
      </c>
    </row>
    <row r="6" spans="1:24" ht="30" x14ac:dyDescent="0.25">
      <c r="A6" s="46">
        <f>IF(MOD(B5,12)=0,A5+1,A5)</f>
        <v>1</v>
      </c>
      <c r="B6" s="46">
        <v>2</v>
      </c>
      <c r="C6" s="46">
        <f>MIN(ROUND('Corrected data'!C3*IF(MOD(B6,12)=3,Parameters!$D$19,1),0),2000)</f>
        <v>962</v>
      </c>
      <c r="D6" s="46">
        <f>Parameters!$D$8*C6</f>
        <v>1924</v>
      </c>
      <c r="E6" s="46">
        <f>Parameters!$D$9*C6</f>
        <v>962</v>
      </c>
      <c r="F6" s="51" t="str">
        <f t="shared" ref="F6:F69" si="11">IF(AND(MOD(B6,12)&lt;=2, MOD(B6,12)&lt;&gt;0),"Winter","Summer")</f>
        <v>Winter</v>
      </c>
      <c r="G6" s="48">
        <f t="shared" si="2"/>
        <v>278980</v>
      </c>
      <c r="H6" s="52">
        <f t="shared" si="3"/>
        <v>24187.957558866929</v>
      </c>
      <c r="I6" s="48">
        <f t="shared" si="4"/>
        <v>30000</v>
      </c>
      <c r="J6" s="48">
        <f t="shared" si="5"/>
        <v>7000</v>
      </c>
      <c r="K6" s="48">
        <f t="shared" si="6"/>
        <v>442520</v>
      </c>
      <c r="L6" s="48">
        <f t="shared" si="7"/>
        <v>340167.95755886694</v>
      </c>
      <c r="M6" s="48">
        <f t="shared" si="8"/>
        <v>25588.010610283265</v>
      </c>
      <c r="N6" s="49">
        <f t="shared" si="9"/>
        <v>76764.031830849795</v>
      </c>
      <c r="P6" s="46">
        <v>2</v>
      </c>
      <c r="Q6" s="49">
        <f>T5</f>
        <v>4969225.7397560785</v>
      </c>
      <c r="R6" s="48">
        <f t="shared" si="10"/>
        <v>24187.957558866929</v>
      </c>
      <c r="S6" s="48">
        <f>S5</f>
        <v>55112.013070636116</v>
      </c>
      <c r="T6" s="49">
        <f t="shared" ref="T6:T69" si="12">Q6+R6-S6</f>
        <v>4938301.6842443086</v>
      </c>
      <c r="W6" s="45" t="s">
        <v>61</v>
      </c>
      <c r="X6" s="59">
        <f>X4/X5</f>
        <v>0.23213078330131229</v>
      </c>
    </row>
    <row r="7" spans="1:24" x14ac:dyDescent="0.25">
      <c r="A7" s="46">
        <f t="shared" ref="A7:A70" si="13">IF(MOD(B6,12)=0,A6+1,A6)</f>
        <v>1</v>
      </c>
      <c r="B7" s="46">
        <v>3</v>
      </c>
      <c r="C7" s="46">
        <f>MIN(ROUND('Corrected data'!C4*IF(MOD(B7,12)=3,Parameters!$D$19,1),0),2000)</f>
        <v>1157</v>
      </c>
      <c r="D7" s="46">
        <f>Parameters!$D$8*C7</f>
        <v>2314</v>
      </c>
      <c r="E7" s="46">
        <f>Parameters!$D$9*C7</f>
        <v>1157</v>
      </c>
      <c r="F7" s="51" t="str">
        <f t="shared" si="11"/>
        <v>Summer</v>
      </c>
      <c r="G7" s="48">
        <f t="shared" si="2"/>
        <v>335530</v>
      </c>
      <c r="H7" s="52">
        <f t="shared" si="3"/>
        <v>24037.433154977913</v>
      </c>
      <c r="I7" s="48">
        <f t="shared" si="4"/>
        <v>30000</v>
      </c>
      <c r="J7" s="48">
        <f t="shared" si="5"/>
        <v>10000</v>
      </c>
      <c r="K7" s="48">
        <f t="shared" si="6"/>
        <v>555360</v>
      </c>
      <c r="L7" s="48">
        <f t="shared" si="7"/>
        <v>399567.43315497792</v>
      </c>
      <c r="M7" s="48">
        <f t="shared" si="8"/>
        <v>38948.141711255521</v>
      </c>
      <c r="N7" s="49">
        <f t="shared" si="9"/>
        <v>116844.42513376656</v>
      </c>
      <c r="P7" s="46">
        <v>3</v>
      </c>
      <c r="Q7" s="49">
        <f t="shared" ref="Q7:Q70" si="14">T6</f>
        <v>4938301.6842443086</v>
      </c>
      <c r="R7" s="48">
        <f t="shared" si="10"/>
        <v>24037.433154977913</v>
      </c>
      <c r="S7" s="48">
        <f t="shared" ref="S7:S70" si="15">S6</f>
        <v>55112.013070636116</v>
      </c>
      <c r="T7" s="49">
        <f t="shared" si="12"/>
        <v>4907227.10432865</v>
      </c>
    </row>
    <row r="8" spans="1:24" x14ac:dyDescent="0.25">
      <c r="A8" s="46">
        <f t="shared" si="13"/>
        <v>1</v>
      </c>
      <c r="B8" s="46">
        <v>4</v>
      </c>
      <c r="C8" s="46">
        <f>MIN(ROUND('Corrected data'!C5*IF(MOD(B8,12)=3,Parameters!$D$19,1),0),2000)</f>
        <v>1200</v>
      </c>
      <c r="D8" s="46">
        <f>Parameters!$D$8*C8</f>
        <v>2400</v>
      </c>
      <c r="E8" s="46">
        <f>Parameters!$D$9*C8</f>
        <v>1200</v>
      </c>
      <c r="F8" s="51" t="str">
        <f t="shared" si="11"/>
        <v>Summer</v>
      </c>
      <c r="G8" s="48">
        <f t="shared" si="2"/>
        <v>348000</v>
      </c>
      <c r="H8" s="52">
        <f t="shared" si="3"/>
        <v>23886.17606594165</v>
      </c>
      <c r="I8" s="48">
        <f t="shared" si="4"/>
        <v>30000</v>
      </c>
      <c r="J8" s="48">
        <f t="shared" si="5"/>
        <v>10000</v>
      </c>
      <c r="K8" s="48">
        <f t="shared" si="6"/>
        <v>576000</v>
      </c>
      <c r="L8" s="48">
        <f t="shared" si="7"/>
        <v>411886.17606594163</v>
      </c>
      <c r="M8" s="48">
        <f t="shared" si="8"/>
        <v>41028.455983514592</v>
      </c>
      <c r="N8" s="49">
        <f t="shared" si="9"/>
        <v>123085.36795054378</v>
      </c>
      <c r="P8" s="46">
        <v>4</v>
      </c>
      <c r="Q8" s="49">
        <f t="shared" si="14"/>
        <v>4907227.10432865</v>
      </c>
      <c r="R8" s="48">
        <f t="shared" si="10"/>
        <v>23886.17606594165</v>
      </c>
      <c r="S8" s="48">
        <f t="shared" si="15"/>
        <v>55112.013070636116</v>
      </c>
      <c r="T8" s="49">
        <f t="shared" si="12"/>
        <v>4876001.267323955</v>
      </c>
    </row>
    <row r="9" spans="1:24" x14ac:dyDescent="0.25">
      <c r="A9" s="46">
        <f t="shared" si="13"/>
        <v>1</v>
      </c>
      <c r="B9" s="46">
        <v>5</v>
      </c>
      <c r="C9" s="46">
        <f>MIN(ROUND('Corrected data'!C6*IF(MOD(B9,12)=3,Parameters!$D$19,1),0),2000)</f>
        <v>1203</v>
      </c>
      <c r="D9" s="46">
        <f>Parameters!$D$8*C9</f>
        <v>2406</v>
      </c>
      <c r="E9" s="46">
        <f>Parameters!$D$9*C9</f>
        <v>1203</v>
      </c>
      <c r="F9" s="51" t="str">
        <f t="shared" si="11"/>
        <v>Summer</v>
      </c>
      <c r="G9" s="48">
        <f t="shared" si="2"/>
        <v>348870</v>
      </c>
      <c r="H9" s="52">
        <f t="shared" si="3"/>
        <v>23734.182725376137</v>
      </c>
      <c r="I9" s="48">
        <f t="shared" si="4"/>
        <v>30000</v>
      </c>
      <c r="J9" s="48">
        <f t="shared" si="5"/>
        <v>10000</v>
      </c>
      <c r="K9" s="48">
        <f t="shared" si="6"/>
        <v>577440</v>
      </c>
      <c r="L9" s="48">
        <f t="shared" si="7"/>
        <v>412604.18272537616</v>
      </c>
      <c r="M9" s="48">
        <f t="shared" si="8"/>
        <v>41208.95431865596</v>
      </c>
      <c r="N9" s="49">
        <f t="shared" si="9"/>
        <v>123626.86295596788</v>
      </c>
      <c r="P9" s="46">
        <v>5</v>
      </c>
      <c r="Q9" s="49">
        <f t="shared" si="14"/>
        <v>4876001.267323955</v>
      </c>
      <c r="R9" s="48">
        <f t="shared" si="10"/>
        <v>23734.182725376137</v>
      </c>
      <c r="S9" s="48">
        <f t="shared" si="15"/>
        <v>55112.013070636116</v>
      </c>
      <c r="T9" s="49">
        <f t="shared" si="12"/>
        <v>4844623.436978695</v>
      </c>
    </row>
    <row r="10" spans="1:24" x14ac:dyDescent="0.25">
      <c r="A10" s="46">
        <f t="shared" si="13"/>
        <v>1</v>
      </c>
      <c r="B10" s="46">
        <v>6</v>
      </c>
      <c r="C10" s="46">
        <f>MIN(ROUND('Corrected data'!C7*IF(MOD(B10,12)=3,Parameters!$D$19,1),0),2000)</f>
        <v>1206</v>
      </c>
      <c r="D10" s="46">
        <f>Parameters!$D$8*C10</f>
        <v>2412</v>
      </c>
      <c r="E10" s="46">
        <f>Parameters!$D$9*C10</f>
        <v>1206</v>
      </c>
      <c r="F10" s="51" t="str">
        <f t="shared" si="11"/>
        <v>Summer</v>
      </c>
      <c r="G10" s="48">
        <f t="shared" si="2"/>
        <v>349740</v>
      </c>
      <c r="H10" s="52">
        <f t="shared" si="3"/>
        <v>23581.44954953983</v>
      </c>
      <c r="I10" s="48">
        <f t="shared" si="4"/>
        <v>30000</v>
      </c>
      <c r="J10" s="48">
        <f t="shared" si="5"/>
        <v>10000</v>
      </c>
      <c r="K10" s="48">
        <f t="shared" si="6"/>
        <v>578880</v>
      </c>
      <c r="L10" s="48">
        <f t="shared" si="7"/>
        <v>413321.44954953983</v>
      </c>
      <c r="M10" s="48">
        <f t="shared" si="8"/>
        <v>41389.637612615043</v>
      </c>
      <c r="N10" s="49">
        <f t="shared" si="9"/>
        <v>124168.91283784513</v>
      </c>
      <c r="P10" s="46">
        <v>6</v>
      </c>
      <c r="Q10" s="49">
        <f t="shared" si="14"/>
        <v>4844623.436978695</v>
      </c>
      <c r="R10" s="48">
        <f t="shared" si="10"/>
        <v>23581.44954953983</v>
      </c>
      <c r="S10" s="48">
        <f t="shared" si="15"/>
        <v>55112.013070636116</v>
      </c>
      <c r="T10" s="49">
        <f t="shared" si="12"/>
        <v>4813092.8734575985</v>
      </c>
    </row>
    <row r="11" spans="1:24" x14ac:dyDescent="0.25">
      <c r="A11" s="46">
        <f t="shared" si="13"/>
        <v>1</v>
      </c>
      <c r="B11" s="46">
        <v>7</v>
      </c>
      <c r="C11" s="46">
        <f>MIN(ROUND('Corrected data'!C8*IF(MOD(B11,12)=3,Parameters!$D$19,1),0),2000)</f>
        <v>1209</v>
      </c>
      <c r="D11" s="46">
        <f>Parameters!$D$8*C11</f>
        <v>2418</v>
      </c>
      <c r="E11" s="46">
        <f>Parameters!$D$9*C11</f>
        <v>1209</v>
      </c>
      <c r="F11" s="51" t="str">
        <f t="shared" si="11"/>
        <v>Summer</v>
      </c>
      <c r="G11" s="48">
        <f t="shared" si="2"/>
        <v>350610</v>
      </c>
      <c r="H11" s="52">
        <f t="shared" si="3"/>
        <v>23427.97293724713</v>
      </c>
      <c r="I11" s="48">
        <f t="shared" si="4"/>
        <v>30000</v>
      </c>
      <c r="J11" s="48">
        <f t="shared" si="5"/>
        <v>10000</v>
      </c>
      <c r="K11" s="48">
        <f t="shared" si="6"/>
        <v>580320</v>
      </c>
      <c r="L11" s="48">
        <f t="shared" si="7"/>
        <v>414037.97293724713</v>
      </c>
      <c r="M11" s="48">
        <f t="shared" si="8"/>
        <v>41570.506765688217</v>
      </c>
      <c r="N11" s="49">
        <f t="shared" si="9"/>
        <v>124711.52029706465</v>
      </c>
      <c r="P11" s="46">
        <v>7</v>
      </c>
      <c r="Q11" s="49">
        <f t="shared" si="14"/>
        <v>4813092.8734575985</v>
      </c>
      <c r="R11" s="48">
        <f t="shared" si="10"/>
        <v>23427.97293724713</v>
      </c>
      <c r="S11" s="48">
        <f t="shared" si="15"/>
        <v>55112.013070636116</v>
      </c>
      <c r="T11" s="49">
        <f t="shared" si="12"/>
        <v>4781408.8333242089</v>
      </c>
    </row>
    <row r="12" spans="1:24" x14ac:dyDescent="0.25">
      <c r="A12" s="46">
        <f t="shared" si="13"/>
        <v>1</v>
      </c>
      <c r="B12" s="46">
        <v>8</v>
      </c>
      <c r="C12" s="46">
        <f>MIN(ROUND('Corrected data'!C9*IF(MOD(B12,12)=3,Parameters!$D$19,1),0),2000)</f>
        <v>1212</v>
      </c>
      <c r="D12" s="46">
        <f>Parameters!$D$8*C12</f>
        <v>2424</v>
      </c>
      <c r="E12" s="46">
        <f>Parameters!$D$9*C12</f>
        <v>1212</v>
      </c>
      <c r="F12" s="51" t="str">
        <f t="shared" si="11"/>
        <v>Summer</v>
      </c>
      <c r="G12" s="48">
        <f t="shared" si="2"/>
        <v>351480</v>
      </c>
      <c r="H12" s="52">
        <f t="shared" si="3"/>
        <v>23273.749269783497</v>
      </c>
      <c r="I12" s="48">
        <f t="shared" si="4"/>
        <v>30000</v>
      </c>
      <c r="J12" s="48">
        <f t="shared" si="5"/>
        <v>10000</v>
      </c>
      <c r="K12" s="48">
        <f t="shared" si="6"/>
        <v>581760</v>
      </c>
      <c r="L12" s="48">
        <f t="shared" si="7"/>
        <v>414753.7492697835</v>
      </c>
      <c r="M12" s="48">
        <f t="shared" si="8"/>
        <v>41751.562682554126</v>
      </c>
      <c r="N12" s="49">
        <f t="shared" si="9"/>
        <v>125254.68804766238</v>
      </c>
      <c r="P12" s="46">
        <v>8</v>
      </c>
      <c r="Q12" s="49">
        <f t="shared" si="14"/>
        <v>4781408.8333242089</v>
      </c>
      <c r="R12" s="48">
        <f t="shared" si="10"/>
        <v>23273.749269783497</v>
      </c>
      <c r="S12" s="48">
        <f t="shared" si="15"/>
        <v>55112.013070636116</v>
      </c>
      <c r="T12" s="49">
        <f t="shared" si="12"/>
        <v>4749570.5695233559</v>
      </c>
    </row>
    <row r="13" spans="1:24" x14ac:dyDescent="0.25">
      <c r="A13" s="46">
        <f t="shared" si="13"/>
        <v>1</v>
      </c>
      <c r="B13" s="46">
        <v>9</v>
      </c>
      <c r="C13" s="46">
        <f>MIN(ROUND('Corrected data'!C10*IF(MOD(B13,12)=3,Parameters!$D$19,1),0),2000)</f>
        <v>1215</v>
      </c>
      <c r="D13" s="46">
        <f>Parameters!$D$8*C13</f>
        <v>2430</v>
      </c>
      <c r="E13" s="46">
        <f>Parameters!$D$9*C13</f>
        <v>1215</v>
      </c>
      <c r="F13" s="51" t="str">
        <f t="shared" si="11"/>
        <v>Summer</v>
      </c>
      <c r="G13" s="48">
        <f t="shared" si="2"/>
        <v>352350</v>
      </c>
      <c r="H13" s="52">
        <f t="shared" si="3"/>
        <v>23118.774910820117</v>
      </c>
      <c r="I13" s="48">
        <f t="shared" si="4"/>
        <v>30000</v>
      </c>
      <c r="J13" s="48">
        <f t="shared" si="5"/>
        <v>10000</v>
      </c>
      <c r="K13" s="48">
        <f t="shared" si="6"/>
        <v>583200</v>
      </c>
      <c r="L13" s="48">
        <f t="shared" si="7"/>
        <v>415468.77491082012</v>
      </c>
      <c r="M13" s="48">
        <f t="shared" si="8"/>
        <v>41932.806272294969</v>
      </c>
      <c r="N13" s="49">
        <f t="shared" si="9"/>
        <v>125798.41881688491</v>
      </c>
      <c r="P13" s="46">
        <v>9</v>
      </c>
      <c r="Q13" s="49">
        <f t="shared" si="14"/>
        <v>4749570.5695233559</v>
      </c>
      <c r="R13" s="48">
        <f t="shared" si="10"/>
        <v>23118.774910820117</v>
      </c>
      <c r="S13" s="48">
        <f t="shared" si="15"/>
        <v>55112.013070636116</v>
      </c>
      <c r="T13" s="49">
        <f t="shared" si="12"/>
        <v>4717577.3313635392</v>
      </c>
    </row>
    <row r="14" spans="1:24" x14ac:dyDescent="0.25">
      <c r="A14" s="46">
        <f t="shared" si="13"/>
        <v>1</v>
      </c>
      <c r="B14" s="46">
        <v>10</v>
      </c>
      <c r="C14" s="46">
        <f>MIN(ROUND('Corrected data'!C11*IF(MOD(B14,12)=3,Parameters!$D$19,1),0),2000)</f>
        <v>1218</v>
      </c>
      <c r="D14" s="46">
        <f>Parameters!$D$8*C14</f>
        <v>2436</v>
      </c>
      <c r="E14" s="46">
        <f>Parameters!$D$9*C14</f>
        <v>1218</v>
      </c>
      <c r="F14" s="51" t="str">
        <f t="shared" si="11"/>
        <v>Summer</v>
      </c>
      <c r="G14" s="48">
        <f t="shared" si="2"/>
        <v>353220</v>
      </c>
      <c r="H14" s="52">
        <f t="shared" si="3"/>
        <v>22963.046206328145</v>
      </c>
      <c r="I14" s="48">
        <f t="shared" si="4"/>
        <v>30000</v>
      </c>
      <c r="J14" s="48">
        <f t="shared" si="5"/>
        <v>10000</v>
      </c>
      <c r="K14" s="48">
        <f t="shared" si="6"/>
        <v>584640</v>
      </c>
      <c r="L14" s="48">
        <f t="shared" si="7"/>
        <v>416183.04620632814</v>
      </c>
      <c r="M14" s="48">
        <f t="shared" si="8"/>
        <v>42114.238448417964</v>
      </c>
      <c r="N14" s="49">
        <f t="shared" si="9"/>
        <v>126342.71534525389</v>
      </c>
      <c r="P14" s="46">
        <v>10</v>
      </c>
      <c r="Q14" s="49">
        <f t="shared" si="14"/>
        <v>4717577.3313635392</v>
      </c>
      <c r="R14" s="48">
        <f t="shared" si="10"/>
        <v>22963.046206328145</v>
      </c>
      <c r="S14" s="48">
        <f t="shared" si="15"/>
        <v>55112.013070636116</v>
      </c>
      <c r="T14" s="49">
        <f t="shared" si="12"/>
        <v>4685428.3644992309</v>
      </c>
    </row>
    <row r="15" spans="1:24" x14ac:dyDescent="0.25">
      <c r="A15" s="46">
        <f t="shared" si="13"/>
        <v>1</v>
      </c>
      <c r="B15" s="46">
        <v>11</v>
      </c>
      <c r="C15" s="46">
        <f>MIN(ROUND('Corrected data'!C12*IF(MOD(B15,12)=3,Parameters!$D$19,1),0),2000)</f>
        <v>1221</v>
      </c>
      <c r="D15" s="46">
        <f>Parameters!$D$8*C15</f>
        <v>2442</v>
      </c>
      <c r="E15" s="46">
        <f>Parameters!$D$9*C15</f>
        <v>1221</v>
      </c>
      <c r="F15" s="51" t="str">
        <f t="shared" si="11"/>
        <v>Summer</v>
      </c>
      <c r="G15" s="48">
        <f t="shared" si="2"/>
        <v>354090</v>
      </c>
      <c r="H15" s="52">
        <f t="shared" si="3"/>
        <v>22806.559484492587</v>
      </c>
      <c r="I15" s="48">
        <f t="shared" si="4"/>
        <v>30000</v>
      </c>
      <c r="J15" s="48">
        <f t="shared" si="5"/>
        <v>10000</v>
      </c>
      <c r="K15" s="48">
        <f t="shared" si="6"/>
        <v>586080</v>
      </c>
      <c r="L15" s="48">
        <f t="shared" si="7"/>
        <v>416896.55948449258</v>
      </c>
      <c r="M15" s="48">
        <f t="shared" si="8"/>
        <v>42295.860128876855</v>
      </c>
      <c r="N15" s="49">
        <f t="shared" si="9"/>
        <v>126887.58038663057</v>
      </c>
      <c r="P15" s="46">
        <v>11</v>
      </c>
      <c r="Q15" s="49">
        <f t="shared" si="14"/>
        <v>4685428.3644992309</v>
      </c>
      <c r="R15" s="48">
        <f t="shared" si="10"/>
        <v>22806.559484492587</v>
      </c>
      <c r="S15" s="48">
        <f t="shared" si="15"/>
        <v>55112.013070636116</v>
      </c>
      <c r="T15" s="49">
        <f t="shared" si="12"/>
        <v>4653122.9109130874</v>
      </c>
    </row>
    <row r="16" spans="1:24" x14ac:dyDescent="0.25">
      <c r="A16" s="46">
        <f t="shared" si="13"/>
        <v>1</v>
      </c>
      <c r="B16" s="46">
        <v>12</v>
      </c>
      <c r="C16" s="46">
        <f>MIN(ROUND('Corrected data'!C13*IF(MOD(B16,12)=3,Parameters!$D$19,1),0),2000)</f>
        <v>1224</v>
      </c>
      <c r="D16" s="46">
        <f>Parameters!$D$8*C16</f>
        <v>2448</v>
      </c>
      <c r="E16" s="46">
        <f>Parameters!$D$9*C16</f>
        <v>1224</v>
      </c>
      <c r="F16" s="51" t="str">
        <f t="shared" si="11"/>
        <v>Summer</v>
      </c>
      <c r="G16" s="48">
        <f t="shared" si="2"/>
        <v>354960</v>
      </c>
      <c r="H16" s="52">
        <f t="shared" si="3"/>
        <v>22649.311055625691</v>
      </c>
      <c r="I16" s="48">
        <f t="shared" si="4"/>
        <v>30000</v>
      </c>
      <c r="J16" s="48">
        <f t="shared" si="5"/>
        <v>10000</v>
      </c>
      <c r="K16" s="48">
        <f t="shared" si="6"/>
        <v>587520</v>
      </c>
      <c r="L16" s="48">
        <f t="shared" si="7"/>
        <v>417609.31105562567</v>
      </c>
      <c r="M16" s="48">
        <f t="shared" si="8"/>
        <v>42477.672236093582</v>
      </c>
      <c r="N16" s="49">
        <f t="shared" si="9"/>
        <v>127433.01670828075</v>
      </c>
      <c r="P16" s="46">
        <v>12</v>
      </c>
      <c r="Q16" s="49">
        <f t="shared" si="14"/>
        <v>4653122.9109130874</v>
      </c>
      <c r="R16" s="48">
        <f t="shared" si="10"/>
        <v>22649.311055625691</v>
      </c>
      <c r="S16" s="48">
        <f t="shared" si="15"/>
        <v>55112.013070636116</v>
      </c>
      <c r="T16" s="49">
        <f t="shared" si="12"/>
        <v>4620660.2088980768</v>
      </c>
    </row>
    <row r="17" spans="1:20" x14ac:dyDescent="0.25">
      <c r="A17" s="46">
        <f t="shared" si="13"/>
        <v>2</v>
      </c>
      <c r="B17" s="46">
        <v>13</v>
      </c>
      <c r="C17" s="46">
        <f>MIN(ROUND('Corrected data'!C14*IF(MOD(B17,12)=3,Parameters!$D$19,1),0),2000)</f>
        <v>989</v>
      </c>
      <c r="D17" s="46">
        <f>Parameters!$D$8*C17</f>
        <v>1978</v>
      </c>
      <c r="E17" s="46">
        <f>Parameters!$D$9*C17</f>
        <v>989</v>
      </c>
      <c r="F17" s="51" t="str">
        <f t="shared" si="11"/>
        <v>Winter</v>
      </c>
      <c r="G17" s="48">
        <f t="shared" si="2"/>
        <v>286810</v>
      </c>
      <c r="H17" s="52">
        <f t="shared" si="3"/>
        <v>22491.29721207996</v>
      </c>
      <c r="I17" s="48">
        <f t="shared" si="4"/>
        <v>30000</v>
      </c>
      <c r="J17" s="48">
        <f t="shared" si="5"/>
        <v>7000</v>
      </c>
      <c r="K17" s="48">
        <f t="shared" si="6"/>
        <v>454940</v>
      </c>
      <c r="L17" s="48">
        <f t="shared" si="7"/>
        <v>346301.29721207998</v>
      </c>
      <c r="M17" s="48">
        <f t="shared" si="8"/>
        <v>27159.675696980004</v>
      </c>
      <c r="N17" s="49">
        <f t="shared" si="9"/>
        <v>81479.027090940013</v>
      </c>
      <c r="P17" s="46">
        <v>13</v>
      </c>
      <c r="Q17" s="49">
        <f t="shared" si="14"/>
        <v>4620660.2088980768</v>
      </c>
      <c r="R17" s="48">
        <f t="shared" si="10"/>
        <v>22491.29721207996</v>
      </c>
      <c r="S17" s="48">
        <f t="shared" si="15"/>
        <v>55112.013070636116</v>
      </c>
      <c r="T17" s="49">
        <f t="shared" si="12"/>
        <v>4588039.4930395205</v>
      </c>
    </row>
    <row r="18" spans="1:20" x14ac:dyDescent="0.25">
      <c r="A18" s="46">
        <f t="shared" si="13"/>
        <v>2</v>
      </c>
      <c r="B18" s="46">
        <v>14</v>
      </c>
      <c r="C18" s="46">
        <f>MIN(ROUND('Corrected data'!C15*IF(MOD(B18,12)=3,Parameters!$D$19,1),0),2000)</f>
        <v>992</v>
      </c>
      <c r="D18" s="46">
        <f>Parameters!$D$8*C18</f>
        <v>1984</v>
      </c>
      <c r="E18" s="46">
        <f>Parameters!$D$9*C18</f>
        <v>992</v>
      </c>
      <c r="F18" s="51" t="str">
        <f t="shared" si="11"/>
        <v>Winter</v>
      </c>
      <c r="G18" s="48">
        <f t="shared" si="2"/>
        <v>287680</v>
      </c>
      <c r="H18" s="52">
        <f t="shared" si="3"/>
        <v>22332.514228160751</v>
      </c>
      <c r="I18" s="48">
        <f t="shared" si="4"/>
        <v>30000</v>
      </c>
      <c r="J18" s="48">
        <f t="shared" si="5"/>
        <v>7000</v>
      </c>
      <c r="K18" s="48">
        <f t="shared" si="6"/>
        <v>456320</v>
      </c>
      <c r="L18" s="48">
        <f t="shared" si="7"/>
        <v>347012.51422816073</v>
      </c>
      <c r="M18" s="48">
        <f t="shared" si="8"/>
        <v>27326.871442959819</v>
      </c>
      <c r="N18" s="49">
        <f t="shared" si="9"/>
        <v>81980.614328879456</v>
      </c>
      <c r="P18" s="46">
        <v>14</v>
      </c>
      <c r="Q18" s="49">
        <f t="shared" si="14"/>
        <v>4588039.4930395205</v>
      </c>
      <c r="R18" s="48">
        <f t="shared" si="10"/>
        <v>22332.514228160751</v>
      </c>
      <c r="S18" s="48">
        <f t="shared" si="15"/>
        <v>55112.013070636116</v>
      </c>
      <c r="T18" s="49">
        <f t="shared" si="12"/>
        <v>4555259.9941970445</v>
      </c>
    </row>
    <row r="19" spans="1:20" x14ac:dyDescent="0.25">
      <c r="A19" s="46">
        <f t="shared" si="13"/>
        <v>2</v>
      </c>
      <c r="B19" s="46">
        <v>15</v>
      </c>
      <c r="C19" s="46">
        <f>MIN(ROUND('Corrected data'!C16*IF(MOD(B19,12)=3,Parameters!$D$19,1),0),2000)</f>
        <v>1194</v>
      </c>
      <c r="D19" s="46">
        <f>Parameters!$D$8*C19</f>
        <v>2388</v>
      </c>
      <c r="E19" s="46">
        <f>Parameters!$D$9*C19</f>
        <v>1194</v>
      </c>
      <c r="F19" s="51" t="str">
        <f t="shared" si="11"/>
        <v>Summer</v>
      </c>
      <c r="G19" s="48">
        <f t="shared" si="2"/>
        <v>346260</v>
      </c>
      <c r="H19" s="52">
        <f t="shared" si="3"/>
        <v>22172.958360038396</v>
      </c>
      <c r="I19" s="48">
        <f t="shared" si="4"/>
        <v>30000</v>
      </c>
      <c r="J19" s="48">
        <f t="shared" si="5"/>
        <v>10000</v>
      </c>
      <c r="K19" s="48">
        <f t="shared" si="6"/>
        <v>573120</v>
      </c>
      <c r="L19" s="48">
        <f t="shared" si="7"/>
        <v>408432.95836003841</v>
      </c>
      <c r="M19" s="48">
        <f t="shared" si="8"/>
        <v>41171.760409990398</v>
      </c>
      <c r="N19" s="49">
        <f t="shared" si="9"/>
        <v>123515.28122997119</v>
      </c>
      <c r="P19" s="46">
        <v>15</v>
      </c>
      <c r="Q19" s="49">
        <f t="shared" si="14"/>
        <v>4555259.9941970445</v>
      </c>
      <c r="R19" s="48">
        <f t="shared" si="10"/>
        <v>22172.958360038396</v>
      </c>
      <c r="S19" s="48">
        <f t="shared" si="15"/>
        <v>55112.013070636116</v>
      </c>
      <c r="T19" s="49">
        <f t="shared" si="12"/>
        <v>4522320.9394864468</v>
      </c>
    </row>
    <row r="20" spans="1:20" x14ac:dyDescent="0.25">
      <c r="A20" s="46">
        <f t="shared" si="13"/>
        <v>2</v>
      </c>
      <c r="B20" s="46">
        <v>16</v>
      </c>
      <c r="C20" s="46">
        <f>MIN(ROUND('Corrected data'!C17*IF(MOD(B20,12)=3,Parameters!$D$19,1),0),2000)</f>
        <v>1236</v>
      </c>
      <c r="D20" s="46">
        <f>Parameters!$D$8*C20</f>
        <v>2472</v>
      </c>
      <c r="E20" s="46">
        <f>Parameters!$D$9*C20</f>
        <v>1236</v>
      </c>
      <c r="F20" s="51" t="str">
        <f t="shared" si="11"/>
        <v>Summer</v>
      </c>
      <c r="G20" s="48">
        <f t="shared" si="2"/>
        <v>358440</v>
      </c>
      <c r="H20" s="52">
        <f t="shared" si="3"/>
        <v>22012.625845659961</v>
      </c>
      <c r="I20" s="48">
        <f t="shared" si="4"/>
        <v>30000</v>
      </c>
      <c r="J20" s="48">
        <f t="shared" si="5"/>
        <v>10000</v>
      </c>
      <c r="K20" s="48">
        <f t="shared" si="6"/>
        <v>593280</v>
      </c>
      <c r="L20" s="48">
        <f t="shared" si="7"/>
        <v>420452.62584565999</v>
      </c>
      <c r="M20" s="48">
        <f t="shared" si="8"/>
        <v>43206.843538585003</v>
      </c>
      <c r="N20" s="49">
        <f t="shared" si="9"/>
        <v>129620.53061575501</v>
      </c>
      <c r="P20" s="46">
        <v>16</v>
      </c>
      <c r="Q20" s="49">
        <f t="shared" si="14"/>
        <v>4522320.9394864468</v>
      </c>
      <c r="R20" s="48">
        <f t="shared" si="10"/>
        <v>22012.625845659961</v>
      </c>
      <c r="S20" s="48">
        <f t="shared" si="15"/>
        <v>55112.013070636116</v>
      </c>
      <c r="T20" s="49">
        <f t="shared" si="12"/>
        <v>4489221.5522614699</v>
      </c>
    </row>
    <row r="21" spans="1:20" x14ac:dyDescent="0.25">
      <c r="A21" s="46">
        <f t="shared" si="13"/>
        <v>2</v>
      </c>
      <c r="B21" s="46">
        <v>17</v>
      </c>
      <c r="C21" s="46">
        <f>MIN(ROUND('Corrected data'!C18*IF(MOD(B21,12)=3,Parameters!$D$19,1),0),2000)</f>
        <v>1240</v>
      </c>
      <c r="D21" s="46">
        <f>Parameters!$D$8*C21</f>
        <v>2480</v>
      </c>
      <c r="E21" s="46">
        <f>Parameters!$D$9*C21</f>
        <v>1240</v>
      </c>
      <c r="F21" s="51" t="str">
        <f t="shared" si="11"/>
        <v>Summer</v>
      </c>
      <c r="G21" s="48">
        <f t="shared" si="2"/>
        <v>359600</v>
      </c>
      <c r="H21" s="52">
        <f t="shared" si="3"/>
        <v>21851.512904660514</v>
      </c>
      <c r="I21" s="48">
        <f t="shared" si="4"/>
        <v>30000</v>
      </c>
      <c r="J21" s="48">
        <f t="shared" si="5"/>
        <v>10000</v>
      </c>
      <c r="K21" s="48">
        <f t="shared" si="6"/>
        <v>595200</v>
      </c>
      <c r="L21" s="48">
        <f t="shared" si="7"/>
        <v>421451.51290466054</v>
      </c>
      <c r="M21" s="48">
        <f t="shared" si="8"/>
        <v>43437.121773834864</v>
      </c>
      <c r="N21" s="49">
        <f t="shared" si="9"/>
        <v>130311.36532150459</v>
      </c>
      <c r="P21" s="46">
        <v>17</v>
      </c>
      <c r="Q21" s="49">
        <f t="shared" si="14"/>
        <v>4489221.5522614699</v>
      </c>
      <c r="R21" s="48">
        <f t="shared" si="10"/>
        <v>21851.512904660514</v>
      </c>
      <c r="S21" s="48">
        <f t="shared" si="15"/>
        <v>55112.013070636116</v>
      </c>
      <c r="T21" s="49">
        <f t="shared" si="12"/>
        <v>4455961.0520954942</v>
      </c>
    </row>
    <row r="22" spans="1:20" x14ac:dyDescent="0.25">
      <c r="A22" s="46">
        <f t="shared" si="13"/>
        <v>2</v>
      </c>
      <c r="B22" s="46">
        <v>18</v>
      </c>
      <c r="C22" s="46">
        <f>MIN(ROUND('Corrected data'!C19*IF(MOD(B22,12)=3,Parameters!$D$19,1),0),2000)</f>
        <v>1244</v>
      </c>
      <c r="D22" s="46">
        <f>Parameters!$D$8*C22</f>
        <v>2488</v>
      </c>
      <c r="E22" s="46">
        <f>Parameters!$D$9*C22</f>
        <v>1244</v>
      </c>
      <c r="F22" s="51" t="str">
        <f t="shared" si="11"/>
        <v>Summer</v>
      </c>
      <c r="G22" s="48">
        <f t="shared" si="2"/>
        <v>360760</v>
      </c>
      <c r="H22" s="52">
        <f t="shared" si="3"/>
        <v>21689.615738274028</v>
      </c>
      <c r="I22" s="48">
        <f t="shared" si="4"/>
        <v>30000</v>
      </c>
      <c r="J22" s="48">
        <f t="shared" si="5"/>
        <v>10000</v>
      </c>
      <c r="K22" s="48">
        <f t="shared" si="6"/>
        <v>597120</v>
      </c>
      <c r="L22" s="48">
        <f t="shared" si="7"/>
        <v>422449.61573827401</v>
      </c>
      <c r="M22" s="48">
        <f t="shared" si="8"/>
        <v>43667.596065431499</v>
      </c>
      <c r="N22" s="49">
        <f t="shared" si="9"/>
        <v>131002.7881962945</v>
      </c>
      <c r="P22" s="46">
        <v>18</v>
      </c>
      <c r="Q22" s="49">
        <f t="shared" si="14"/>
        <v>4455961.0520954942</v>
      </c>
      <c r="R22" s="48">
        <f t="shared" si="10"/>
        <v>21689.615738274028</v>
      </c>
      <c r="S22" s="48">
        <f t="shared" si="15"/>
        <v>55112.013070636116</v>
      </c>
      <c r="T22" s="49">
        <f t="shared" si="12"/>
        <v>4422538.6547631314</v>
      </c>
    </row>
    <row r="23" spans="1:20" x14ac:dyDescent="0.25">
      <c r="A23" s="46">
        <f t="shared" si="13"/>
        <v>2</v>
      </c>
      <c r="B23" s="46">
        <v>19</v>
      </c>
      <c r="C23" s="46">
        <f>MIN(ROUND('Corrected data'!C20*IF(MOD(B23,12)=3,Parameters!$D$19,1),0),2000)</f>
        <v>1248</v>
      </c>
      <c r="D23" s="46">
        <f>Parameters!$D$8*C23</f>
        <v>2496</v>
      </c>
      <c r="E23" s="46">
        <f>Parameters!$D$9*C23</f>
        <v>1248</v>
      </c>
      <c r="F23" s="51" t="str">
        <f t="shared" si="11"/>
        <v>Summer</v>
      </c>
      <c r="G23" s="48">
        <f t="shared" si="2"/>
        <v>361920</v>
      </c>
      <c r="H23" s="52">
        <f t="shared" si="3"/>
        <v>21526.930529243764</v>
      </c>
      <c r="I23" s="48">
        <f t="shared" si="4"/>
        <v>30000</v>
      </c>
      <c r="J23" s="48">
        <f t="shared" si="5"/>
        <v>10000</v>
      </c>
      <c r="K23" s="48">
        <f t="shared" si="6"/>
        <v>599040</v>
      </c>
      <c r="L23" s="48">
        <f t="shared" si="7"/>
        <v>423446.93052924378</v>
      </c>
      <c r="M23" s="48">
        <f t="shared" si="8"/>
        <v>43898.267367689055</v>
      </c>
      <c r="N23" s="49">
        <f t="shared" si="9"/>
        <v>131694.80210306717</v>
      </c>
      <c r="P23" s="46">
        <v>19</v>
      </c>
      <c r="Q23" s="49">
        <f t="shared" si="14"/>
        <v>4422538.6547631314</v>
      </c>
      <c r="R23" s="48">
        <f t="shared" si="10"/>
        <v>21526.930529243764</v>
      </c>
      <c r="S23" s="48">
        <f t="shared" si="15"/>
        <v>55112.013070636116</v>
      </c>
      <c r="T23" s="49">
        <f t="shared" si="12"/>
        <v>4388953.5722217383</v>
      </c>
    </row>
    <row r="24" spans="1:20" x14ac:dyDescent="0.25">
      <c r="A24" s="46">
        <f t="shared" si="13"/>
        <v>2</v>
      </c>
      <c r="B24" s="46">
        <v>20</v>
      </c>
      <c r="C24" s="46">
        <f>MIN(ROUND('Corrected data'!C21*IF(MOD(B24,12)=3,Parameters!$D$19,1),0),2000)</f>
        <v>1279</v>
      </c>
      <c r="D24" s="46">
        <f>Parameters!$D$8*C24</f>
        <v>2558</v>
      </c>
      <c r="E24" s="46">
        <f>Parameters!$D$9*C24</f>
        <v>1279</v>
      </c>
      <c r="F24" s="51" t="str">
        <f t="shared" si="11"/>
        <v>Summer</v>
      </c>
      <c r="G24" s="48">
        <f t="shared" si="2"/>
        <v>370910</v>
      </c>
      <c r="H24" s="52">
        <f t="shared" si="3"/>
        <v>21363.453441732316</v>
      </c>
      <c r="I24" s="48">
        <f t="shared" si="4"/>
        <v>30000</v>
      </c>
      <c r="J24" s="48">
        <f t="shared" si="5"/>
        <v>10000</v>
      </c>
      <c r="K24" s="48">
        <f t="shared" si="6"/>
        <v>613920</v>
      </c>
      <c r="L24" s="48">
        <f t="shared" si="7"/>
        <v>432273.45344173233</v>
      </c>
      <c r="M24" s="48">
        <f t="shared" si="8"/>
        <v>45411.636639566917</v>
      </c>
      <c r="N24" s="49">
        <f t="shared" si="9"/>
        <v>136234.90991870075</v>
      </c>
      <c r="P24" s="46">
        <v>20</v>
      </c>
      <c r="Q24" s="49">
        <f t="shared" si="14"/>
        <v>4388953.5722217383</v>
      </c>
      <c r="R24" s="48">
        <f t="shared" si="10"/>
        <v>21363.453441732316</v>
      </c>
      <c r="S24" s="48">
        <f t="shared" si="15"/>
        <v>55112.013070636116</v>
      </c>
      <c r="T24" s="49">
        <f t="shared" si="12"/>
        <v>4355205.0125928344</v>
      </c>
    </row>
    <row r="25" spans="1:20" x14ac:dyDescent="0.25">
      <c r="A25" s="46">
        <f t="shared" si="13"/>
        <v>2</v>
      </c>
      <c r="B25" s="46">
        <v>21</v>
      </c>
      <c r="C25" s="46">
        <f>MIN(ROUND('Corrected data'!C22*IF(MOD(B25,12)=3,Parameters!$D$19,1),0),2000)</f>
        <v>1256</v>
      </c>
      <c r="D25" s="46">
        <f>Parameters!$D$8*C25</f>
        <v>2512</v>
      </c>
      <c r="E25" s="46">
        <f>Parameters!$D$9*C25</f>
        <v>1256</v>
      </c>
      <c r="F25" s="51" t="str">
        <f t="shared" si="11"/>
        <v>Summer</v>
      </c>
      <c r="G25" s="48">
        <f t="shared" si="2"/>
        <v>364240</v>
      </c>
      <c r="H25" s="52">
        <f t="shared" si="3"/>
        <v>21199.180621231131</v>
      </c>
      <c r="I25" s="48">
        <f t="shared" si="4"/>
        <v>30000</v>
      </c>
      <c r="J25" s="48">
        <f t="shared" si="5"/>
        <v>10000</v>
      </c>
      <c r="K25" s="48">
        <f t="shared" si="6"/>
        <v>602880</v>
      </c>
      <c r="L25" s="48">
        <f t="shared" si="7"/>
        <v>425439.18062123115</v>
      </c>
      <c r="M25" s="48">
        <f t="shared" si="8"/>
        <v>44360.204844692213</v>
      </c>
      <c r="N25" s="49">
        <f t="shared" si="9"/>
        <v>133080.61453407665</v>
      </c>
      <c r="P25" s="46">
        <v>21</v>
      </c>
      <c r="Q25" s="49">
        <f t="shared" si="14"/>
        <v>4355205.0125928344</v>
      </c>
      <c r="R25" s="48">
        <f t="shared" si="10"/>
        <v>21199.180621231131</v>
      </c>
      <c r="S25" s="48">
        <f t="shared" si="15"/>
        <v>55112.013070636116</v>
      </c>
      <c r="T25" s="49">
        <f t="shared" si="12"/>
        <v>4321292.180143429</v>
      </c>
    </row>
    <row r="26" spans="1:20" x14ac:dyDescent="0.25">
      <c r="A26" s="46">
        <f t="shared" si="13"/>
        <v>2</v>
      </c>
      <c r="B26" s="46">
        <v>22</v>
      </c>
      <c r="C26" s="46">
        <f>MIN(ROUND('Corrected data'!C23*IF(MOD(B26,12)=3,Parameters!$D$19,1),0),2000)</f>
        <v>1260</v>
      </c>
      <c r="D26" s="46">
        <f>Parameters!$D$8*C26</f>
        <v>2520</v>
      </c>
      <c r="E26" s="46">
        <f>Parameters!$D$9*C26</f>
        <v>1260</v>
      </c>
      <c r="F26" s="51" t="str">
        <f t="shared" si="11"/>
        <v>Summer</v>
      </c>
      <c r="G26" s="48">
        <f t="shared" si="2"/>
        <v>365400</v>
      </c>
      <c r="H26" s="52">
        <f t="shared" si="3"/>
        <v>21034.108194469642</v>
      </c>
      <c r="I26" s="48">
        <f t="shared" si="4"/>
        <v>30000</v>
      </c>
      <c r="J26" s="48">
        <f t="shared" si="5"/>
        <v>10000</v>
      </c>
      <c r="K26" s="48">
        <f t="shared" si="6"/>
        <v>604800</v>
      </c>
      <c r="L26" s="48">
        <f t="shared" si="7"/>
        <v>426434.10819446965</v>
      </c>
      <c r="M26" s="48">
        <f t="shared" si="8"/>
        <v>44591.472951382588</v>
      </c>
      <c r="N26" s="49">
        <f t="shared" si="9"/>
        <v>133774.41885414778</v>
      </c>
      <c r="P26" s="46">
        <v>22</v>
      </c>
      <c r="Q26" s="49">
        <f t="shared" si="14"/>
        <v>4321292.180143429</v>
      </c>
      <c r="R26" s="48">
        <f t="shared" si="10"/>
        <v>21034.108194469642</v>
      </c>
      <c r="S26" s="48">
        <f t="shared" si="15"/>
        <v>55112.013070636116</v>
      </c>
      <c r="T26" s="49">
        <f t="shared" si="12"/>
        <v>4287214.275267262</v>
      </c>
    </row>
    <row r="27" spans="1:20" x14ac:dyDescent="0.25">
      <c r="A27" s="46">
        <f t="shared" si="13"/>
        <v>2</v>
      </c>
      <c r="B27" s="46">
        <v>23</v>
      </c>
      <c r="C27" s="46">
        <f>MIN(ROUND('Corrected data'!C24*IF(MOD(B27,12)=3,Parameters!$D$19,1),0),2000)</f>
        <v>1264</v>
      </c>
      <c r="D27" s="46">
        <f>Parameters!$D$8*C27</f>
        <v>2528</v>
      </c>
      <c r="E27" s="46">
        <f>Parameters!$D$9*C27</f>
        <v>1264</v>
      </c>
      <c r="F27" s="51" t="str">
        <f t="shared" si="11"/>
        <v>Summer</v>
      </c>
      <c r="G27" s="48">
        <f t="shared" si="2"/>
        <v>366560</v>
      </c>
      <c r="H27" s="52">
        <f t="shared" si="3"/>
        <v>20868.232269323948</v>
      </c>
      <c r="I27" s="48">
        <f t="shared" si="4"/>
        <v>30000</v>
      </c>
      <c r="J27" s="48">
        <f t="shared" si="5"/>
        <v>10000</v>
      </c>
      <c r="K27" s="48">
        <f t="shared" si="6"/>
        <v>606720</v>
      </c>
      <c r="L27" s="48">
        <f t="shared" si="7"/>
        <v>427428.23226932395</v>
      </c>
      <c r="M27" s="48">
        <f t="shared" si="8"/>
        <v>44822.941932669011</v>
      </c>
      <c r="N27" s="49">
        <f t="shared" si="9"/>
        <v>134468.82579800702</v>
      </c>
      <c r="P27" s="46">
        <v>23</v>
      </c>
      <c r="Q27" s="49">
        <f t="shared" si="14"/>
        <v>4287214.275267262</v>
      </c>
      <c r="R27" s="48">
        <f t="shared" si="10"/>
        <v>20868.232269323948</v>
      </c>
      <c r="S27" s="48">
        <f t="shared" si="15"/>
        <v>55112.013070636116</v>
      </c>
      <c r="T27" s="49">
        <f t="shared" si="12"/>
        <v>4252970.4944659499</v>
      </c>
    </row>
    <row r="28" spans="1:20" x14ac:dyDescent="0.25">
      <c r="A28" s="46">
        <f t="shared" si="13"/>
        <v>2</v>
      </c>
      <c r="B28" s="46">
        <v>24</v>
      </c>
      <c r="C28" s="46">
        <f>MIN(ROUND('Corrected data'!C25*IF(MOD(B28,12)=3,Parameters!$D$19,1),0),2000)</f>
        <v>1268</v>
      </c>
      <c r="D28" s="46">
        <f>Parameters!$D$8*C28</f>
        <v>2536</v>
      </c>
      <c r="E28" s="46">
        <f>Parameters!$D$9*C28</f>
        <v>1268</v>
      </c>
      <c r="F28" s="51" t="str">
        <f t="shared" si="11"/>
        <v>Summer</v>
      </c>
      <c r="G28" s="48">
        <f t="shared" si="2"/>
        <v>367720</v>
      </c>
      <c r="H28" s="52">
        <f t="shared" si="3"/>
        <v>20701.54893472504</v>
      </c>
      <c r="I28" s="48">
        <f t="shared" si="4"/>
        <v>30000</v>
      </c>
      <c r="J28" s="48">
        <f t="shared" si="5"/>
        <v>10000</v>
      </c>
      <c r="K28" s="48">
        <f t="shared" si="6"/>
        <v>608640</v>
      </c>
      <c r="L28" s="48">
        <f t="shared" si="7"/>
        <v>428421.54893472506</v>
      </c>
      <c r="M28" s="48">
        <f t="shared" si="8"/>
        <v>45054.612766318736</v>
      </c>
      <c r="N28" s="49">
        <f t="shared" si="9"/>
        <v>135163.83829895622</v>
      </c>
      <c r="P28" s="46">
        <v>24</v>
      </c>
      <c r="Q28" s="49">
        <f t="shared" si="14"/>
        <v>4252970.4944659499</v>
      </c>
      <c r="R28" s="48">
        <f t="shared" si="10"/>
        <v>20701.54893472504</v>
      </c>
      <c r="S28" s="48">
        <f t="shared" si="15"/>
        <v>55112.013070636116</v>
      </c>
      <c r="T28" s="49">
        <f t="shared" si="12"/>
        <v>4218560.0303300386</v>
      </c>
    </row>
    <row r="29" spans="1:20" x14ac:dyDescent="0.25">
      <c r="A29" s="46">
        <f t="shared" si="13"/>
        <v>3</v>
      </c>
      <c r="B29" s="46">
        <v>25</v>
      </c>
      <c r="C29" s="46">
        <f>MIN(ROUND('Corrected data'!C26*IF(MOD(B29,12)=3,Parameters!$D$19,1),0),2000)</f>
        <v>1024</v>
      </c>
      <c r="D29" s="46">
        <f>Parameters!$D$8*C29</f>
        <v>2048</v>
      </c>
      <c r="E29" s="46">
        <f>Parameters!$D$9*C29</f>
        <v>1024</v>
      </c>
      <c r="F29" s="51" t="str">
        <f t="shared" si="11"/>
        <v>Winter</v>
      </c>
      <c r="G29" s="48">
        <f t="shared" si="2"/>
        <v>296960</v>
      </c>
      <c r="H29" s="52">
        <f t="shared" si="3"/>
        <v>20534.054260566569</v>
      </c>
      <c r="I29" s="48">
        <f t="shared" si="4"/>
        <v>30000</v>
      </c>
      <c r="J29" s="48">
        <f t="shared" si="5"/>
        <v>7000</v>
      </c>
      <c r="K29" s="48">
        <f t="shared" si="6"/>
        <v>471040</v>
      </c>
      <c r="L29" s="48">
        <f t="shared" si="7"/>
        <v>354494.0542605666</v>
      </c>
      <c r="M29" s="48">
        <f t="shared" si="8"/>
        <v>29136.486434858351</v>
      </c>
      <c r="N29" s="49">
        <f t="shared" si="9"/>
        <v>87409.459304575052</v>
      </c>
      <c r="P29" s="46">
        <v>25</v>
      </c>
      <c r="Q29" s="49">
        <f t="shared" si="14"/>
        <v>4218560.0303300386</v>
      </c>
      <c r="R29" s="48">
        <f t="shared" si="10"/>
        <v>20534.054260566569</v>
      </c>
      <c r="S29" s="48">
        <f t="shared" si="15"/>
        <v>55112.013070636116</v>
      </c>
      <c r="T29" s="49">
        <f t="shared" si="12"/>
        <v>4183982.0715199695</v>
      </c>
    </row>
    <row r="30" spans="1:20" x14ac:dyDescent="0.25">
      <c r="A30" s="46">
        <f t="shared" si="13"/>
        <v>3</v>
      </c>
      <c r="B30" s="46">
        <v>26</v>
      </c>
      <c r="C30" s="46">
        <f>MIN(ROUND('Corrected data'!C27*IF(MOD(B30,12)=3,Parameters!$D$19,1),0),2000)</f>
        <v>1028</v>
      </c>
      <c r="D30" s="46">
        <f>Parameters!$D$8*C30</f>
        <v>2056</v>
      </c>
      <c r="E30" s="46">
        <f>Parameters!$D$9*C30</f>
        <v>1028</v>
      </c>
      <c r="F30" s="51" t="str">
        <f t="shared" si="11"/>
        <v>Winter</v>
      </c>
      <c r="G30" s="48">
        <f t="shared" si="2"/>
        <v>298120</v>
      </c>
      <c r="H30" s="52">
        <f t="shared" si="3"/>
        <v>20365.744297612207</v>
      </c>
      <c r="I30" s="48">
        <f t="shared" si="4"/>
        <v>30000</v>
      </c>
      <c r="J30" s="48">
        <f t="shared" si="5"/>
        <v>7000</v>
      </c>
      <c r="K30" s="48">
        <f t="shared" si="6"/>
        <v>472880</v>
      </c>
      <c r="L30" s="48">
        <f t="shared" si="7"/>
        <v>355485.74429761223</v>
      </c>
      <c r="M30" s="48">
        <f t="shared" si="8"/>
        <v>29348.563925596944</v>
      </c>
      <c r="N30" s="49">
        <f t="shared" si="9"/>
        <v>88045.691776790831</v>
      </c>
      <c r="P30" s="46">
        <v>26</v>
      </c>
      <c r="Q30" s="49">
        <f t="shared" si="14"/>
        <v>4183982.0715199695</v>
      </c>
      <c r="R30" s="48">
        <f t="shared" si="10"/>
        <v>20365.744297612207</v>
      </c>
      <c r="S30" s="48">
        <f t="shared" si="15"/>
        <v>55112.013070636116</v>
      </c>
      <c r="T30" s="49">
        <f t="shared" si="12"/>
        <v>4149235.8027469455</v>
      </c>
    </row>
    <row r="31" spans="1:20" x14ac:dyDescent="0.25">
      <c r="A31" s="46">
        <f t="shared" si="13"/>
        <v>3</v>
      </c>
      <c r="B31" s="46">
        <v>27</v>
      </c>
      <c r="C31" s="46">
        <f>MIN(ROUND('Corrected data'!C28*IF(MOD(B31,12)=3,Parameters!$D$19,1),0),2000)</f>
        <v>1260</v>
      </c>
      <c r="D31" s="46">
        <f>Parameters!$D$8*C31</f>
        <v>2520</v>
      </c>
      <c r="E31" s="46">
        <f>Parameters!$D$9*C31</f>
        <v>1260</v>
      </c>
      <c r="F31" s="51" t="str">
        <f t="shared" si="11"/>
        <v>Summer</v>
      </c>
      <c r="G31" s="48">
        <f t="shared" si="2"/>
        <v>365400</v>
      </c>
      <c r="H31" s="52">
        <f t="shared" si="3"/>
        <v>20196.615077402512</v>
      </c>
      <c r="I31" s="48">
        <f t="shared" si="4"/>
        <v>30000</v>
      </c>
      <c r="J31" s="48">
        <f t="shared" si="5"/>
        <v>10000</v>
      </c>
      <c r="K31" s="48">
        <f t="shared" si="6"/>
        <v>604800</v>
      </c>
      <c r="L31" s="48">
        <f t="shared" si="7"/>
        <v>425596.6150774025</v>
      </c>
      <c r="M31" s="48">
        <f t="shared" si="8"/>
        <v>44800.846230649375</v>
      </c>
      <c r="N31" s="49">
        <f t="shared" si="9"/>
        <v>134402.53869194811</v>
      </c>
      <c r="P31" s="46">
        <v>27</v>
      </c>
      <c r="Q31" s="49">
        <f t="shared" si="14"/>
        <v>4149235.8027469455</v>
      </c>
      <c r="R31" s="48">
        <f t="shared" si="10"/>
        <v>20196.615077402512</v>
      </c>
      <c r="S31" s="48">
        <f t="shared" si="15"/>
        <v>55112.013070636116</v>
      </c>
      <c r="T31" s="49">
        <f t="shared" si="12"/>
        <v>4114320.404753712</v>
      </c>
    </row>
    <row r="32" spans="1:20" x14ac:dyDescent="0.25">
      <c r="A32" s="46">
        <f t="shared" si="13"/>
        <v>3</v>
      </c>
      <c r="B32" s="46">
        <v>28</v>
      </c>
      <c r="C32" s="46">
        <f>MIN(ROUND('Corrected data'!C29*IF(MOD(B32,12)=3,Parameters!$D$19,1),0),2000)</f>
        <v>1280</v>
      </c>
      <c r="D32" s="46">
        <f>Parameters!$D$8*C32</f>
        <v>2560</v>
      </c>
      <c r="E32" s="46">
        <f>Parameters!$D$9*C32</f>
        <v>1280</v>
      </c>
      <c r="F32" s="51" t="str">
        <f t="shared" si="11"/>
        <v>Summer</v>
      </c>
      <c r="G32" s="48">
        <f t="shared" si="2"/>
        <v>371200</v>
      </c>
      <c r="H32" s="52">
        <f t="shared" si="3"/>
        <v>20026.66261216137</v>
      </c>
      <c r="I32" s="48">
        <f t="shared" si="4"/>
        <v>30000</v>
      </c>
      <c r="J32" s="48">
        <f t="shared" si="5"/>
        <v>10000</v>
      </c>
      <c r="K32" s="48">
        <f t="shared" si="6"/>
        <v>614400</v>
      </c>
      <c r="L32" s="48">
        <f t="shared" si="7"/>
        <v>431226.66261216137</v>
      </c>
      <c r="M32" s="48">
        <f t="shared" si="8"/>
        <v>45793.334346959658</v>
      </c>
      <c r="N32" s="49">
        <f t="shared" si="9"/>
        <v>137380.00304087898</v>
      </c>
      <c r="P32" s="46">
        <v>28</v>
      </c>
      <c r="Q32" s="49">
        <f t="shared" si="14"/>
        <v>4114320.404753712</v>
      </c>
      <c r="R32" s="48">
        <f t="shared" si="10"/>
        <v>20026.66261216137</v>
      </c>
      <c r="S32" s="48">
        <f t="shared" si="15"/>
        <v>55112.013070636116</v>
      </c>
      <c r="T32" s="49">
        <f t="shared" si="12"/>
        <v>4079235.0542952376</v>
      </c>
    </row>
    <row r="33" spans="1:20" x14ac:dyDescent="0.25">
      <c r="A33" s="46">
        <f t="shared" si="13"/>
        <v>3</v>
      </c>
      <c r="B33" s="46">
        <v>29</v>
      </c>
      <c r="C33" s="46">
        <f>MIN(ROUND('Corrected data'!C30*IF(MOD(B33,12)=3,Parameters!$D$19,1),0),2000)</f>
        <v>1284</v>
      </c>
      <c r="D33" s="46">
        <f>Parameters!$D$8*C33</f>
        <v>2568</v>
      </c>
      <c r="E33" s="46">
        <f>Parameters!$D$9*C33</f>
        <v>1284</v>
      </c>
      <c r="F33" s="51" t="str">
        <f t="shared" si="11"/>
        <v>Summer</v>
      </c>
      <c r="G33" s="48">
        <f t="shared" si="2"/>
        <v>372360</v>
      </c>
      <c r="H33" s="52">
        <f t="shared" si="3"/>
        <v>19855.882894701965</v>
      </c>
      <c r="I33" s="48">
        <f t="shared" si="4"/>
        <v>30000</v>
      </c>
      <c r="J33" s="48">
        <f t="shared" si="5"/>
        <v>10000</v>
      </c>
      <c r="K33" s="48">
        <f t="shared" si="6"/>
        <v>616320</v>
      </c>
      <c r="L33" s="48">
        <f t="shared" si="7"/>
        <v>432215.88289470196</v>
      </c>
      <c r="M33" s="48">
        <f t="shared" si="8"/>
        <v>46026.029276324509</v>
      </c>
      <c r="N33" s="49">
        <f t="shared" si="9"/>
        <v>138078.08782897354</v>
      </c>
      <c r="P33" s="46">
        <v>29</v>
      </c>
      <c r="Q33" s="49">
        <f t="shared" si="14"/>
        <v>4079235.0542952376</v>
      </c>
      <c r="R33" s="48">
        <f t="shared" si="10"/>
        <v>19855.882894701965</v>
      </c>
      <c r="S33" s="48">
        <f t="shared" si="15"/>
        <v>55112.013070636116</v>
      </c>
      <c r="T33" s="49">
        <f t="shared" si="12"/>
        <v>4043978.9241193035</v>
      </c>
    </row>
    <row r="34" spans="1:20" x14ac:dyDescent="0.25">
      <c r="A34" s="46">
        <f t="shared" si="13"/>
        <v>3</v>
      </c>
      <c r="B34" s="46">
        <v>30</v>
      </c>
      <c r="C34" s="46">
        <f>MIN(ROUND('Corrected data'!C31*IF(MOD(B34,12)=3,Parameters!$D$19,1),0),2000)</f>
        <v>1288</v>
      </c>
      <c r="D34" s="46">
        <f>Parameters!$D$8*C34</f>
        <v>2576</v>
      </c>
      <c r="E34" s="46">
        <f>Parameters!$D$9*C34</f>
        <v>1288</v>
      </c>
      <c r="F34" s="51" t="str">
        <f t="shared" si="11"/>
        <v>Summer</v>
      </c>
      <c r="G34" s="48">
        <f t="shared" si="2"/>
        <v>373520</v>
      </c>
      <c r="H34" s="52">
        <f t="shared" si="3"/>
        <v>19684.271898332288</v>
      </c>
      <c r="I34" s="48">
        <f t="shared" si="4"/>
        <v>30000</v>
      </c>
      <c r="J34" s="48">
        <f t="shared" si="5"/>
        <v>10000</v>
      </c>
      <c r="K34" s="48">
        <f t="shared" si="6"/>
        <v>618240</v>
      </c>
      <c r="L34" s="48">
        <f t="shared" si="7"/>
        <v>433204.27189833228</v>
      </c>
      <c r="M34" s="48">
        <f t="shared" si="8"/>
        <v>46258.932025416929</v>
      </c>
      <c r="N34" s="49">
        <f t="shared" si="9"/>
        <v>138776.79607625079</v>
      </c>
      <c r="P34" s="46">
        <v>30</v>
      </c>
      <c r="Q34" s="49">
        <f t="shared" si="14"/>
        <v>4043978.9241193035</v>
      </c>
      <c r="R34" s="48">
        <f t="shared" si="10"/>
        <v>19684.271898332288</v>
      </c>
      <c r="S34" s="48">
        <f t="shared" si="15"/>
        <v>55112.013070636116</v>
      </c>
      <c r="T34" s="49">
        <f t="shared" si="12"/>
        <v>4008551.182947</v>
      </c>
    </row>
    <row r="35" spans="1:20" x14ac:dyDescent="0.25">
      <c r="A35" s="46">
        <f t="shared" si="13"/>
        <v>3</v>
      </c>
      <c r="B35" s="46">
        <v>31</v>
      </c>
      <c r="C35" s="46">
        <f>MIN(ROUND('Corrected data'!C32*IF(MOD(B35,12)=3,Parameters!$D$19,1),0),2000)</f>
        <v>1293</v>
      </c>
      <c r="D35" s="46">
        <f>Parameters!$D$8*C35</f>
        <v>2586</v>
      </c>
      <c r="E35" s="46">
        <f>Parameters!$D$9*C35</f>
        <v>1293</v>
      </c>
      <c r="F35" s="51" t="str">
        <f t="shared" si="11"/>
        <v>Summer</v>
      </c>
      <c r="G35" s="48">
        <f t="shared" si="2"/>
        <v>374970</v>
      </c>
      <c r="H35" s="52">
        <f t="shared" si="3"/>
        <v>19511.825576760217</v>
      </c>
      <c r="I35" s="48">
        <f t="shared" si="4"/>
        <v>30000</v>
      </c>
      <c r="J35" s="48">
        <f t="shared" si="5"/>
        <v>10000</v>
      </c>
      <c r="K35" s="48">
        <f t="shared" si="6"/>
        <v>620640</v>
      </c>
      <c r="L35" s="48">
        <f t="shared" si="7"/>
        <v>434481.82557676022</v>
      </c>
      <c r="M35" s="48">
        <f t="shared" si="8"/>
        <v>46539.543605809944</v>
      </c>
      <c r="N35" s="49">
        <f t="shared" si="9"/>
        <v>139618.63081742983</v>
      </c>
      <c r="P35" s="46">
        <v>31</v>
      </c>
      <c r="Q35" s="49">
        <f t="shared" si="14"/>
        <v>4008551.182947</v>
      </c>
      <c r="R35" s="48">
        <f t="shared" si="10"/>
        <v>19511.825576760217</v>
      </c>
      <c r="S35" s="48">
        <f t="shared" si="15"/>
        <v>55112.013070636116</v>
      </c>
      <c r="T35" s="49">
        <f t="shared" si="12"/>
        <v>3972950.9954531244</v>
      </c>
    </row>
    <row r="36" spans="1:20" x14ac:dyDescent="0.25">
      <c r="A36" s="46">
        <f t="shared" si="13"/>
        <v>3</v>
      </c>
      <c r="B36" s="46">
        <v>32</v>
      </c>
      <c r="C36" s="46">
        <f>MIN(ROUND('Corrected data'!C33*IF(MOD(B36,12)=3,Parameters!$D$19,1),0),2000)</f>
        <v>1350</v>
      </c>
      <c r="D36" s="46">
        <f>Parameters!$D$8*C36</f>
        <v>2700</v>
      </c>
      <c r="E36" s="46">
        <f>Parameters!$D$9*C36</f>
        <v>1350</v>
      </c>
      <c r="F36" s="51" t="str">
        <f t="shared" si="11"/>
        <v>Summer</v>
      </c>
      <c r="G36" s="48">
        <f t="shared" si="2"/>
        <v>391500</v>
      </c>
      <c r="H36" s="52">
        <f t="shared" si="3"/>
        <v>19338.539863998081</v>
      </c>
      <c r="I36" s="48">
        <f t="shared" si="4"/>
        <v>30000</v>
      </c>
      <c r="J36" s="48">
        <f t="shared" si="5"/>
        <v>10000</v>
      </c>
      <c r="K36" s="48">
        <f t="shared" si="6"/>
        <v>648000</v>
      </c>
      <c r="L36" s="48">
        <f t="shared" si="7"/>
        <v>450838.53986399807</v>
      </c>
      <c r="M36" s="48">
        <f t="shared" si="8"/>
        <v>49290.365034000482</v>
      </c>
      <c r="N36" s="49">
        <f t="shared" si="9"/>
        <v>147871.09510200145</v>
      </c>
      <c r="P36" s="46">
        <v>32</v>
      </c>
      <c r="Q36" s="49">
        <f t="shared" si="14"/>
        <v>3972950.9954531244</v>
      </c>
      <c r="R36" s="48">
        <f t="shared" si="10"/>
        <v>19338.539863998081</v>
      </c>
      <c r="S36" s="48">
        <f t="shared" si="15"/>
        <v>55112.013070636116</v>
      </c>
      <c r="T36" s="49">
        <f t="shared" si="12"/>
        <v>3937177.5222464865</v>
      </c>
    </row>
    <row r="37" spans="1:20" x14ac:dyDescent="0.25">
      <c r="A37" s="46">
        <f t="shared" si="13"/>
        <v>3</v>
      </c>
      <c r="B37" s="46">
        <v>33</v>
      </c>
      <c r="C37" s="46">
        <f>MIN(ROUND('Corrected data'!C34*IF(MOD(B37,12)=3,Parameters!$D$19,1),0),2000)</f>
        <v>1303</v>
      </c>
      <c r="D37" s="46">
        <f>Parameters!$D$8*C37</f>
        <v>2606</v>
      </c>
      <c r="E37" s="46">
        <f>Parameters!$D$9*C37</f>
        <v>1303</v>
      </c>
      <c r="F37" s="51" t="str">
        <f t="shared" si="11"/>
        <v>Summer</v>
      </c>
      <c r="G37" s="48">
        <f t="shared" ref="G37:G68" si="16">C37*Cost_Icecream+D37*cost_choc_syrup+E37*cost_straw_syrup</f>
        <v>377870</v>
      </c>
      <c r="H37" s="52">
        <f t="shared" ref="H37:H68" si="17">R37</f>
        <v>19164.410674266826</v>
      </c>
      <c r="I37" s="48">
        <f t="shared" ref="I37:I68" si="18">Salary</f>
        <v>30000</v>
      </c>
      <c r="J37" s="48">
        <f t="shared" si="5"/>
        <v>10000</v>
      </c>
      <c r="K37" s="48">
        <f t="shared" si="6"/>
        <v>625440</v>
      </c>
      <c r="L37" s="48">
        <f t="shared" ref="L37:L68" si="19">SUM(G37:J37)</f>
        <v>437034.41067426681</v>
      </c>
      <c r="M37" s="48">
        <f t="shared" si="8"/>
        <v>47101.397331433298</v>
      </c>
      <c r="N37" s="49">
        <f t="shared" ref="N37:N68" si="20">K37-L37-M37</f>
        <v>141304.19199429988</v>
      </c>
      <c r="P37" s="46">
        <v>33</v>
      </c>
      <c r="Q37" s="49">
        <f t="shared" si="14"/>
        <v>3937177.5222464865</v>
      </c>
      <c r="R37" s="48">
        <f t="shared" ref="R37:R68" si="21">Q37*$U$1</f>
        <v>19164.410674266826</v>
      </c>
      <c r="S37" s="48">
        <f t="shared" si="15"/>
        <v>55112.013070636116</v>
      </c>
      <c r="T37" s="49">
        <f t="shared" si="12"/>
        <v>3901229.9198501175</v>
      </c>
    </row>
    <row r="38" spans="1:20" x14ac:dyDescent="0.25">
      <c r="A38" s="46">
        <f t="shared" si="13"/>
        <v>3</v>
      </c>
      <c r="B38" s="46">
        <v>34</v>
      </c>
      <c r="C38" s="46">
        <f>MIN(ROUND('Corrected data'!C35*IF(MOD(B38,12)=3,Parameters!$D$19,1),0),2000)</f>
        <v>1308</v>
      </c>
      <c r="D38" s="46">
        <f>Parameters!$D$8*C38</f>
        <v>2616</v>
      </c>
      <c r="E38" s="46">
        <f>Parameters!$D$9*C38</f>
        <v>1308</v>
      </c>
      <c r="F38" s="51" t="str">
        <f t="shared" si="11"/>
        <v>Summer</v>
      </c>
      <c r="G38" s="48">
        <f t="shared" si="16"/>
        <v>379320</v>
      </c>
      <c r="H38" s="52">
        <f t="shared" si="17"/>
        <v>18989.433901899654</v>
      </c>
      <c r="I38" s="48">
        <f t="shared" si="18"/>
        <v>30000</v>
      </c>
      <c r="J38" s="48">
        <f t="shared" si="5"/>
        <v>10000</v>
      </c>
      <c r="K38" s="48">
        <f t="shared" si="6"/>
        <v>627840</v>
      </c>
      <c r="L38" s="48">
        <f t="shared" si="19"/>
        <v>438309.43390189967</v>
      </c>
      <c r="M38" s="48">
        <f t="shared" si="8"/>
        <v>47382.641524525083</v>
      </c>
      <c r="N38" s="49">
        <f t="shared" si="20"/>
        <v>142147.92457357526</v>
      </c>
      <c r="P38" s="46">
        <v>34</v>
      </c>
      <c r="Q38" s="49">
        <f t="shared" si="14"/>
        <v>3901229.9198501175</v>
      </c>
      <c r="R38" s="48">
        <f t="shared" si="21"/>
        <v>18989.433901899654</v>
      </c>
      <c r="S38" s="48">
        <f t="shared" si="15"/>
        <v>55112.013070636116</v>
      </c>
      <c r="T38" s="49">
        <f t="shared" si="12"/>
        <v>3865107.3406813811</v>
      </c>
    </row>
    <row r="39" spans="1:20" x14ac:dyDescent="0.25">
      <c r="A39" s="46">
        <f t="shared" si="13"/>
        <v>3</v>
      </c>
      <c r="B39" s="46">
        <v>35</v>
      </c>
      <c r="C39" s="46">
        <f>MIN(ROUND('Corrected data'!C36*IF(MOD(B39,12)=3,Parameters!$D$19,1),0),2000)</f>
        <v>1313</v>
      </c>
      <c r="D39" s="46">
        <f>Parameters!$D$8*C39</f>
        <v>2626</v>
      </c>
      <c r="E39" s="46">
        <f>Parameters!$D$9*C39</f>
        <v>1313</v>
      </c>
      <c r="F39" s="51" t="str">
        <f t="shared" si="11"/>
        <v>Summer</v>
      </c>
      <c r="G39" s="48">
        <f t="shared" si="16"/>
        <v>380770</v>
      </c>
      <c r="H39" s="52">
        <f t="shared" si="17"/>
        <v>18813.605421245222</v>
      </c>
      <c r="I39" s="48">
        <f t="shared" si="18"/>
        <v>30000</v>
      </c>
      <c r="J39" s="48">
        <f t="shared" si="5"/>
        <v>10000</v>
      </c>
      <c r="K39" s="48">
        <f t="shared" si="6"/>
        <v>630240</v>
      </c>
      <c r="L39" s="48">
        <f t="shared" si="19"/>
        <v>439583.60542124521</v>
      </c>
      <c r="M39" s="48">
        <f t="shared" si="8"/>
        <v>47664.098644688696</v>
      </c>
      <c r="N39" s="49">
        <f t="shared" si="20"/>
        <v>142992.29593406609</v>
      </c>
      <c r="P39" s="46">
        <v>35</v>
      </c>
      <c r="Q39" s="49">
        <f t="shared" si="14"/>
        <v>3865107.3406813811</v>
      </c>
      <c r="R39" s="48">
        <f t="shared" si="21"/>
        <v>18813.605421245222</v>
      </c>
      <c r="S39" s="48">
        <f t="shared" si="15"/>
        <v>55112.013070636116</v>
      </c>
      <c r="T39" s="49">
        <f t="shared" si="12"/>
        <v>3828808.9330319902</v>
      </c>
    </row>
    <row r="40" spans="1:20" x14ac:dyDescent="0.25">
      <c r="A40" s="46">
        <f t="shared" si="13"/>
        <v>3</v>
      </c>
      <c r="B40" s="46">
        <v>36</v>
      </c>
      <c r="C40" s="46">
        <f>MIN(ROUND('Corrected data'!C37*IF(MOD(B40,12)=3,Parameters!$D$19,1),0),2000)</f>
        <v>1318</v>
      </c>
      <c r="D40" s="46">
        <f>Parameters!$D$8*C40</f>
        <v>2636</v>
      </c>
      <c r="E40" s="46">
        <f>Parameters!$D$9*C40</f>
        <v>1318</v>
      </c>
      <c r="F40" s="51" t="str">
        <f t="shared" si="11"/>
        <v>Summer</v>
      </c>
      <c r="G40" s="48">
        <f t="shared" si="16"/>
        <v>382220</v>
      </c>
      <c r="H40" s="52">
        <f t="shared" si="17"/>
        <v>18636.921086570379</v>
      </c>
      <c r="I40" s="48">
        <f t="shared" si="18"/>
        <v>30000</v>
      </c>
      <c r="J40" s="48">
        <f t="shared" si="5"/>
        <v>10000</v>
      </c>
      <c r="K40" s="48">
        <f t="shared" si="6"/>
        <v>632640</v>
      </c>
      <c r="L40" s="48">
        <f t="shared" si="19"/>
        <v>440856.92108657036</v>
      </c>
      <c r="M40" s="48">
        <f t="shared" si="8"/>
        <v>47945.769728357409</v>
      </c>
      <c r="N40" s="49">
        <f t="shared" si="20"/>
        <v>143837.30918507223</v>
      </c>
      <c r="P40" s="46">
        <v>36</v>
      </c>
      <c r="Q40" s="49">
        <f t="shared" si="14"/>
        <v>3828808.9330319902</v>
      </c>
      <c r="R40" s="48">
        <f t="shared" si="21"/>
        <v>18636.921086570379</v>
      </c>
      <c r="S40" s="48">
        <f t="shared" si="15"/>
        <v>55112.013070636116</v>
      </c>
      <c r="T40" s="49">
        <f t="shared" si="12"/>
        <v>3792333.8410479245</v>
      </c>
    </row>
    <row r="41" spans="1:20" x14ac:dyDescent="0.25">
      <c r="A41" s="46">
        <f t="shared" si="13"/>
        <v>4</v>
      </c>
      <c r="B41" s="46">
        <v>37</v>
      </c>
      <c r="C41" s="46">
        <f>MIN(ROUND('Corrected data'!C38*IF(MOD(B41,12)=3,Parameters!$D$19,1),0),2000)</f>
        <v>1067</v>
      </c>
      <c r="D41" s="46">
        <f>Parameters!$D$8*C41</f>
        <v>2134</v>
      </c>
      <c r="E41" s="46">
        <f>Parameters!$D$9*C41</f>
        <v>1067</v>
      </c>
      <c r="F41" s="51" t="str">
        <f t="shared" si="11"/>
        <v>Winter</v>
      </c>
      <c r="G41" s="48">
        <f t="shared" si="16"/>
        <v>309430</v>
      </c>
      <c r="H41" s="52">
        <f t="shared" si="17"/>
        <v>18459.376731962398</v>
      </c>
      <c r="I41" s="48">
        <f t="shared" si="18"/>
        <v>30000</v>
      </c>
      <c r="J41" s="48">
        <f t="shared" si="5"/>
        <v>7000</v>
      </c>
      <c r="K41" s="48">
        <f t="shared" si="6"/>
        <v>490820</v>
      </c>
      <c r="L41" s="48">
        <f t="shared" si="19"/>
        <v>364889.37673196237</v>
      </c>
      <c r="M41" s="48">
        <f t="shared" si="8"/>
        <v>31482.655817009407</v>
      </c>
      <c r="N41" s="49">
        <f t="shared" si="20"/>
        <v>94447.96745102822</v>
      </c>
      <c r="P41" s="46">
        <v>37</v>
      </c>
      <c r="Q41" s="49">
        <f t="shared" si="14"/>
        <v>3792333.8410479245</v>
      </c>
      <c r="R41" s="48">
        <f t="shared" si="21"/>
        <v>18459.376731962398</v>
      </c>
      <c r="S41" s="48">
        <f t="shared" si="15"/>
        <v>55112.013070636116</v>
      </c>
      <c r="T41" s="49">
        <f t="shared" si="12"/>
        <v>3755681.2047092509</v>
      </c>
    </row>
    <row r="42" spans="1:20" x14ac:dyDescent="0.25">
      <c r="A42" s="46">
        <f t="shared" si="13"/>
        <v>4</v>
      </c>
      <c r="B42" s="46">
        <v>38</v>
      </c>
      <c r="C42" s="46">
        <f>MIN(ROUND('Corrected data'!C39*IF(MOD(B42,12)=3,Parameters!$D$19,1),0),2000)</f>
        <v>1071</v>
      </c>
      <c r="D42" s="46">
        <f>Parameters!$D$8*C42</f>
        <v>2142</v>
      </c>
      <c r="E42" s="46">
        <f>Parameters!$D$9*C42</f>
        <v>1071</v>
      </c>
      <c r="F42" s="51" t="str">
        <f t="shared" si="11"/>
        <v>Winter</v>
      </c>
      <c r="G42" s="48">
        <f t="shared" si="16"/>
        <v>310590</v>
      </c>
      <c r="H42" s="52">
        <f t="shared" si="17"/>
        <v>18280.968171230776</v>
      </c>
      <c r="I42" s="48">
        <f t="shared" si="18"/>
        <v>30000</v>
      </c>
      <c r="J42" s="48">
        <f t="shared" si="5"/>
        <v>7000</v>
      </c>
      <c r="K42" s="48">
        <f t="shared" si="6"/>
        <v>492660</v>
      </c>
      <c r="L42" s="48">
        <f t="shared" si="19"/>
        <v>365870.96817123075</v>
      </c>
      <c r="M42" s="48">
        <f t="shared" si="8"/>
        <v>31697.257957192312</v>
      </c>
      <c r="N42" s="49">
        <f t="shared" si="20"/>
        <v>95091.773871576937</v>
      </c>
      <c r="P42" s="46">
        <v>38</v>
      </c>
      <c r="Q42" s="49">
        <f t="shared" si="14"/>
        <v>3755681.2047092509</v>
      </c>
      <c r="R42" s="48">
        <f t="shared" si="21"/>
        <v>18280.968171230776</v>
      </c>
      <c r="S42" s="48">
        <f t="shared" si="15"/>
        <v>55112.013070636116</v>
      </c>
      <c r="T42" s="49">
        <f t="shared" si="12"/>
        <v>3718850.159809846</v>
      </c>
    </row>
    <row r="43" spans="1:20" x14ac:dyDescent="0.25">
      <c r="A43" s="46">
        <f t="shared" si="13"/>
        <v>4</v>
      </c>
      <c r="B43" s="46">
        <v>39</v>
      </c>
      <c r="C43" s="46">
        <f>MIN(ROUND('Corrected data'!C40*IF(MOD(B43,12)=3,Parameters!$D$19,1),0),2000)</f>
        <v>1290</v>
      </c>
      <c r="D43" s="46">
        <f>Parameters!$D$8*C43</f>
        <v>2580</v>
      </c>
      <c r="E43" s="46">
        <f>Parameters!$D$9*C43</f>
        <v>1290</v>
      </c>
      <c r="F43" s="51" t="str">
        <f t="shared" si="11"/>
        <v>Summer</v>
      </c>
      <c r="G43" s="48">
        <f t="shared" si="16"/>
        <v>374100</v>
      </c>
      <c r="H43" s="52">
        <f t="shared" si="17"/>
        <v>18101.691197808501</v>
      </c>
      <c r="I43" s="48">
        <f t="shared" si="18"/>
        <v>30000</v>
      </c>
      <c r="J43" s="48">
        <f t="shared" si="5"/>
        <v>10000</v>
      </c>
      <c r="K43" s="48">
        <f t="shared" si="6"/>
        <v>619200</v>
      </c>
      <c r="L43" s="48">
        <f t="shared" si="19"/>
        <v>432201.69119780848</v>
      </c>
      <c r="M43" s="48">
        <f t="shared" si="8"/>
        <v>46749.577200547879</v>
      </c>
      <c r="N43" s="49">
        <f t="shared" si="20"/>
        <v>140248.73160164364</v>
      </c>
      <c r="P43" s="46">
        <v>39</v>
      </c>
      <c r="Q43" s="49">
        <f t="shared" si="14"/>
        <v>3718850.159809846</v>
      </c>
      <c r="R43" s="48">
        <f t="shared" si="21"/>
        <v>18101.691197808501</v>
      </c>
      <c r="S43" s="48">
        <f t="shared" si="15"/>
        <v>55112.013070636116</v>
      </c>
      <c r="T43" s="49">
        <f t="shared" si="12"/>
        <v>3681839.8379370184</v>
      </c>
    </row>
    <row r="44" spans="1:20" x14ac:dyDescent="0.25">
      <c r="A44" s="46">
        <f t="shared" si="13"/>
        <v>4</v>
      </c>
      <c r="B44" s="46">
        <v>40</v>
      </c>
      <c r="C44" s="46">
        <f>MIN(ROUND('Corrected data'!C41*IF(MOD(B44,12)=3,Parameters!$D$19,1),0),2000)</f>
        <v>1334</v>
      </c>
      <c r="D44" s="46">
        <f>Parameters!$D$8*C44</f>
        <v>2668</v>
      </c>
      <c r="E44" s="46">
        <f>Parameters!$D$9*C44</f>
        <v>1334</v>
      </c>
      <c r="F44" s="51" t="str">
        <f t="shared" si="11"/>
        <v>Summer</v>
      </c>
      <c r="G44" s="48">
        <f t="shared" si="16"/>
        <v>386860</v>
      </c>
      <c r="H44" s="52">
        <f t="shared" si="17"/>
        <v>17921.541584652892</v>
      </c>
      <c r="I44" s="48">
        <f t="shared" si="18"/>
        <v>30000</v>
      </c>
      <c r="J44" s="48">
        <f t="shared" si="5"/>
        <v>10000</v>
      </c>
      <c r="K44" s="48">
        <f t="shared" si="6"/>
        <v>640320</v>
      </c>
      <c r="L44" s="48">
        <f t="shared" si="19"/>
        <v>444781.54158465291</v>
      </c>
      <c r="M44" s="48">
        <f t="shared" si="8"/>
        <v>48884.614603836773</v>
      </c>
      <c r="N44" s="49">
        <f t="shared" si="20"/>
        <v>146653.84381151031</v>
      </c>
      <c r="P44" s="46">
        <v>40</v>
      </c>
      <c r="Q44" s="49">
        <f t="shared" si="14"/>
        <v>3681839.8379370184</v>
      </c>
      <c r="R44" s="48">
        <f t="shared" si="21"/>
        <v>17921.541584652892</v>
      </c>
      <c r="S44" s="48">
        <f t="shared" si="15"/>
        <v>55112.013070636116</v>
      </c>
      <c r="T44" s="49">
        <f t="shared" si="12"/>
        <v>3644649.3664510353</v>
      </c>
    </row>
    <row r="45" spans="1:20" x14ac:dyDescent="0.25">
      <c r="A45" s="46">
        <f t="shared" si="13"/>
        <v>4</v>
      </c>
      <c r="B45" s="46">
        <v>41</v>
      </c>
      <c r="C45" s="46">
        <f>MIN(ROUND('Corrected data'!C42*IF(MOD(B45,12)=3,Parameters!$D$19,1),0),2000)</f>
        <v>1339</v>
      </c>
      <c r="D45" s="46">
        <f>Parameters!$D$8*C45</f>
        <v>2678</v>
      </c>
      <c r="E45" s="46">
        <f>Parameters!$D$9*C45</f>
        <v>1339</v>
      </c>
      <c r="F45" s="51" t="str">
        <f t="shared" si="11"/>
        <v>Summer</v>
      </c>
      <c r="G45" s="48">
        <f t="shared" si="16"/>
        <v>388310</v>
      </c>
      <c r="H45" s="52">
        <f t="shared" si="17"/>
        <v>17740.515084145918</v>
      </c>
      <c r="I45" s="48">
        <f t="shared" si="18"/>
        <v>30000</v>
      </c>
      <c r="J45" s="48">
        <f t="shared" si="5"/>
        <v>10000</v>
      </c>
      <c r="K45" s="48">
        <f t="shared" si="6"/>
        <v>642720</v>
      </c>
      <c r="L45" s="48">
        <f t="shared" si="19"/>
        <v>446050.51508414594</v>
      </c>
      <c r="M45" s="48">
        <f t="shared" si="8"/>
        <v>49167.371228963515</v>
      </c>
      <c r="N45" s="49">
        <f t="shared" si="20"/>
        <v>147502.11368689055</v>
      </c>
      <c r="P45" s="46">
        <v>41</v>
      </c>
      <c r="Q45" s="49">
        <f t="shared" si="14"/>
        <v>3644649.3664510353</v>
      </c>
      <c r="R45" s="48">
        <f t="shared" si="21"/>
        <v>17740.515084145918</v>
      </c>
      <c r="S45" s="48">
        <f t="shared" si="15"/>
        <v>55112.013070636116</v>
      </c>
      <c r="T45" s="49">
        <f t="shared" si="12"/>
        <v>3607277.8684645453</v>
      </c>
    </row>
    <row r="46" spans="1:20" x14ac:dyDescent="0.25">
      <c r="A46" s="46">
        <f t="shared" si="13"/>
        <v>4</v>
      </c>
      <c r="B46" s="46">
        <v>42</v>
      </c>
      <c r="C46" s="46">
        <f>MIN(ROUND('Corrected data'!C43*IF(MOD(B46,12)=3,Parameters!$D$19,1),0),2000)</f>
        <v>1344</v>
      </c>
      <c r="D46" s="46">
        <f>Parameters!$D$8*C46</f>
        <v>2688</v>
      </c>
      <c r="E46" s="46">
        <f>Parameters!$D$9*C46</f>
        <v>1344</v>
      </c>
      <c r="F46" s="51" t="str">
        <f t="shared" si="11"/>
        <v>Summer</v>
      </c>
      <c r="G46" s="48">
        <f t="shared" si="16"/>
        <v>389760</v>
      </c>
      <c r="H46" s="52">
        <f t="shared" si="17"/>
        <v>17558.607427994066</v>
      </c>
      <c r="I46" s="48">
        <f t="shared" si="18"/>
        <v>30000</v>
      </c>
      <c r="J46" s="48">
        <f t="shared" si="5"/>
        <v>10000</v>
      </c>
      <c r="K46" s="48">
        <f t="shared" si="6"/>
        <v>645120</v>
      </c>
      <c r="L46" s="48">
        <f t="shared" si="19"/>
        <v>447318.60742799408</v>
      </c>
      <c r="M46" s="48">
        <f t="shared" si="8"/>
        <v>49450.34814300148</v>
      </c>
      <c r="N46" s="49">
        <f t="shared" si="20"/>
        <v>148351.04442900443</v>
      </c>
      <c r="P46" s="46">
        <v>42</v>
      </c>
      <c r="Q46" s="49">
        <f t="shared" si="14"/>
        <v>3607277.8684645453</v>
      </c>
      <c r="R46" s="48">
        <f t="shared" si="21"/>
        <v>17558.607427994066</v>
      </c>
      <c r="S46" s="48">
        <f t="shared" si="15"/>
        <v>55112.013070636116</v>
      </c>
      <c r="T46" s="49">
        <f t="shared" si="12"/>
        <v>3569724.4628219036</v>
      </c>
    </row>
    <row r="47" spans="1:20" x14ac:dyDescent="0.25">
      <c r="A47" s="46">
        <f t="shared" si="13"/>
        <v>4</v>
      </c>
      <c r="B47" s="46">
        <v>43</v>
      </c>
      <c r="C47" s="46">
        <f>MIN(ROUND('Corrected data'!C44*IF(MOD(B47,12)=3,Parameters!$D$19,1),0),2000)</f>
        <v>1349</v>
      </c>
      <c r="D47" s="46">
        <f>Parameters!$D$8*C47</f>
        <v>2698</v>
      </c>
      <c r="E47" s="46">
        <f>Parameters!$D$9*C47</f>
        <v>1349</v>
      </c>
      <c r="F47" s="51" t="str">
        <f t="shared" si="11"/>
        <v>Summer</v>
      </c>
      <c r="G47" s="48">
        <f t="shared" si="16"/>
        <v>391210</v>
      </c>
      <c r="H47" s="52">
        <f t="shared" si="17"/>
        <v>17375.814327127668</v>
      </c>
      <c r="I47" s="48">
        <f t="shared" si="18"/>
        <v>30000</v>
      </c>
      <c r="J47" s="48">
        <f t="shared" si="5"/>
        <v>10000</v>
      </c>
      <c r="K47" s="48">
        <f t="shared" si="6"/>
        <v>647520</v>
      </c>
      <c r="L47" s="48">
        <f t="shared" si="19"/>
        <v>448585.81432712765</v>
      </c>
      <c r="M47" s="48">
        <f t="shared" si="8"/>
        <v>49733.546418218088</v>
      </c>
      <c r="N47" s="49">
        <f t="shared" si="20"/>
        <v>149200.63925465426</v>
      </c>
      <c r="P47" s="46">
        <v>43</v>
      </c>
      <c r="Q47" s="49">
        <f t="shared" si="14"/>
        <v>3569724.4628219036</v>
      </c>
      <c r="R47" s="48">
        <f t="shared" si="21"/>
        <v>17375.814327127668</v>
      </c>
      <c r="S47" s="48">
        <f t="shared" si="15"/>
        <v>55112.013070636116</v>
      </c>
      <c r="T47" s="49">
        <f t="shared" si="12"/>
        <v>3531988.2640783954</v>
      </c>
    </row>
    <row r="48" spans="1:20" x14ac:dyDescent="0.25">
      <c r="A48" s="46">
        <f t="shared" si="13"/>
        <v>4</v>
      </c>
      <c r="B48" s="46">
        <v>44</v>
      </c>
      <c r="C48" s="46">
        <f>MIN(ROUND('Corrected data'!C45*IF(MOD(B48,12)=3,Parameters!$D$19,1),0),2000)</f>
        <v>1354</v>
      </c>
      <c r="D48" s="46">
        <f>Parameters!$D$8*C48</f>
        <v>2708</v>
      </c>
      <c r="E48" s="46">
        <f>Parameters!$D$9*C48</f>
        <v>1354</v>
      </c>
      <c r="F48" s="51" t="str">
        <f t="shared" si="11"/>
        <v>Summer</v>
      </c>
      <c r="G48" s="48">
        <f t="shared" si="16"/>
        <v>392660</v>
      </c>
      <c r="H48" s="52">
        <f t="shared" si="17"/>
        <v>17192.131471599805</v>
      </c>
      <c r="I48" s="48">
        <f t="shared" si="18"/>
        <v>30000</v>
      </c>
      <c r="J48" s="48">
        <f t="shared" si="5"/>
        <v>10000</v>
      </c>
      <c r="K48" s="48">
        <f t="shared" si="6"/>
        <v>649920</v>
      </c>
      <c r="L48" s="48">
        <f t="shared" si="19"/>
        <v>449852.1314715998</v>
      </c>
      <c r="M48" s="48">
        <f t="shared" si="8"/>
        <v>50016.96713210005</v>
      </c>
      <c r="N48" s="49">
        <f t="shared" si="20"/>
        <v>150050.90139630015</v>
      </c>
      <c r="P48" s="46">
        <v>44</v>
      </c>
      <c r="Q48" s="49">
        <f t="shared" si="14"/>
        <v>3531988.2640783954</v>
      </c>
      <c r="R48" s="48">
        <f t="shared" si="21"/>
        <v>17192.131471599805</v>
      </c>
      <c r="S48" s="48">
        <f t="shared" si="15"/>
        <v>55112.013070636116</v>
      </c>
      <c r="T48" s="49">
        <f t="shared" si="12"/>
        <v>3494068.3824793594</v>
      </c>
    </row>
    <row r="49" spans="1:20" x14ac:dyDescent="0.25">
      <c r="A49" s="46">
        <f t="shared" si="13"/>
        <v>4</v>
      </c>
      <c r="B49" s="46">
        <v>45</v>
      </c>
      <c r="C49" s="46">
        <f>MIN(ROUND('Corrected data'!C46*IF(MOD(B49,12)=3,Parameters!$D$19,1),0),2000)</f>
        <v>1359</v>
      </c>
      <c r="D49" s="46">
        <f>Parameters!$D$8*C49</f>
        <v>2718</v>
      </c>
      <c r="E49" s="46">
        <f>Parameters!$D$9*C49</f>
        <v>1359</v>
      </c>
      <c r="F49" s="51" t="str">
        <f t="shared" si="11"/>
        <v>Summer</v>
      </c>
      <c r="G49" s="48">
        <f t="shared" si="16"/>
        <v>394110</v>
      </c>
      <c r="H49" s="52">
        <f t="shared" si="17"/>
        <v>17007.554530484678</v>
      </c>
      <c r="I49" s="48">
        <f t="shared" si="18"/>
        <v>30000</v>
      </c>
      <c r="J49" s="48">
        <f t="shared" si="5"/>
        <v>10000</v>
      </c>
      <c r="K49" s="48">
        <f t="shared" si="6"/>
        <v>652320</v>
      </c>
      <c r="L49" s="48">
        <f t="shared" si="19"/>
        <v>451117.55453048466</v>
      </c>
      <c r="M49" s="48">
        <f t="shared" si="8"/>
        <v>50300.611367378835</v>
      </c>
      <c r="N49" s="49">
        <f t="shared" si="20"/>
        <v>150901.83410213649</v>
      </c>
      <c r="P49" s="46">
        <v>45</v>
      </c>
      <c r="Q49" s="49">
        <f t="shared" si="14"/>
        <v>3494068.3824793594</v>
      </c>
      <c r="R49" s="48">
        <f t="shared" si="21"/>
        <v>17007.554530484678</v>
      </c>
      <c r="S49" s="48">
        <f t="shared" si="15"/>
        <v>55112.013070636116</v>
      </c>
      <c r="T49" s="49">
        <f t="shared" si="12"/>
        <v>3455963.923939208</v>
      </c>
    </row>
    <row r="50" spans="1:20" x14ac:dyDescent="0.25">
      <c r="A50" s="46">
        <f t="shared" si="13"/>
        <v>4</v>
      </c>
      <c r="B50" s="46">
        <v>46</v>
      </c>
      <c r="C50" s="46">
        <f>MIN(ROUND('Corrected data'!C47*IF(MOD(B50,12)=3,Parameters!$D$19,1),0),2000)</f>
        <v>1364</v>
      </c>
      <c r="D50" s="46">
        <f>Parameters!$D$8*C50</f>
        <v>2728</v>
      </c>
      <c r="E50" s="46">
        <f>Parameters!$D$9*C50</f>
        <v>1364</v>
      </c>
      <c r="F50" s="51" t="str">
        <f t="shared" si="11"/>
        <v>Summer</v>
      </c>
      <c r="G50" s="48">
        <f t="shared" si="16"/>
        <v>395560</v>
      </c>
      <c r="H50" s="52">
        <f t="shared" si="17"/>
        <v>16822.079151775473</v>
      </c>
      <c r="I50" s="48">
        <f t="shared" si="18"/>
        <v>30000</v>
      </c>
      <c r="J50" s="48">
        <f t="shared" si="5"/>
        <v>10000</v>
      </c>
      <c r="K50" s="48">
        <f t="shared" si="6"/>
        <v>654720</v>
      </c>
      <c r="L50" s="48">
        <f t="shared" si="19"/>
        <v>452382.07915177546</v>
      </c>
      <c r="M50" s="48">
        <f t="shared" si="8"/>
        <v>50584.480212056136</v>
      </c>
      <c r="N50" s="49">
        <f t="shared" si="20"/>
        <v>151753.44063616841</v>
      </c>
      <c r="P50" s="46">
        <v>46</v>
      </c>
      <c r="Q50" s="49">
        <f t="shared" si="14"/>
        <v>3455963.923939208</v>
      </c>
      <c r="R50" s="48">
        <f t="shared" si="21"/>
        <v>16822.079151775473</v>
      </c>
      <c r="S50" s="48">
        <f t="shared" si="15"/>
        <v>55112.013070636116</v>
      </c>
      <c r="T50" s="49">
        <f t="shared" si="12"/>
        <v>3417673.9900203478</v>
      </c>
    </row>
    <row r="51" spans="1:20" x14ac:dyDescent="0.25">
      <c r="A51" s="46">
        <f t="shared" si="13"/>
        <v>4</v>
      </c>
      <c r="B51" s="46">
        <v>47</v>
      </c>
      <c r="C51" s="46">
        <f>MIN(ROUND('Corrected data'!C48*IF(MOD(B51,12)=3,Parameters!$D$19,1),0),2000)</f>
        <v>1369</v>
      </c>
      <c r="D51" s="46">
        <f>Parameters!$D$8*C51</f>
        <v>2738</v>
      </c>
      <c r="E51" s="46">
        <f>Parameters!$D$9*C51</f>
        <v>1369</v>
      </c>
      <c r="F51" s="51" t="str">
        <f t="shared" si="11"/>
        <v>Summer</v>
      </c>
      <c r="G51" s="48">
        <f t="shared" si="16"/>
        <v>397010</v>
      </c>
      <c r="H51" s="52">
        <f t="shared" si="17"/>
        <v>16635.700962281775</v>
      </c>
      <c r="I51" s="48">
        <f t="shared" si="18"/>
        <v>30000</v>
      </c>
      <c r="J51" s="48">
        <f t="shared" si="5"/>
        <v>10000</v>
      </c>
      <c r="K51" s="48">
        <f t="shared" si="6"/>
        <v>657120</v>
      </c>
      <c r="L51" s="48">
        <f t="shared" si="19"/>
        <v>453645.70096228179</v>
      </c>
      <c r="M51" s="48">
        <f t="shared" si="8"/>
        <v>50868.574759429554</v>
      </c>
      <c r="N51" s="49">
        <f t="shared" si="20"/>
        <v>152605.72427828866</v>
      </c>
      <c r="P51" s="46">
        <v>47</v>
      </c>
      <c r="Q51" s="49">
        <f t="shared" si="14"/>
        <v>3417673.9900203478</v>
      </c>
      <c r="R51" s="48">
        <f t="shared" si="21"/>
        <v>16635.700962281775</v>
      </c>
      <c r="S51" s="48">
        <f t="shared" si="15"/>
        <v>55112.013070636116</v>
      </c>
      <c r="T51" s="49">
        <f t="shared" si="12"/>
        <v>3379197.6779119936</v>
      </c>
    </row>
    <row r="52" spans="1:20" x14ac:dyDescent="0.25">
      <c r="A52" s="46">
        <f t="shared" si="13"/>
        <v>4</v>
      </c>
      <c r="B52" s="46">
        <v>48</v>
      </c>
      <c r="C52" s="46">
        <f>MIN(ROUND('Corrected data'!C49*IF(MOD(B52,12)=3,Parameters!$D$19,1),0),2000)</f>
        <v>1374</v>
      </c>
      <c r="D52" s="46">
        <f>Parameters!$D$8*C52</f>
        <v>2748</v>
      </c>
      <c r="E52" s="46">
        <f>Parameters!$D$9*C52</f>
        <v>1374</v>
      </c>
      <c r="F52" s="51" t="str">
        <f t="shared" si="11"/>
        <v>Summer</v>
      </c>
      <c r="G52" s="48">
        <f t="shared" si="16"/>
        <v>398460</v>
      </c>
      <c r="H52" s="52">
        <f t="shared" si="17"/>
        <v>16448.415567526441</v>
      </c>
      <c r="I52" s="48">
        <f t="shared" si="18"/>
        <v>30000</v>
      </c>
      <c r="J52" s="48">
        <f t="shared" si="5"/>
        <v>10000</v>
      </c>
      <c r="K52" s="48">
        <f t="shared" si="6"/>
        <v>659520</v>
      </c>
      <c r="L52" s="48">
        <f t="shared" si="19"/>
        <v>454908.41556752642</v>
      </c>
      <c r="M52" s="48">
        <f t="shared" si="8"/>
        <v>51152.896108118395</v>
      </c>
      <c r="N52" s="49">
        <f t="shared" si="20"/>
        <v>153458.68832435517</v>
      </c>
      <c r="P52" s="46">
        <v>48</v>
      </c>
      <c r="Q52" s="49">
        <f t="shared" si="14"/>
        <v>3379197.6779119936</v>
      </c>
      <c r="R52" s="48">
        <f t="shared" si="21"/>
        <v>16448.415567526441</v>
      </c>
      <c r="S52" s="48">
        <f t="shared" si="15"/>
        <v>55112.013070636116</v>
      </c>
      <c r="T52" s="49">
        <f t="shared" si="12"/>
        <v>3340534.0804088842</v>
      </c>
    </row>
    <row r="53" spans="1:20" x14ac:dyDescent="0.25">
      <c r="A53" s="46">
        <f t="shared" si="13"/>
        <v>5</v>
      </c>
      <c r="B53" s="46">
        <v>49</v>
      </c>
      <c r="C53" s="46">
        <f>MIN(ROUND('Corrected data'!C50*IF(MOD(B53,12)=3,Parameters!$D$19,1),0),2000)</f>
        <v>1118</v>
      </c>
      <c r="D53" s="46">
        <f>Parameters!$D$8*C53</f>
        <v>2236</v>
      </c>
      <c r="E53" s="46">
        <f>Parameters!$D$9*C53</f>
        <v>1118</v>
      </c>
      <c r="F53" s="51" t="str">
        <f t="shared" si="11"/>
        <v>Winter</v>
      </c>
      <c r="G53" s="48">
        <f t="shared" si="16"/>
        <v>324220</v>
      </c>
      <c r="H53" s="52">
        <f t="shared" si="17"/>
        <v>16260.218551641985</v>
      </c>
      <c r="I53" s="48">
        <f t="shared" si="18"/>
        <v>30000</v>
      </c>
      <c r="J53" s="48">
        <f t="shared" si="5"/>
        <v>7000</v>
      </c>
      <c r="K53" s="48">
        <f t="shared" si="6"/>
        <v>514280</v>
      </c>
      <c r="L53" s="48">
        <f t="shared" si="19"/>
        <v>377480.21855164197</v>
      </c>
      <c r="M53" s="48">
        <f t="shared" si="8"/>
        <v>34199.945362089507</v>
      </c>
      <c r="N53" s="49">
        <f t="shared" si="20"/>
        <v>102599.83608626852</v>
      </c>
      <c r="P53" s="46">
        <v>49</v>
      </c>
      <c r="Q53" s="49">
        <f t="shared" si="14"/>
        <v>3340534.0804088842</v>
      </c>
      <c r="R53" s="48">
        <f t="shared" si="21"/>
        <v>16260.218551641985</v>
      </c>
      <c r="S53" s="48">
        <f t="shared" si="15"/>
        <v>55112.013070636116</v>
      </c>
      <c r="T53" s="49">
        <f t="shared" si="12"/>
        <v>3301682.28588989</v>
      </c>
    </row>
    <row r="54" spans="1:20" x14ac:dyDescent="0.25">
      <c r="A54" s="46">
        <f t="shared" si="13"/>
        <v>5</v>
      </c>
      <c r="B54" s="46">
        <v>50</v>
      </c>
      <c r="C54" s="46">
        <f>MIN(ROUND('Corrected data'!C51*IF(MOD(B54,12)=3,Parameters!$D$19,1),0),2000)</f>
        <v>1123</v>
      </c>
      <c r="D54" s="46">
        <f>Parameters!$D$8*C54</f>
        <v>2246</v>
      </c>
      <c r="E54" s="46">
        <f>Parameters!$D$9*C54</f>
        <v>1123</v>
      </c>
      <c r="F54" s="51" t="str">
        <f t="shared" si="11"/>
        <v>Winter</v>
      </c>
      <c r="G54" s="48">
        <f t="shared" si="16"/>
        <v>325670</v>
      </c>
      <c r="H54" s="52">
        <f t="shared" si="17"/>
        <v>16071.105477266463</v>
      </c>
      <c r="I54" s="48">
        <f t="shared" si="18"/>
        <v>30000</v>
      </c>
      <c r="J54" s="48">
        <f t="shared" si="5"/>
        <v>7000</v>
      </c>
      <c r="K54" s="48">
        <f t="shared" si="6"/>
        <v>516580</v>
      </c>
      <c r="L54" s="48">
        <f t="shared" si="19"/>
        <v>378741.10547726648</v>
      </c>
      <c r="M54" s="48">
        <f t="shared" si="8"/>
        <v>34459.72363068338</v>
      </c>
      <c r="N54" s="49">
        <f t="shared" si="20"/>
        <v>103379.17089205014</v>
      </c>
      <c r="P54" s="46">
        <v>50</v>
      </c>
      <c r="Q54" s="49">
        <f t="shared" si="14"/>
        <v>3301682.28588989</v>
      </c>
      <c r="R54" s="48">
        <f t="shared" si="21"/>
        <v>16071.105477266463</v>
      </c>
      <c r="S54" s="48">
        <f t="shared" si="15"/>
        <v>55112.013070636116</v>
      </c>
      <c r="T54" s="49">
        <f t="shared" si="12"/>
        <v>3262641.3782965206</v>
      </c>
    </row>
    <row r="55" spans="1:20" x14ac:dyDescent="0.25">
      <c r="A55" s="46">
        <f t="shared" si="13"/>
        <v>5</v>
      </c>
      <c r="B55" s="46">
        <v>51</v>
      </c>
      <c r="C55" s="46">
        <f>MIN(ROUND('Corrected data'!C52*IF(MOD(B55,12)=3,Parameters!$D$19,1),0),2000)</f>
        <v>1354</v>
      </c>
      <c r="D55" s="46">
        <f>Parameters!$D$8*C55</f>
        <v>2708</v>
      </c>
      <c r="E55" s="46">
        <f>Parameters!$D$9*C55</f>
        <v>1354</v>
      </c>
      <c r="F55" s="51" t="str">
        <f t="shared" si="11"/>
        <v>Summer</v>
      </c>
      <c r="G55" s="48">
        <f t="shared" si="16"/>
        <v>392660</v>
      </c>
      <c r="H55" s="52">
        <f t="shared" si="17"/>
        <v>15881.071885438851</v>
      </c>
      <c r="I55" s="48">
        <f t="shared" si="18"/>
        <v>30000</v>
      </c>
      <c r="J55" s="48">
        <f t="shared" si="5"/>
        <v>10000</v>
      </c>
      <c r="K55" s="48">
        <f t="shared" si="6"/>
        <v>649920</v>
      </c>
      <c r="L55" s="48">
        <f t="shared" si="19"/>
        <v>448541.07188543887</v>
      </c>
      <c r="M55" s="48">
        <f t="shared" si="8"/>
        <v>50344.732028640283</v>
      </c>
      <c r="N55" s="49">
        <f t="shared" si="20"/>
        <v>151034.19608592085</v>
      </c>
      <c r="P55" s="46">
        <v>51</v>
      </c>
      <c r="Q55" s="49">
        <f t="shared" si="14"/>
        <v>3262641.3782965206</v>
      </c>
      <c r="R55" s="48">
        <f t="shared" si="21"/>
        <v>15881.071885438851</v>
      </c>
      <c r="S55" s="48">
        <f t="shared" si="15"/>
        <v>55112.013070636116</v>
      </c>
      <c r="T55" s="49">
        <f t="shared" si="12"/>
        <v>3223410.4371113232</v>
      </c>
    </row>
    <row r="56" spans="1:20" x14ac:dyDescent="0.25">
      <c r="A56" s="46">
        <f t="shared" si="13"/>
        <v>5</v>
      </c>
      <c r="B56" s="46">
        <v>52</v>
      </c>
      <c r="C56" s="46">
        <f>MIN(ROUND('Corrected data'!C53*IF(MOD(B56,12)=3,Parameters!$D$19,1),0),2000)</f>
        <v>1398</v>
      </c>
      <c r="D56" s="46">
        <f>Parameters!$D$8*C56</f>
        <v>2796</v>
      </c>
      <c r="E56" s="46">
        <f>Parameters!$D$9*C56</f>
        <v>1398</v>
      </c>
      <c r="F56" s="51" t="str">
        <f t="shared" si="11"/>
        <v>Summer</v>
      </c>
      <c r="G56" s="48">
        <f t="shared" si="16"/>
        <v>405420</v>
      </c>
      <c r="H56" s="52">
        <f t="shared" si="17"/>
        <v>15690.113295493904</v>
      </c>
      <c r="I56" s="48">
        <f t="shared" si="18"/>
        <v>30000</v>
      </c>
      <c r="J56" s="48">
        <f t="shared" si="5"/>
        <v>10000</v>
      </c>
      <c r="K56" s="48">
        <f t="shared" si="6"/>
        <v>671040</v>
      </c>
      <c r="L56" s="48">
        <f t="shared" si="19"/>
        <v>461110.11329549388</v>
      </c>
      <c r="M56" s="48">
        <f t="shared" si="8"/>
        <v>52482.47167612653</v>
      </c>
      <c r="N56" s="49">
        <f t="shared" si="20"/>
        <v>157447.41502837959</v>
      </c>
      <c r="P56" s="46">
        <v>52</v>
      </c>
      <c r="Q56" s="49">
        <f t="shared" si="14"/>
        <v>3223410.4371113232</v>
      </c>
      <c r="R56" s="48">
        <f t="shared" si="21"/>
        <v>15690.113295493904</v>
      </c>
      <c r="S56" s="48">
        <f t="shared" si="15"/>
        <v>55112.013070636116</v>
      </c>
      <c r="T56" s="49">
        <f t="shared" si="12"/>
        <v>3183988.5373361814</v>
      </c>
    </row>
    <row r="57" spans="1:20" x14ac:dyDescent="0.25">
      <c r="A57" s="46">
        <f t="shared" si="13"/>
        <v>5</v>
      </c>
      <c r="B57" s="46">
        <v>53</v>
      </c>
      <c r="C57" s="46">
        <f>MIN(ROUND('Corrected data'!C54*IF(MOD(B57,12)=3,Parameters!$D$19,1),0),2000)</f>
        <v>1404</v>
      </c>
      <c r="D57" s="46">
        <f>Parameters!$D$8*C57</f>
        <v>2808</v>
      </c>
      <c r="E57" s="46">
        <f>Parameters!$D$9*C57</f>
        <v>1404</v>
      </c>
      <c r="F57" s="51" t="str">
        <f t="shared" si="11"/>
        <v>Summer</v>
      </c>
      <c r="G57" s="48">
        <f t="shared" si="16"/>
        <v>407160</v>
      </c>
      <c r="H57" s="52">
        <f t="shared" si="17"/>
        <v>15498.225204956516</v>
      </c>
      <c r="I57" s="48">
        <f t="shared" si="18"/>
        <v>30000</v>
      </c>
      <c r="J57" s="48">
        <f t="shared" si="5"/>
        <v>10000</v>
      </c>
      <c r="K57" s="48">
        <f t="shared" si="6"/>
        <v>673920</v>
      </c>
      <c r="L57" s="48">
        <f t="shared" si="19"/>
        <v>462658.22520495654</v>
      </c>
      <c r="M57" s="48">
        <f t="shared" si="8"/>
        <v>52815.443698760864</v>
      </c>
      <c r="N57" s="49">
        <f t="shared" si="20"/>
        <v>158446.33109628258</v>
      </c>
      <c r="P57" s="46">
        <v>53</v>
      </c>
      <c r="Q57" s="49">
        <f t="shared" si="14"/>
        <v>3183988.5373361814</v>
      </c>
      <c r="R57" s="48">
        <f t="shared" si="21"/>
        <v>15498.225204956516</v>
      </c>
      <c r="S57" s="48">
        <f t="shared" si="15"/>
        <v>55112.013070636116</v>
      </c>
      <c r="T57" s="49">
        <f t="shared" si="12"/>
        <v>3144374.7494705021</v>
      </c>
    </row>
    <row r="58" spans="1:20" x14ac:dyDescent="0.25">
      <c r="A58" s="46">
        <f t="shared" si="13"/>
        <v>5</v>
      </c>
      <c r="B58" s="46">
        <v>54</v>
      </c>
      <c r="C58" s="46">
        <f>MIN(ROUND('Corrected data'!C55*IF(MOD(B58,12)=3,Parameters!$D$19,1),0),2000)</f>
        <v>1410</v>
      </c>
      <c r="D58" s="46">
        <f>Parameters!$D$8*C58</f>
        <v>2820</v>
      </c>
      <c r="E58" s="46">
        <f>Parameters!$D$9*C58</f>
        <v>1410</v>
      </c>
      <c r="F58" s="51" t="str">
        <f t="shared" si="11"/>
        <v>Summer</v>
      </c>
      <c r="G58" s="48">
        <f t="shared" si="16"/>
        <v>408900</v>
      </c>
      <c r="H58" s="52">
        <f t="shared" si="17"/>
        <v>15305.403089435549</v>
      </c>
      <c r="I58" s="48">
        <f t="shared" si="18"/>
        <v>30000</v>
      </c>
      <c r="J58" s="48">
        <f t="shared" si="5"/>
        <v>10000</v>
      </c>
      <c r="K58" s="48">
        <f t="shared" si="6"/>
        <v>676800</v>
      </c>
      <c r="L58" s="48">
        <f t="shared" si="19"/>
        <v>464205.40308943554</v>
      </c>
      <c r="M58" s="48">
        <f t="shared" si="8"/>
        <v>53148.649227641115</v>
      </c>
      <c r="N58" s="49">
        <f t="shared" si="20"/>
        <v>159445.94768292335</v>
      </c>
      <c r="P58" s="46">
        <v>54</v>
      </c>
      <c r="Q58" s="49">
        <f t="shared" si="14"/>
        <v>3144374.7494705021</v>
      </c>
      <c r="R58" s="48">
        <f t="shared" si="21"/>
        <v>15305.403089435549</v>
      </c>
      <c r="S58" s="48">
        <f t="shared" si="15"/>
        <v>55112.013070636116</v>
      </c>
      <c r="T58" s="49">
        <f t="shared" si="12"/>
        <v>3104568.1394893019</v>
      </c>
    </row>
    <row r="59" spans="1:20" x14ac:dyDescent="0.25">
      <c r="A59" s="46">
        <f t="shared" si="13"/>
        <v>5</v>
      </c>
      <c r="B59" s="46">
        <v>55</v>
      </c>
      <c r="C59" s="46">
        <f>MIN(ROUND('Corrected data'!C56*IF(MOD(B59,12)=3,Parameters!$D$19,1),0),2000)</f>
        <v>1416</v>
      </c>
      <c r="D59" s="46">
        <f>Parameters!$D$8*C59</f>
        <v>2832</v>
      </c>
      <c r="E59" s="46">
        <f>Parameters!$D$9*C59</f>
        <v>1416</v>
      </c>
      <c r="F59" s="51" t="str">
        <f t="shared" si="11"/>
        <v>Summer</v>
      </c>
      <c r="G59" s="48">
        <f t="shared" si="16"/>
        <v>410640</v>
      </c>
      <c r="H59" s="52">
        <f t="shared" si="17"/>
        <v>15111.642402517167</v>
      </c>
      <c r="I59" s="48">
        <f t="shared" si="18"/>
        <v>30000</v>
      </c>
      <c r="J59" s="48">
        <f t="shared" si="5"/>
        <v>10000</v>
      </c>
      <c r="K59" s="48">
        <f t="shared" si="6"/>
        <v>679680</v>
      </c>
      <c r="L59" s="48">
        <f t="shared" si="19"/>
        <v>465751.64240251714</v>
      </c>
      <c r="M59" s="48">
        <f t="shared" si="8"/>
        <v>53482.089399370714</v>
      </c>
      <c r="N59" s="49">
        <f t="shared" si="20"/>
        <v>160446.26819811214</v>
      </c>
      <c r="P59" s="46">
        <v>55</v>
      </c>
      <c r="Q59" s="49">
        <f t="shared" si="14"/>
        <v>3104568.1394893019</v>
      </c>
      <c r="R59" s="48">
        <f t="shared" si="21"/>
        <v>15111.642402517167</v>
      </c>
      <c r="S59" s="48">
        <f t="shared" si="15"/>
        <v>55112.013070636116</v>
      </c>
      <c r="T59" s="49">
        <f t="shared" si="12"/>
        <v>3064567.7688211831</v>
      </c>
    </row>
    <row r="60" spans="1:20" x14ac:dyDescent="0.25">
      <c r="A60" s="46">
        <f t="shared" si="13"/>
        <v>5</v>
      </c>
      <c r="B60" s="46">
        <v>56</v>
      </c>
      <c r="C60" s="46">
        <f>MIN(ROUND('Corrected data'!C57*IF(MOD(B60,12)=3,Parameters!$D$19,1),0),2000)</f>
        <v>1422</v>
      </c>
      <c r="D60" s="46">
        <f>Parameters!$D$8*C60</f>
        <v>2844</v>
      </c>
      <c r="E60" s="46">
        <f>Parameters!$D$9*C60</f>
        <v>1422</v>
      </c>
      <c r="F60" s="51" t="str">
        <f t="shared" si="11"/>
        <v>Summer</v>
      </c>
      <c r="G60" s="48">
        <f t="shared" si="16"/>
        <v>412380</v>
      </c>
      <c r="H60" s="52">
        <f t="shared" si="17"/>
        <v>14916.938575657634</v>
      </c>
      <c r="I60" s="48">
        <f t="shared" si="18"/>
        <v>30000</v>
      </c>
      <c r="J60" s="48">
        <f t="shared" si="5"/>
        <v>10000</v>
      </c>
      <c r="K60" s="48">
        <f t="shared" si="6"/>
        <v>682560</v>
      </c>
      <c r="L60" s="48">
        <f t="shared" si="19"/>
        <v>467296.93857565761</v>
      </c>
      <c r="M60" s="48">
        <f t="shared" si="8"/>
        <v>53815.765356085598</v>
      </c>
      <c r="N60" s="49">
        <f t="shared" si="20"/>
        <v>161447.29606825678</v>
      </c>
      <c r="P60" s="46">
        <v>56</v>
      </c>
      <c r="Q60" s="49">
        <f t="shared" si="14"/>
        <v>3064567.7688211831</v>
      </c>
      <c r="R60" s="48">
        <f t="shared" si="21"/>
        <v>14916.938575657634</v>
      </c>
      <c r="S60" s="48">
        <f t="shared" si="15"/>
        <v>55112.013070636116</v>
      </c>
      <c r="T60" s="49">
        <f t="shared" si="12"/>
        <v>3024372.6943262047</v>
      </c>
    </row>
    <row r="61" spans="1:20" x14ac:dyDescent="0.25">
      <c r="A61" s="46">
        <f t="shared" si="13"/>
        <v>5</v>
      </c>
      <c r="B61" s="46">
        <v>57</v>
      </c>
      <c r="C61" s="46">
        <f>MIN(ROUND('Corrected data'!C58*IF(MOD(B61,12)=3,Parameters!$D$19,1),0),2000)</f>
        <v>1428</v>
      </c>
      <c r="D61" s="46">
        <f>Parameters!$D$8*C61</f>
        <v>2856</v>
      </c>
      <c r="E61" s="46">
        <f>Parameters!$D$9*C61</f>
        <v>1428</v>
      </c>
      <c r="F61" s="51" t="str">
        <f t="shared" si="11"/>
        <v>Summer</v>
      </c>
      <c r="G61" s="48">
        <f t="shared" si="16"/>
        <v>414120</v>
      </c>
      <c r="H61" s="52">
        <f t="shared" si="17"/>
        <v>14721.287018075596</v>
      </c>
      <c r="I61" s="48">
        <f t="shared" si="18"/>
        <v>30000</v>
      </c>
      <c r="J61" s="48">
        <f t="shared" si="5"/>
        <v>10000</v>
      </c>
      <c r="K61" s="48">
        <f t="shared" si="6"/>
        <v>685440</v>
      </c>
      <c r="L61" s="48">
        <f t="shared" si="19"/>
        <v>468841.28701807559</v>
      </c>
      <c r="M61" s="48">
        <f t="shared" si="8"/>
        <v>54149.678245481104</v>
      </c>
      <c r="N61" s="49">
        <f t="shared" si="20"/>
        <v>162449.03473644331</v>
      </c>
      <c r="P61" s="46">
        <v>57</v>
      </c>
      <c r="Q61" s="49">
        <f t="shared" si="14"/>
        <v>3024372.6943262047</v>
      </c>
      <c r="R61" s="48">
        <f t="shared" si="21"/>
        <v>14721.287018075596</v>
      </c>
      <c r="S61" s="48">
        <f t="shared" si="15"/>
        <v>55112.013070636116</v>
      </c>
      <c r="T61" s="49">
        <f t="shared" si="12"/>
        <v>2983981.9682736443</v>
      </c>
    </row>
    <row r="62" spans="1:20" x14ac:dyDescent="0.25">
      <c r="A62" s="46">
        <f t="shared" si="13"/>
        <v>5</v>
      </c>
      <c r="B62" s="46">
        <v>58</v>
      </c>
      <c r="C62" s="46">
        <f>MIN(ROUND('Corrected data'!C59*IF(MOD(B62,12)=3,Parameters!$D$19,1),0),2000)</f>
        <v>1434</v>
      </c>
      <c r="D62" s="46">
        <f>Parameters!$D$8*C62</f>
        <v>2868</v>
      </c>
      <c r="E62" s="46">
        <f>Parameters!$D$9*C62</f>
        <v>1434</v>
      </c>
      <c r="F62" s="51" t="str">
        <f t="shared" si="11"/>
        <v>Summer</v>
      </c>
      <c r="G62" s="48">
        <f t="shared" si="16"/>
        <v>415860</v>
      </c>
      <c r="H62" s="52">
        <f t="shared" si="17"/>
        <v>14524.683116643841</v>
      </c>
      <c r="I62" s="48">
        <f t="shared" si="18"/>
        <v>30000</v>
      </c>
      <c r="J62" s="48">
        <f t="shared" si="5"/>
        <v>10000</v>
      </c>
      <c r="K62" s="48">
        <f t="shared" si="6"/>
        <v>688320</v>
      </c>
      <c r="L62" s="48">
        <f t="shared" si="19"/>
        <v>470384.68311664386</v>
      </c>
      <c r="M62" s="48">
        <f t="shared" si="8"/>
        <v>54483.829220839034</v>
      </c>
      <c r="N62" s="49">
        <f t="shared" si="20"/>
        <v>163451.48766251712</v>
      </c>
      <c r="P62" s="46">
        <v>58</v>
      </c>
      <c r="Q62" s="49">
        <f t="shared" si="14"/>
        <v>2983981.9682736443</v>
      </c>
      <c r="R62" s="48">
        <f t="shared" si="21"/>
        <v>14524.683116643841</v>
      </c>
      <c r="S62" s="48">
        <f t="shared" si="15"/>
        <v>55112.013070636116</v>
      </c>
      <c r="T62" s="49">
        <f t="shared" si="12"/>
        <v>2943394.6383196521</v>
      </c>
    </row>
    <row r="63" spans="1:20" x14ac:dyDescent="0.25">
      <c r="A63" s="46">
        <f t="shared" si="13"/>
        <v>5</v>
      </c>
      <c r="B63" s="46">
        <v>59</v>
      </c>
      <c r="C63" s="46">
        <f>MIN(ROUND('Corrected data'!C60*IF(MOD(B63,12)=3,Parameters!$D$19,1),0),2000)</f>
        <v>1440</v>
      </c>
      <c r="D63" s="46">
        <f>Parameters!$D$8*C63</f>
        <v>2880</v>
      </c>
      <c r="E63" s="46">
        <f>Parameters!$D$9*C63</f>
        <v>1440</v>
      </c>
      <c r="F63" s="51" t="str">
        <f t="shared" si="11"/>
        <v>Summer</v>
      </c>
      <c r="G63" s="48">
        <f t="shared" si="16"/>
        <v>417600</v>
      </c>
      <c r="H63" s="52">
        <f t="shared" si="17"/>
        <v>14327.12223578052</v>
      </c>
      <c r="I63" s="48">
        <f t="shared" si="18"/>
        <v>30000</v>
      </c>
      <c r="J63" s="48">
        <f t="shared" si="5"/>
        <v>10000</v>
      </c>
      <c r="K63" s="48">
        <f t="shared" si="6"/>
        <v>691200</v>
      </c>
      <c r="L63" s="48">
        <f t="shared" si="19"/>
        <v>471927.12223578052</v>
      </c>
      <c r="M63" s="48">
        <f t="shared" si="8"/>
        <v>54818.219441054869</v>
      </c>
      <c r="N63" s="49">
        <f t="shared" si="20"/>
        <v>164454.65832316462</v>
      </c>
      <c r="P63" s="46">
        <v>59</v>
      </c>
      <c r="Q63" s="49">
        <f t="shared" si="14"/>
        <v>2943394.6383196521</v>
      </c>
      <c r="R63" s="48">
        <f t="shared" si="21"/>
        <v>14327.12223578052</v>
      </c>
      <c r="S63" s="48">
        <f t="shared" si="15"/>
        <v>55112.013070636116</v>
      </c>
      <c r="T63" s="49">
        <f t="shared" si="12"/>
        <v>2902609.7474847967</v>
      </c>
    </row>
    <row r="64" spans="1:20" x14ac:dyDescent="0.25">
      <c r="A64" s="46">
        <f t="shared" si="13"/>
        <v>5</v>
      </c>
      <c r="B64" s="46">
        <v>60</v>
      </c>
      <c r="C64" s="46">
        <f>MIN(ROUND('Corrected data'!C61*IF(MOD(B64,12)=3,Parameters!$D$19,1),0),2000)</f>
        <v>1446</v>
      </c>
      <c r="D64" s="46">
        <f>Parameters!$D$8*C64</f>
        <v>2892</v>
      </c>
      <c r="E64" s="46">
        <f>Parameters!$D$9*C64</f>
        <v>1446</v>
      </c>
      <c r="F64" s="51" t="str">
        <f t="shared" si="11"/>
        <v>Summer</v>
      </c>
      <c r="G64" s="48">
        <f t="shared" si="16"/>
        <v>419340</v>
      </c>
      <c r="H64" s="52">
        <f t="shared" si="17"/>
        <v>14128.599717339865</v>
      </c>
      <c r="I64" s="48">
        <f t="shared" si="18"/>
        <v>30000</v>
      </c>
      <c r="J64" s="48">
        <f t="shared" si="5"/>
        <v>10000</v>
      </c>
      <c r="K64" s="48">
        <f t="shared" si="6"/>
        <v>694080</v>
      </c>
      <c r="L64" s="48">
        <f t="shared" si="19"/>
        <v>473468.59971733985</v>
      </c>
      <c r="M64" s="48">
        <f t="shared" si="8"/>
        <v>55152.850070665037</v>
      </c>
      <c r="N64" s="49">
        <f t="shared" si="20"/>
        <v>165458.55021199511</v>
      </c>
      <c r="P64" s="46">
        <v>60</v>
      </c>
      <c r="Q64" s="49">
        <f t="shared" si="14"/>
        <v>2902609.7474847967</v>
      </c>
      <c r="R64" s="48">
        <f t="shared" si="21"/>
        <v>14128.599717339865</v>
      </c>
      <c r="S64" s="48">
        <f t="shared" si="15"/>
        <v>55112.013070636116</v>
      </c>
      <c r="T64" s="49">
        <f t="shared" si="12"/>
        <v>2861626.3341315007</v>
      </c>
    </row>
    <row r="65" spans="1:20" x14ac:dyDescent="0.25">
      <c r="A65" s="46">
        <f t="shared" si="13"/>
        <v>6</v>
      </c>
      <c r="B65" s="46">
        <v>61</v>
      </c>
      <c r="C65" s="46">
        <f>MIN(ROUND('Corrected data'!C62*IF(MOD(B65,12)=3,Parameters!$D$19,1),0),2000)</f>
        <v>1179</v>
      </c>
      <c r="D65" s="46">
        <f>Parameters!$D$8*C65</f>
        <v>2358</v>
      </c>
      <c r="E65" s="46">
        <f>Parameters!$D$9*C65</f>
        <v>1179</v>
      </c>
      <c r="F65" s="51" t="str">
        <f t="shared" si="11"/>
        <v>Winter</v>
      </c>
      <c r="G65" s="48">
        <f t="shared" si="16"/>
        <v>341910</v>
      </c>
      <c r="H65" s="52">
        <f t="shared" si="17"/>
        <v>13929.110880502341</v>
      </c>
      <c r="I65" s="48">
        <f t="shared" si="18"/>
        <v>30000</v>
      </c>
      <c r="J65" s="48">
        <f t="shared" si="5"/>
        <v>7000</v>
      </c>
      <c r="K65" s="48">
        <f t="shared" si="6"/>
        <v>542340</v>
      </c>
      <c r="L65" s="48">
        <f t="shared" si="19"/>
        <v>392839.11088050233</v>
      </c>
      <c r="M65" s="48">
        <f t="shared" si="8"/>
        <v>37375.222279874419</v>
      </c>
      <c r="N65" s="49">
        <f t="shared" si="20"/>
        <v>112125.66683962326</v>
      </c>
      <c r="P65" s="46">
        <v>61</v>
      </c>
      <c r="Q65" s="49">
        <f t="shared" si="14"/>
        <v>2861626.3341315007</v>
      </c>
      <c r="R65" s="48">
        <f t="shared" si="21"/>
        <v>13929.110880502341</v>
      </c>
      <c r="S65" s="48">
        <f t="shared" si="15"/>
        <v>55112.013070636116</v>
      </c>
      <c r="T65" s="49">
        <f t="shared" si="12"/>
        <v>2820443.4319413672</v>
      </c>
    </row>
    <row r="66" spans="1:20" x14ac:dyDescent="0.25">
      <c r="A66" s="46">
        <f t="shared" si="13"/>
        <v>6</v>
      </c>
      <c r="B66" s="46">
        <v>62</v>
      </c>
      <c r="C66" s="46">
        <f>MIN(ROUND('Corrected data'!C63*IF(MOD(B66,12)=3,Parameters!$D$19,1),0),2000)</f>
        <v>1185</v>
      </c>
      <c r="D66" s="46">
        <f>Parameters!$D$8*C66</f>
        <v>2370</v>
      </c>
      <c r="E66" s="46">
        <f>Parameters!$D$9*C66</f>
        <v>1185</v>
      </c>
      <c r="F66" s="51" t="str">
        <f t="shared" si="11"/>
        <v>Winter</v>
      </c>
      <c r="G66" s="48">
        <f t="shared" si="16"/>
        <v>343650</v>
      </c>
      <c r="H66" s="52">
        <f t="shared" si="17"/>
        <v>13728.651021664289</v>
      </c>
      <c r="I66" s="48">
        <f t="shared" si="18"/>
        <v>30000</v>
      </c>
      <c r="J66" s="48">
        <f t="shared" si="5"/>
        <v>7000</v>
      </c>
      <c r="K66" s="48">
        <f t="shared" si="6"/>
        <v>545100</v>
      </c>
      <c r="L66" s="48">
        <f t="shared" si="19"/>
        <v>394378.65102166426</v>
      </c>
      <c r="M66" s="48">
        <f t="shared" si="8"/>
        <v>37680.337244583934</v>
      </c>
      <c r="N66" s="49">
        <f t="shared" si="20"/>
        <v>113041.0117337518</v>
      </c>
      <c r="P66" s="46">
        <v>62</v>
      </c>
      <c r="Q66" s="49">
        <f t="shared" si="14"/>
        <v>2820443.4319413672</v>
      </c>
      <c r="R66" s="48">
        <f t="shared" si="21"/>
        <v>13728.651021664289</v>
      </c>
      <c r="S66" s="48">
        <f t="shared" si="15"/>
        <v>55112.013070636116</v>
      </c>
      <c r="T66" s="49">
        <f t="shared" si="12"/>
        <v>2779060.0698923958</v>
      </c>
    </row>
    <row r="67" spans="1:20" x14ac:dyDescent="0.25">
      <c r="A67" s="46">
        <f t="shared" si="13"/>
        <v>6</v>
      </c>
      <c r="B67" s="46">
        <v>63</v>
      </c>
      <c r="C67" s="46">
        <f>MIN(ROUND('Corrected data'!C64*IF(MOD(B67,12)=3,Parameters!$D$19,1),0),2000)</f>
        <v>1429</v>
      </c>
      <c r="D67" s="46">
        <f>Parameters!$D$8*C67</f>
        <v>2858</v>
      </c>
      <c r="E67" s="46">
        <f>Parameters!$D$9*C67</f>
        <v>1429</v>
      </c>
      <c r="F67" s="51" t="str">
        <f t="shared" si="11"/>
        <v>Summer</v>
      </c>
      <c r="G67" s="48">
        <f t="shared" si="16"/>
        <v>414410</v>
      </c>
      <c r="H67" s="52">
        <f t="shared" si="17"/>
        <v>13527.215414327022</v>
      </c>
      <c r="I67" s="48">
        <f t="shared" si="18"/>
        <v>30000</v>
      </c>
      <c r="J67" s="48">
        <f t="shared" si="5"/>
        <v>10000</v>
      </c>
      <c r="K67" s="48">
        <f t="shared" si="6"/>
        <v>685920</v>
      </c>
      <c r="L67" s="48">
        <f t="shared" si="19"/>
        <v>467937.21541432705</v>
      </c>
      <c r="M67" s="48">
        <f t="shared" si="8"/>
        <v>54495.696146418239</v>
      </c>
      <c r="N67" s="49">
        <f t="shared" si="20"/>
        <v>163487.08843925473</v>
      </c>
      <c r="P67" s="46">
        <v>63</v>
      </c>
      <c r="Q67" s="49">
        <f t="shared" si="14"/>
        <v>2779060.0698923958</v>
      </c>
      <c r="R67" s="48">
        <f t="shared" si="21"/>
        <v>13527.215414327022</v>
      </c>
      <c r="S67" s="48">
        <f t="shared" si="15"/>
        <v>55112.013070636116</v>
      </c>
      <c r="T67" s="49">
        <f t="shared" si="12"/>
        <v>2737475.2722360869</v>
      </c>
    </row>
    <row r="68" spans="1:20" x14ac:dyDescent="0.25">
      <c r="A68" s="46">
        <f t="shared" si="13"/>
        <v>6</v>
      </c>
      <c r="B68" s="46">
        <v>64</v>
      </c>
      <c r="C68" s="46">
        <f>MIN(ROUND('Corrected data'!C65*IF(MOD(B68,12)=3,Parameters!$D$19,1),0),2000)</f>
        <v>1473</v>
      </c>
      <c r="D68" s="46">
        <f>Parameters!$D$8*C68</f>
        <v>2946</v>
      </c>
      <c r="E68" s="46">
        <f>Parameters!$D$9*C68</f>
        <v>1473</v>
      </c>
      <c r="F68" s="51" t="str">
        <f t="shared" si="11"/>
        <v>Summer</v>
      </c>
      <c r="G68" s="48">
        <f t="shared" si="16"/>
        <v>427170</v>
      </c>
      <c r="H68" s="52">
        <f t="shared" si="17"/>
        <v>13324.799308985381</v>
      </c>
      <c r="I68" s="48">
        <f t="shared" si="18"/>
        <v>30000</v>
      </c>
      <c r="J68" s="48">
        <f t="shared" si="5"/>
        <v>10000</v>
      </c>
      <c r="K68" s="48">
        <f t="shared" si="6"/>
        <v>707040</v>
      </c>
      <c r="L68" s="48">
        <f t="shared" si="19"/>
        <v>480494.79930898536</v>
      </c>
      <c r="M68" s="48">
        <f t="shared" si="8"/>
        <v>56636.300172753661</v>
      </c>
      <c r="N68" s="49">
        <f t="shared" si="20"/>
        <v>169908.90051826098</v>
      </c>
      <c r="P68" s="46">
        <v>64</v>
      </c>
      <c r="Q68" s="49">
        <f t="shared" si="14"/>
        <v>2737475.2722360869</v>
      </c>
      <c r="R68" s="48">
        <f t="shared" si="21"/>
        <v>13324.799308985381</v>
      </c>
      <c r="S68" s="48">
        <f t="shared" si="15"/>
        <v>55112.013070636116</v>
      </c>
      <c r="T68" s="49">
        <f t="shared" si="12"/>
        <v>2695688.0584744364</v>
      </c>
    </row>
    <row r="69" spans="1:20" x14ac:dyDescent="0.25">
      <c r="A69" s="46">
        <f t="shared" si="13"/>
        <v>6</v>
      </c>
      <c r="B69" s="46">
        <v>65</v>
      </c>
      <c r="C69" s="46">
        <f>MIN(ROUND('Corrected data'!C66*IF(MOD(B69,12)=3,Parameters!$D$19,1),0),2000)</f>
        <v>1481</v>
      </c>
      <c r="D69" s="46">
        <f>Parameters!$D$8*C69</f>
        <v>2962</v>
      </c>
      <c r="E69" s="46">
        <f>Parameters!$D$9*C69</f>
        <v>1481</v>
      </c>
      <c r="F69" s="51" t="str">
        <f t="shared" si="11"/>
        <v>Summer</v>
      </c>
      <c r="G69" s="48">
        <f t="shared" ref="G69:G100" si="22">C69*Cost_Icecream+D69*cost_choc_syrup+E69*cost_straw_syrup</f>
        <v>429490</v>
      </c>
      <c r="H69" s="52">
        <f t="shared" ref="H69:H100" si="23">R69</f>
        <v>13121.397933015747</v>
      </c>
      <c r="I69" s="48">
        <f t="shared" ref="I69:I100" si="24">Salary</f>
        <v>30000</v>
      </c>
      <c r="J69" s="48">
        <f t="shared" ref="J69:J124" si="25">IF(F69="Winter",Electr_winter,Electr_Summer)</f>
        <v>10000</v>
      </c>
      <c r="K69" s="48">
        <f t="shared" ref="K69:K124" si="26">C69*IF(F69="Winter",SP_icecream_winter,SP_icecream)+D69*SP_choc_syrup+E69*SP_straw_syrup</f>
        <v>710880</v>
      </c>
      <c r="L69" s="48">
        <f t="shared" ref="L69:L100" si="27">SUM(G69:J69)</f>
        <v>482611.39793301577</v>
      </c>
      <c r="M69" s="48">
        <f t="shared" ref="M69:M124" si="28">Tax_rate*(K69-L69)</f>
        <v>57067.150516746056</v>
      </c>
      <c r="N69" s="49">
        <f t="shared" ref="N69:N100" si="29">K69-L69-M69</f>
        <v>171201.45155023818</v>
      </c>
      <c r="P69" s="46">
        <v>65</v>
      </c>
      <c r="Q69" s="49">
        <f t="shared" si="14"/>
        <v>2695688.0584744364</v>
      </c>
      <c r="R69" s="48">
        <f t="shared" ref="R69:R100" si="30">Q69*$U$1</f>
        <v>13121.397933015747</v>
      </c>
      <c r="S69" s="48">
        <f t="shared" si="15"/>
        <v>55112.013070636116</v>
      </c>
      <c r="T69" s="49">
        <f t="shared" si="12"/>
        <v>2653697.443336816</v>
      </c>
    </row>
    <row r="70" spans="1:20" x14ac:dyDescent="0.25">
      <c r="A70" s="46">
        <f t="shared" si="13"/>
        <v>6</v>
      </c>
      <c r="B70" s="46">
        <v>66</v>
      </c>
      <c r="C70" s="46">
        <f>MIN(ROUND('Corrected data'!C67*IF(MOD(B70,12)=3,Parameters!$D$19,1),0),2000)</f>
        <v>1488</v>
      </c>
      <c r="D70" s="46">
        <f>Parameters!$D$8*C70</f>
        <v>2976</v>
      </c>
      <c r="E70" s="46">
        <f>Parameters!$D$9*C70</f>
        <v>1488</v>
      </c>
      <c r="F70" s="51" t="str">
        <f t="shared" ref="F70:F124" si="31">IF(AND(MOD(B70,12)&lt;=2, MOD(B70,12)&lt;&gt;0),"Winter","Summer")</f>
        <v>Summer</v>
      </c>
      <c r="G70" s="48">
        <f t="shared" si="22"/>
        <v>431520</v>
      </c>
      <c r="H70" s="52">
        <f t="shared" si="23"/>
        <v>12917.006490563521</v>
      </c>
      <c r="I70" s="48">
        <f t="shared" si="24"/>
        <v>30000</v>
      </c>
      <c r="J70" s="48">
        <f t="shared" si="25"/>
        <v>10000</v>
      </c>
      <c r="K70" s="48">
        <f t="shared" si="26"/>
        <v>714240</v>
      </c>
      <c r="L70" s="48">
        <f t="shared" si="27"/>
        <v>484437.00649056351</v>
      </c>
      <c r="M70" s="48">
        <f t="shared" si="28"/>
        <v>57450.748377359123</v>
      </c>
      <c r="N70" s="49">
        <f t="shared" si="29"/>
        <v>172352.24513207737</v>
      </c>
      <c r="P70" s="46">
        <v>66</v>
      </c>
      <c r="Q70" s="49">
        <f t="shared" si="14"/>
        <v>2653697.443336816</v>
      </c>
      <c r="R70" s="48">
        <f t="shared" si="30"/>
        <v>12917.006490563521</v>
      </c>
      <c r="S70" s="48">
        <f t="shared" si="15"/>
        <v>55112.013070636116</v>
      </c>
      <c r="T70" s="49">
        <f t="shared" ref="T70:T124" si="32">Q70+R70-S70</f>
        <v>2611502.4367567436</v>
      </c>
    </row>
    <row r="71" spans="1:20" x14ac:dyDescent="0.25">
      <c r="A71" s="46">
        <f t="shared" ref="A71:A124" si="33">IF(MOD(B70,12)=0,A70+1,A70)</f>
        <v>6</v>
      </c>
      <c r="B71" s="46">
        <v>67</v>
      </c>
      <c r="C71" s="46">
        <f>MIN(ROUND('Corrected data'!C68*IF(MOD(B71,12)=3,Parameters!$D$19,1),0),2000)</f>
        <v>1495</v>
      </c>
      <c r="D71" s="46">
        <f>Parameters!$D$8*C71</f>
        <v>2990</v>
      </c>
      <c r="E71" s="46">
        <f>Parameters!$D$9*C71</f>
        <v>1495</v>
      </c>
      <c r="F71" s="51" t="str">
        <f t="shared" si="31"/>
        <v>Summer</v>
      </c>
      <c r="G71" s="48">
        <f t="shared" si="22"/>
        <v>433550</v>
      </c>
      <c r="H71" s="52">
        <f t="shared" si="23"/>
        <v>12711.620162430036</v>
      </c>
      <c r="I71" s="48">
        <f t="shared" si="24"/>
        <v>30000</v>
      </c>
      <c r="J71" s="48">
        <f t="shared" si="25"/>
        <v>10000</v>
      </c>
      <c r="K71" s="48">
        <f t="shared" si="26"/>
        <v>717600</v>
      </c>
      <c r="L71" s="48">
        <f t="shared" si="27"/>
        <v>486261.62016243004</v>
      </c>
      <c r="M71" s="48">
        <f t="shared" si="28"/>
        <v>57834.594959392489</v>
      </c>
      <c r="N71" s="49">
        <f t="shared" si="29"/>
        <v>173503.78487817745</v>
      </c>
      <c r="P71" s="46">
        <v>67</v>
      </c>
      <c r="Q71" s="49">
        <f t="shared" ref="Q71:Q124" si="34">T70</f>
        <v>2611502.4367567436</v>
      </c>
      <c r="R71" s="48">
        <f t="shared" si="30"/>
        <v>12711.620162430036</v>
      </c>
      <c r="S71" s="48">
        <f t="shared" ref="S71:S124" si="35">S70</f>
        <v>55112.013070636116</v>
      </c>
      <c r="T71" s="49">
        <f t="shared" si="32"/>
        <v>2569102.0438485378</v>
      </c>
    </row>
    <row r="72" spans="1:20" x14ac:dyDescent="0.25">
      <c r="A72" s="46">
        <f t="shared" si="33"/>
        <v>6</v>
      </c>
      <c r="B72" s="46">
        <v>68</v>
      </c>
      <c r="C72" s="46">
        <f>MIN(ROUND('Corrected data'!C69*IF(MOD(B72,12)=3,Parameters!$D$19,1),0),2000)</f>
        <v>1502</v>
      </c>
      <c r="D72" s="46">
        <f>Parameters!$D$8*C72</f>
        <v>3004</v>
      </c>
      <c r="E72" s="46">
        <f>Parameters!$D$9*C72</f>
        <v>1502</v>
      </c>
      <c r="F72" s="51" t="str">
        <f t="shared" si="31"/>
        <v>Summer</v>
      </c>
      <c r="G72" s="48">
        <f t="shared" si="22"/>
        <v>435580</v>
      </c>
      <c r="H72" s="52">
        <f t="shared" si="23"/>
        <v>12505.234105958931</v>
      </c>
      <c r="I72" s="48">
        <f t="shared" si="24"/>
        <v>30000</v>
      </c>
      <c r="J72" s="48">
        <f t="shared" si="25"/>
        <v>10000</v>
      </c>
      <c r="K72" s="48">
        <f t="shared" si="26"/>
        <v>720960</v>
      </c>
      <c r="L72" s="48">
        <f t="shared" si="27"/>
        <v>488085.23410595895</v>
      </c>
      <c r="M72" s="48">
        <f t="shared" si="28"/>
        <v>58218.691473510262</v>
      </c>
      <c r="N72" s="49">
        <f t="shared" si="29"/>
        <v>174656.07442053079</v>
      </c>
      <c r="P72" s="46">
        <v>68</v>
      </c>
      <c r="Q72" s="49">
        <f t="shared" si="34"/>
        <v>2569102.0438485378</v>
      </c>
      <c r="R72" s="48">
        <f t="shared" si="30"/>
        <v>12505.234105958931</v>
      </c>
      <c r="S72" s="48">
        <f t="shared" si="35"/>
        <v>55112.013070636116</v>
      </c>
      <c r="T72" s="49">
        <f t="shared" si="32"/>
        <v>2526495.2648838609</v>
      </c>
    </row>
    <row r="73" spans="1:20" x14ac:dyDescent="0.25">
      <c r="A73" s="46">
        <f t="shared" si="33"/>
        <v>6</v>
      </c>
      <c r="B73" s="46">
        <v>69</v>
      </c>
      <c r="C73" s="46">
        <f>MIN(ROUND('Corrected data'!C70*IF(MOD(B73,12)=3,Parameters!$D$19,1),0),2000)</f>
        <v>1510</v>
      </c>
      <c r="D73" s="46">
        <f>Parameters!$D$8*C73</f>
        <v>3020</v>
      </c>
      <c r="E73" s="46">
        <f>Parameters!$D$9*C73</f>
        <v>1510</v>
      </c>
      <c r="F73" s="51" t="str">
        <f t="shared" si="31"/>
        <v>Summer</v>
      </c>
      <c r="G73" s="48">
        <f t="shared" si="22"/>
        <v>437900</v>
      </c>
      <c r="H73" s="52">
        <f t="shared" si="23"/>
        <v>12297.843454921973</v>
      </c>
      <c r="I73" s="48">
        <f t="shared" si="24"/>
        <v>30000</v>
      </c>
      <c r="J73" s="48">
        <f t="shared" si="25"/>
        <v>10000</v>
      </c>
      <c r="K73" s="48">
        <f t="shared" si="26"/>
        <v>724800</v>
      </c>
      <c r="L73" s="48">
        <f t="shared" si="27"/>
        <v>490197.84345492197</v>
      </c>
      <c r="M73" s="48">
        <f t="shared" si="28"/>
        <v>58650.539136269508</v>
      </c>
      <c r="N73" s="49">
        <f t="shared" si="29"/>
        <v>175951.61740880852</v>
      </c>
      <c r="P73" s="46">
        <v>69</v>
      </c>
      <c r="Q73" s="49">
        <f t="shared" si="34"/>
        <v>2526495.2648838609</v>
      </c>
      <c r="R73" s="48">
        <f t="shared" si="30"/>
        <v>12297.843454921973</v>
      </c>
      <c r="S73" s="48">
        <f t="shared" si="35"/>
        <v>55112.013070636116</v>
      </c>
      <c r="T73" s="49">
        <f t="shared" si="32"/>
        <v>2483681.0952681471</v>
      </c>
    </row>
    <row r="74" spans="1:20" x14ac:dyDescent="0.25">
      <c r="A74" s="46">
        <f t="shared" si="33"/>
        <v>6</v>
      </c>
      <c r="B74" s="46">
        <v>70</v>
      </c>
      <c r="C74" s="46">
        <f>MIN(ROUND('Corrected data'!C71*IF(MOD(B74,12)=3,Parameters!$D$19,1),0),2000)</f>
        <v>1518</v>
      </c>
      <c r="D74" s="46">
        <f>Parameters!$D$8*C74</f>
        <v>3036</v>
      </c>
      <c r="E74" s="46">
        <f>Parameters!$D$9*C74</f>
        <v>1518</v>
      </c>
      <c r="F74" s="51" t="str">
        <f t="shared" si="31"/>
        <v>Summer</v>
      </c>
      <c r="G74" s="48">
        <f t="shared" si="22"/>
        <v>440220</v>
      </c>
      <c r="H74" s="52">
        <f t="shared" si="23"/>
        <v>12089.44331940431</v>
      </c>
      <c r="I74" s="48">
        <f t="shared" si="24"/>
        <v>30000</v>
      </c>
      <c r="J74" s="48">
        <f t="shared" si="25"/>
        <v>10000</v>
      </c>
      <c r="K74" s="48">
        <f t="shared" si="26"/>
        <v>728640</v>
      </c>
      <c r="L74" s="48">
        <f t="shared" si="27"/>
        <v>492309.44331940432</v>
      </c>
      <c r="M74" s="48">
        <f t="shared" si="28"/>
        <v>59082.639170148919</v>
      </c>
      <c r="N74" s="49">
        <f t="shared" si="29"/>
        <v>177247.91751044674</v>
      </c>
      <c r="P74" s="46">
        <v>70</v>
      </c>
      <c r="Q74" s="49">
        <f t="shared" si="34"/>
        <v>2483681.0952681471</v>
      </c>
      <c r="R74" s="48">
        <f t="shared" si="30"/>
        <v>12089.44331940431</v>
      </c>
      <c r="S74" s="48">
        <f t="shared" si="35"/>
        <v>55112.013070636116</v>
      </c>
      <c r="T74" s="49">
        <f t="shared" si="32"/>
        <v>2440658.5255169156</v>
      </c>
    </row>
    <row r="75" spans="1:20" x14ac:dyDescent="0.25">
      <c r="A75" s="46">
        <f t="shared" si="33"/>
        <v>6</v>
      </c>
      <c r="B75" s="46">
        <v>71</v>
      </c>
      <c r="C75" s="46">
        <f>MIN(ROUND('Corrected data'!C72*IF(MOD(B75,12)=3,Parameters!$D$19,1),0),2000)</f>
        <v>1526</v>
      </c>
      <c r="D75" s="46">
        <f>Parameters!$D$8*C75</f>
        <v>3052</v>
      </c>
      <c r="E75" s="46">
        <f>Parameters!$D$9*C75</f>
        <v>1526</v>
      </c>
      <c r="F75" s="51" t="str">
        <f t="shared" si="31"/>
        <v>Summer</v>
      </c>
      <c r="G75" s="48">
        <f t="shared" si="22"/>
        <v>442540</v>
      </c>
      <c r="H75" s="52">
        <f t="shared" si="23"/>
        <v>11880.028785689194</v>
      </c>
      <c r="I75" s="48">
        <f t="shared" si="24"/>
        <v>30000</v>
      </c>
      <c r="J75" s="48">
        <f t="shared" si="25"/>
        <v>10000</v>
      </c>
      <c r="K75" s="48">
        <f t="shared" si="26"/>
        <v>732480</v>
      </c>
      <c r="L75" s="48">
        <f t="shared" si="27"/>
        <v>494420.02878568921</v>
      </c>
      <c r="M75" s="48">
        <f t="shared" si="28"/>
        <v>59514.992803577697</v>
      </c>
      <c r="N75" s="49">
        <f t="shared" si="29"/>
        <v>178544.97841073311</v>
      </c>
      <c r="P75" s="46">
        <v>71</v>
      </c>
      <c r="Q75" s="49">
        <f t="shared" si="34"/>
        <v>2440658.5255169156</v>
      </c>
      <c r="R75" s="48">
        <f t="shared" si="30"/>
        <v>11880.028785689194</v>
      </c>
      <c r="S75" s="48">
        <f t="shared" si="35"/>
        <v>55112.013070636116</v>
      </c>
      <c r="T75" s="49">
        <f t="shared" si="32"/>
        <v>2397426.5412319689</v>
      </c>
    </row>
    <row r="76" spans="1:20" x14ac:dyDescent="0.25">
      <c r="A76" s="46">
        <f t="shared" si="33"/>
        <v>6</v>
      </c>
      <c r="B76" s="46">
        <v>72</v>
      </c>
      <c r="C76" s="46">
        <f>MIN(ROUND('Corrected data'!C73*IF(MOD(B76,12)=3,Parameters!$D$19,1),0),2000)</f>
        <v>1534</v>
      </c>
      <c r="D76" s="46">
        <f>Parameters!$D$8*C76</f>
        <v>3068</v>
      </c>
      <c r="E76" s="46">
        <f>Parameters!$D$9*C76</f>
        <v>1534</v>
      </c>
      <c r="F76" s="51" t="str">
        <f t="shared" si="31"/>
        <v>Summer</v>
      </c>
      <c r="G76" s="48">
        <f t="shared" si="22"/>
        <v>444860</v>
      </c>
      <c r="H76" s="52">
        <f t="shared" si="23"/>
        <v>11669.594916142099</v>
      </c>
      <c r="I76" s="48">
        <f t="shared" si="24"/>
        <v>30000</v>
      </c>
      <c r="J76" s="48">
        <f t="shared" si="25"/>
        <v>10000</v>
      </c>
      <c r="K76" s="48">
        <f t="shared" si="26"/>
        <v>736320</v>
      </c>
      <c r="L76" s="48">
        <f t="shared" si="27"/>
        <v>496529.59491614212</v>
      </c>
      <c r="M76" s="48">
        <f t="shared" si="28"/>
        <v>59947.601270964471</v>
      </c>
      <c r="N76" s="49">
        <f t="shared" si="29"/>
        <v>179842.8038128934</v>
      </c>
      <c r="P76" s="46">
        <v>72</v>
      </c>
      <c r="Q76" s="49">
        <f t="shared" si="34"/>
        <v>2397426.5412319689</v>
      </c>
      <c r="R76" s="48">
        <f t="shared" si="30"/>
        <v>11669.594916142099</v>
      </c>
      <c r="S76" s="48">
        <f t="shared" si="35"/>
        <v>55112.013070636116</v>
      </c>
      <c r="T76" s="49">
        <f t="shared" si="32"/>
        <v>2353984.123077475</v>
      </c>
    </row>
    <row r="77" spans="1:20" x14ac:dyDescent="0.25">
      <c r="A77" s="46">
        <f t="shared" si="33"/>
        <v>7</v>
      </c>
      <c r="B77" s="46">
        <v>73</v>
      </c>
      <c r="C77" s="46">
        <f>MIN(ROUND('Corrected data'!C74*IF(MOD(B77,12)=3,Parameters!$D$19,1),0),2000)</f>
        <v>1249</v>
      </c>
      <c r="D77" s="46">
        <f>Parameters!$D$8*C77</f>
        <v>2498</v>
      </c>
      <c r="E77" s="46">
        <f>Parameters!$D$9*C77</f>
        <v>1249</v>
      </c>
      <c r="F77" s="51" t="str">
        <f t="shared" si="31"/>
        <v>Winter</v>
      </c>
      <c r="G77" s="48">
        <f t="shared" si="22"/>
        <v>362210</v>
      </c>
      <c r="H77" s="52">
        <f t="shared" si="23"/>
        <v>11458.136749094323</v>
      </c>
      <c r="I77" s="48">
        <f t="shared" si="24"/>
        <v>30000</v>
      </c>
      <c r="J77" s="48">
        <f t="shared" si="25"/>
        <v>7000</v>
      </c>
      <c r="K77" s="48">
        <f t="shared" si="26"/>
        <v>574540</v>
      </c>
      <c r="L77" s="48">
        <f t="shared" si="27"/>
        <v>410668.13674909435</v>
      </c>
      <c r="M77" s="48">
        <f t="shared" si="28"/>
        <v>40967.965812726412</v>
      </c>
      <c r="N77" s="49">
        <f t="shared" si="29"/>
        <v>122903.89743817924</v>
      </c>
      <c r="P77" s="46">
        <v>73</v>
      </c>
      <c r="Q77" s="49">
        <f t="shared" si="34"/>
        <v>2353984.123077475</v>
      </c>
      <c r="R77" s="48">
        <f t="shared" si="30"/>
        <v>11458.136749094323</v>
      </c>
      <c r="S77" s="48">
        <f t="shared" si="35"/>
        <v>55112.013070636116</v>
      </c>
      <c r="T77" s="49">
        <f t="shared" si="32"/>
        <v>2310330.2467559334</v>
      </c>
    </row>
    <row r="78" spans="1:20" x14ac:dyDescent="0.25">
      <c r="A78" s="46">
        <f t="shared" si="33"/>
        <v>7</v>
      </c>
      <c r="B78" s="46">
        <v>74</v>
      </c>
      <c r="C78" s="46">
        <f>MIN(ROUND('Corrected data'!C75*IF(MOD(B78,12)=3,Parameters!$D$19,1),0),2000)</f>
        <v>1256</v>
      </c>
      <c r="D78" s="46">
        <f>Parameters!$D$8*C78</f>
        <v>2512</v>
      </c>
      <c r="E78" s="46">
        <f>Parameters!$D$9*C78</f>
        <v>1256</v>
      </c>
      <c r="F78" s="51" t="str">
        <f t="shared" si="31"/>
        <v>Winter</v>
      </c>
      <c r="G78" s="48">
        <f t="shared" si="22"/>
        <v>364240</v>
      </c>
      <c r="H78" s="52">
        <f t="shared" si="23"/>
        <v>11245.649298725988</v>
      </c>
      <c r="I78" s="48">
        <f t="shared" si="24"/>
        <v>30000</v>
      </c>
      <c r="J78" s="48">
        <f t="shared" si="25"/>
        <v>7000</v>
      </c>
      <c r="K78" s="48">
        <f t="shared" si="26"/>
        <v>577760</v>
      </c>
      <c r="L78" s="48">
        <f t="shared" si="27"/>
        <v>412485.649298726</v>
      </c>
      <c r="M78" s="48">
        <f t="shared" si="28"/>
        <v>41318.5876753185</v>
      </c>
      <c r="N78" s="49">
        <f t="shared" si="29"/>
        <v>123955.7630259555</v>
      </c>
      <c r="P78" s="46">
        <v>74</v>
      </c>
      <c r="Q78" s="49">
        <f t="shared" si="34"/>
        <v>2310330.2467559334</v>
      </c>
      <c r="R78" s="48">
        <f t="shared" si="30"/>
        <v>11245.649298725988</v>
      </c>
      <c r="S78" s="48">
        <f t="shared" si="35"/>
        <v>55112.013070636116</v>
      </c>
      <c r="T78" s="49">
        <f t="shared" si="32"/>
        <v>2266463.8829840235</v>
      </c>
    </row>
    <row r="79" spans="1:20" x14ac:dyDescent="0.25">
      <c r="A79" s="46">
        <f t="shared" si="33"/>
        <v>7</v>
      </c>
      <c r="B79" s="46">
        <v>75</v>
      </c>
      <c r="C79" s="46">
        <f>MIN(ROUND('Corrected data'!C76*IF(MOD(B79,12)=3,Parameters!$D$19,1),0),2000)</f>
        <v>1516</v>
      </c>
      <c r="D79" s="46">
        <f>Parameters!$D$8*C79</f>
        <v>3032</v>
      </c>
      <c r="E79" s="46">
        <f>Parameters!$D$9*C79</f>
        <v>1516</v>
      </c>
      <c r="F79" s="51" t="str">
        <f t="shared" si="31"/>
        <v>Summer</v>
      </c>
      <c r="G79" s="48">
        <f t="shared" si="22"/>
        <v>439640</v>
      </c>
      <c r="H79" s="52">
        <f t="shared" si="23"/>
        <v>11032.127554948485</v>
      </c>
      <c r="I79" s="48">
        <f t="shared" si="24"/>
        <v>30000</v>
      </c>
      <c r="J79" s="48">
        <f t="shared" si="25"/>
        <v>10000</v>
      </c>
      <c r="K79" s="48">
        <f t="shared" si="26"/>
        <v>727680</v>
      </c>
      <c r="L79" s="48">
        <f t="shared" si="27"/>
        <v>490672.1275549485</v>
      </c>
      <c r="M79" s="48">
        <f t="shared" si="28"/>
        <v>59251.968111262875</v>
      </c>
      <c r="N79" s="49">
        <f t="shared" si="29"/>
        <v>177755.90433378861</v>
      </c>
      <c r="P79" s="46">
        <v>75</v>
      </c>
      <c r="Q79" s="49">
        <f t="shared" si="34"/>
        <v>2266463.8829840235</v>
      </c>
      <c r="R79" s="48">
        <f t="shared" si="30"/>
        <v>11032.127554948485</v>
      </c>
      <c r="S79" s="48">
        <f t="shared" si="35"/>
        <v>55112.013070636116</v>
      </c>
      <c r="T79" s="49">
        <f t="shared" si="32"/>
        <v>2222383.997468336</v>
      </c>
    </row>
    <row r="80" spans="1:20" x14ac:dyDescent="0.25">
      <c r="A80" s="46">
        <f t="shared" si="33"/>
        <v>7</v>
      </c>
      <c r="B80" s="46">
        <v>76</v>
      </c>
      <c r="C80" s="46">
        <f>MIN(ROUND('Corrected data'!C77*IF(MOD(B80,12)=3,Parameters!$D$19,1),0),2000)</f>
        <v>1562</v>
      </c>
      <c r="D80" s="46">
        <f>Parameters!$D$8*C80</f>
        <v>3124</v>
      </c>
      <c r="E80" s="46">
        <f>Parameters!$D$9*C80</f>
        <v>1562</v>
      </c>
      <c r="F80" s="51" t="str">
        <f t="shared" si="31"/>
        <v>Summer</v>
      </c>
      <c r="G80" s="48">
        <f t="shared" si="22"/>
        <v>452980</v>
      </c>
      <c r="H80" s="52">
        <f t="shared" si="23"/>
        <v>10817.566483286342</v>
      </c>
      <c r="I80" s="48">
        <f t="shared" si="24"/>
        <v>30000</v>
      </c>
      <c r="J80" s="48">
        <f t="shared" si="25"/>
        <v>10000</v>
      </c>
      <c r="K80" s="48">
        <f t="shared" si="26"/>
        <v>749760</v>
      </c>
      <c r="L80" s="48">
        <f t="shared" si="27"/>
        <v>503797.56648328633</v>
      </c>
      <c r="M80" s="48">
        <f t="shared" si="28"/>
        <v>61490.608379178419</v>
      </c>
      <c r="N80" s="49">
        <f t="shared" si="29"/>
        <v>184471.82513753526</v>
      </c>
      <c r="P80" s="46">
        <v>76</v>
      </c>
      <c r="Q80" s="49">
        <f t="shared" si="34"/>
        <v>2222383.997468336</v>
      </c>
      <c r="R80" s="48">
        <f t="shared" si="30"/>
        <v>10817.566483286342</v>
      </c>
      <c r="S80" s="48">
        <f t="shared" si="35"/>
        <v>55112.013070636116</v>
      </c>
      <c r="T80" s="49">
        <f t="shared" si="32"/>
        <v>2178089.5508809863</v>
      </c>
    </row>
    <row r="81" spans="1:20" x14ac:dyDescent="0.25">
      <c r="A81" s="46">
        <f t="shared" si="33"/>
        <v>7</v>
      </c>
      <c r="B81" s="46">
        <v>77</v>
      </c>
      <c r="C81" s="46">
        <f>MIN(ROUND('Corrected data'!C78*IF(MOD(B81,12)=3,Parameters!$D$19,1),0),2000)</f>
        <v>1570</v>
      </c>
      <c r="D81" s="46">
        <f>Parameters!$D$8*C81</f>
        <v>3140</v>
      </c>
      <c r="E81" s="46">
        <f>Parameters!$D$9*C81</f>
        <v>1570</v>
      </c>
      <c r="F81" s="51" t="str">
        <f t="shared" si="31"/>
        <v>Summer</v>
      </c>
      <c r="G81" s="48">
        <f t="shared" si="22"/>
        <v>455300</v>
      </c>
      <c r="H81" s="52">
        <f t="shared" si="23"/>
        <v>10601.961024758531</v>
      </c>
      <c r="I81" s="48">
        <f t="shared" si="24"/>
        <v>30000</v>
      </c>
      <c r="J81" s="48">
        <f t="shared" si="25"/>
        <v>10000</v>
      </c>
      <c r="K81" s="48">
        <f t="shared" si="26"/>
        <v>753600</v>
      </c>
      <c r="L81" s="48">
        <f t="shared" si="27"/>
        <v>505901.96102475852</v>
      </c>
      <c r="M81" s="48">
        <f t="shared" si="28"/>
        <v>61924.509743810369</v>
      </c>
      <c r="N81" s="49">
        <f t="shared" si="29"/>
        <v>185773.52923143111</v>
      </c>
      <c r="P81" s="46">
        <v>77</v>
      </c>
      <c r="Q81" s="49">
        <f t="shared" si="34"/>
        <v>2178089.5508809863</v>
      </c>
      <c r="R81" s="48">
        <f t="shared" si="30"/>
        <v>10601.961024758531</v>
      </c>
      <c r="S81" s="48">
        <f t="shared" si="35"/>
        <v>55112.013070636116</v>
      </c>
      <c r="T81" s="49">
        <f t="shared" si="32"/>
        <v>2133579.4988351087</v>
      </c>
    </row>
    <row r="82" spans="1:20" x14ac:dyDescent="0.25">
      <c r="A82" s="46">
        <f t="shared" si="33"/>
        <v>7</v>
      </c>
      <c r="B82" s="46">
        <v>78</v>
      </c>
      <c r="C82" s="46">
        <f>MIN(ROUND('Corrected data'!C79*IF(MOD(B82,12)=3,Parameters!$D$19,1),0),2000)</f>
        <v>1579</v>
      </c>
      <c r="D82" s="46">
        <f>Parameters!$D$8*C82</f>
        <v>3158</v>
      </c>
      <c r="E82" s="46">
        <f>Parameters!$D$9*C82</f>
        <v>1579</v>
      </c>
      <c r="F82" s="51" t="str">
        <f t="shared" si="31"/>
        <v>Summer</v>
      </c>
      <c r="G82" s="48">
        <f t="shared" si="22"/>
        <v>457910</v>
      </c>
      <c r="H82" s="52">
        <f t="shared" si="23"/>
        <v>10385.306095759172</v>
      </c>
      <c r="I82" s="48">
        <f t="shared" si="24"/>
        <v>30000</v>
      </c>
      <c r="J82" s="48">
        <f t="shared" si="25"/>
        <v>10000</v>
      </c>
      <c r="K82" s="48">
        <f t="shared" si="26"/>
        <v>757920</v>
      </c>
      <c r="L82" s="48">
        <f t="shared" si="27"/>
        <v>508295.30609575915</v>
      </c>
      <c r="M82" s="48">
        <f t="shared" si="28"/>
        <v>62406.173476060212</v>
      </c>
      <c r="N82" s="49">
        <f t="shared" si="29"/>
        <v>187218.52042818064</v>
      </c>
      <c r="P82" s="46">
        <v>78</v>
      </c>
      <c r="Q82" s="49">
        <f t="shared" si="34"/>
        <v>2133579.4988351087</v>
      </c>
      <c r="R82" s="48">
        <f t="shared" si="30"/>
        <v>10385.306095759172</v>
      </c>
      <c r="S82" s="48">
        <f t="shared" si="35"/>
        <v>55112.013070636116</v>
      </c>
      <c r="T82" s="49">
        <f t="shared" si="32"/>
        <v>2088852.7918602319</v>
      </c>
    </row>
    <row r="83" spans="1:20" x14ac:dyDescent="0.25">
      <c r="A83" s="46">
        <f t="shared" si="33"/>
        <v>7</v>
      </c>
      <c r="B83" s="46">
        <v>79</v>
      </c>
      <c r="C83" s="46">
        <f>MIN(ROUND('Corrected data'!C80*IF(MOD(B83,12)=3,Parameters!$D$19,1),0),2000)</f>
        <v>1588</v>
      </c>
      <c r="D83" s="46">
        <f>Parameters!$D$8*C83</f>
        <v>3176</v>
      </c>
      <c r="E83" s="46">
        <f>Parameters!$D$9*C83</f>
        <v>1588</v>
      </c>
      <c r="F83" s="51" t="str">
        <f t="shared" si="31"/>
        <v>Summer</v>
      </c>
      <c r="G83" s="48">
        <f t="shared" si="22"/>
        <v>460520</v>
      </c>
      <c r="H83" s="52">
        <f t="shared" si="23"/>
        <v>10167.596587937676</v>
      </c>
      <c r="I83" s="48">
        <f t="shared" si="24"/>
        <v>30000</v>
      </c>
      <c r="J83" s="48">
        <f t="shared" si="25"/>
        <v>10000</v>
      </c>
      <c r="K83" s="48">
        <f t="shared" si="26"/>
        <v>762240</v>
      </c>
      <c r="L83" s="48">
        <f t="shared" si="27"/>
        <v>510687.59658793767</v>
      </c>
      <c r="M83" s="48">
        <f t="shared" si="28"/>
        <v>62888.100853015581</v>
      </c>
      <c r="N83" s="49">
        <f t="shared" si="29"/>
        <v>188664.30255904674</v>
      </c>
      <c r="P83" s="46">
        <v>79</v>
      </c>
      <c r="Q83" s="49">
        <f t="shared" si="34"/>
        <v>2088852.7918602319</v>
      </c>
      <c r="R83" s="48">
        <f t="shared" si="30"/>
        <v>10167.596587937676</v>
      </c>
      <c r="S83" s="48">
        <f t="shared" si="35"/>
        <v>55112.013070636116</v>
      </c>
      <c r="T83" s="49">
        <f t="shared" si="32"/>
        <v>2043908.3753775333</v>
      </c>
    </row>
    <row r="84" spans="1:20" x14ac:dyDescent="0.25">
      <c r="A84" s="46">
        <f t="shared" si="33"/>
        <v>7</v>
      </c>
      <c r="B84" s="46">
        <v>80</v>
      </c>
      <c r="C84" s="46">
        <f>MIN(ROUND('Corrected data'!C81*IF(MOD(B84,12)=3,Parameters!$D$19,1),0),2000)</f>
        <v>1597</v>
      </c>
      <c r="D84" s="46">
        <f>Parameters!$D$8*C84</f>
        <v>3194</v>
      </c>
      <c r="E84" s="46">
        <f>Parameters!$D$9*C84</f>
        <v>1597</v>
      </c>
      <c r="F84" s="51" t="str">
        <f t="shared" si="31"/>
        <v>Summer</v>
      </c>
      <c r="G84" s="48">
        <f t="shared" si="22"/>
        <v>463130</v>
      </c>
      <c r="H84" s="52">
        <f t="shared" si="23"/>
        <v>9948.8273680783041</v>
      </c>
      <c r="I84" s="48">
        <f t="shared" si="24"/>
        <v>30000</v>
      </c>
      <c r="J84" s="48">
        <f t="shared" si="25"/>
        <v>10000</v>
      </c>
      <c r="K84" s="48">
        <f t="shared" si="26"/>
        <v>766560</v>
      </c>
      <c r="L84" s="48">
        <f t="shared" si="27"/>
        <v>513078.82736807829</v>
      </c>
      <c r="M84" s="48">
        <f t="shared" si="28"/>
        <v>63370.293157980428</v>
      </c>
      <c r="N84" s="49">
        <f t="shared" si="29"/>
        <v>190110.87947394128</v>
      </c>
      <c r="P84" s="46">
        <v>80</v>
      </c>
      <c r="Q84" s="49">
        <f t="shared" si="34"/>
        <v>2043908.3753775333</v>
      </c>
      <c r="R84" s="48">
        <f t="shared" si="30"/>
        <v>9948.8273680783041</v>
      </c>
      <c r="S84" s="48">
        <f t="shared" si="35"/>
        <v>55112.013070636116</v>
      </c>
      <c r="T84" s="49">
        <f t="shared" si="32"/>
        <v>1998745.1896749754</v>
      </c>
    </row>
    <row r="85" spans="1:20" x14ac:dyDescent="0.25">
      <c r="A85" s="46">
        <f t="shared" si="33"/>
        <v>7</v>
      </c>
      <c r="B85" s="46">
        <v>81</v>
      </c>
      <c r="C85" s="46">
        <f>MIN(ROUND('Corrected data'!C82*IF(MOD(B85,12)=3,Parameters!$D$19,1),0),2000)</f>
        <v>1606</v>
      </c>
      <c r="D85" s="46">
        <f>Parameters!$D$8*C85</f>
        <v>3212</v>
      </c>
      <c r="E85" s="46">
        <f>Parameters!$D$9*C85</f>
        <v>1606</v>
      </c>
      <c r="F85" s="51" t="str">
        <f t="shared" si="31"/>
        <v>Summer</v>
      </c>
      <c r="G85" s="48">
        <f t="shared" si="22"/>
        <v>465740</v>
      </c>
      <c r="H85" s="52">
        <f t="shared" si="23"/>
        <v>9728.9932779791252</v>
      </c>
      <c r="I85" s="48">
        <f t="shared" si="24"/>
        <v>30000</v>
      </c>
      <c r="J85" s="48">
        <f t="shared" si="25"/>
        <v>10000</v>
      </c>
      <c r="K85" s="48">
        <f t="shared" si="26"/>
        <v>770880</v>
      </c>
      <c r="L85" s="48">
        <f t="shared" si="27"/>
        <v>515468.99327797914</v>
      </c>
      <c r="M85" s="48">
        <f t="shared" si="28"/>
        <v>63852.751680505215</v>
      </c>
      <c r="N85" s="49">
        <f t="shared" si="29"/>
        <v>191558.25504151563</v>
      </c>
      <c r="P85" s="46">
        <v>81</v>
      </c>
      <c r="Q85" s="49">
        <f t="shared" si="34"/>
        <v>1998745.1896749754</v>
      </c>
      <c r="R85" s="48">
        <f t="shared" si="30"/>
        <v>9728.9932779791252</v>
      </c>
      <c r="S85" s="48">
        <f t="shared" si="35"/>
        <v>55112.013070636116</v>
      </c>
      <c r="T85" s="49">
        <f t="shared" si="32"/>
        <v>1953362.1698823182</v>
      </c>
    </row>
    <row r="86" spans="1:20" x14ac:dyDescent="0.25">
      <c r="A86" s="46">
        <f t="shared" si="33"/>
        <v>7</v>
      </c>
      <c r="B86" s="46">
        <v>82</v>
      </c>
      <c r="C86" s="46">
        <f>MIN(ROUND('Corrected data'!C83*IF(MOD(B86,12)=3,Parameters!$D$19,1),0),2000)</f>
        <v>1615</v>
      </c>
      <c r="D86" s="46">
        <f>Parameters!$D$8*C86</f>
        <v>3230</v>
      </c>
      <c r="E86" s="46">
        <f>Parameters!$D$9*C86</f>
        <v>1615</v>
      </c>
      <c r="F86" s="51" t="str">
        <f t="shared" si="31"/>
        <v>Summer</v>
      </c>
      <c r="G86" s="48">
        <f t="shared" si="22"/>
        <v>468350</v>
      </c>
      <c r="H86" s="52">
        <f t="shared" si="23"/>
        <v>9508.0891343304011</v>
      </c>
      <c r="I86" s="48">
        <f t="shared" si="24"/>
        <v>30000</v>
      </c>
      <c r="J86" s="48">
        <f t="shared" si="25"/>
        <v>10000</v>
      </c>
      <c r="K86" s="48">
        <f t="shared" si="26"/>
        <v>775200</v>
      </c>
      <c r="L86" s="48">
        <f t="shared" si="27"/>
        <v>517858.0891343304</v>
      </c>
      <c r="M86" s="48">
        <f t="shared" si="28"/>
        <v>64335.477716417401</v>
      </c>
      <c r="N86" s="49">
        <f t="shared" si="29"/>
        <v>193006.4331492522</v>
      </c>
      <c r="P86" s="46">
        <v>82</v>
      </c>
      <c r="Q86" s="49">
        <f t="shared" si="34"/>
        <v>1953362.1698823182</v>
      </c>
      <c r="R86" s="48">
        <f t="shared" si="30"/>
        <v>9508.0891343304011</v>
      </c>
      <c r="S86" s="48">
        <f t="shared" si="35"/>
        <v>55112.013070636116</v>
      </c>
      <c r="T86" s="49">
        <f t="shared" si="32"/>
        <v>1907758.2459460124</v>
      </c>
    </row>
    <row r="87" spans="1:20" x14ac:dyDescent="0.25">
      <c r="A87" s="46">
        <f t="shared" si="33"/>
        <v>7</v>
      </c>
      <c r="B87" s="46">
        <v>83</v>
      </c>
      <c r="C87" s="46">
        <f>MIN(ROUND('Corrected data'!C84*IF(MOD(B87,12)=3,Parameters!$D$19,1),0),2000)</f>
        <v>1624</v>
      </c>
      <c r="D87" s="46">
        <f>Parameters!$D$8*C87</f>
        <v>3248</v>
      </c>
      <c r="E87" s="46">
        <f>Parameters!$D$9*C87</f>
        <v>1624</v>
      </c>
      <c r="F87" s="51" t="str">
        <f t="shared" si="31"/>
        <v>Summer</v>
      </c>
      <c r="G87" s="48">
        <f t="shared" si="22"/>
        <v>470960</v>
      </c>
      <c r="H87" s="52">
        <f t="shared" si="23"/>
        <v>9286.1097285923752</v>
      </c>
      <c r="I87" s="48">
        <f t="shared" si="24"/>
        <v>30000</v>
      </c>
      <c r="J87" s="48">
        <f t="shared" si="25"/>
        <v>10000</v>
      </c>
      <c r="K87" s="48">
        <f t="shared" si="26"/>
        <v>779520</v>
      </c>
      <c r="L87" s="48">
        <f t="shared" si="27"/>
        <v>520246.10972859239</v>
      </c>
      <c r="M87" s="48">
        <f t="shared" si="28"/>
        <v>64818.472567851903</v>
      </c>
      <c r="N87" s="49">
        <f t="shared" si="29"/>
        <v>194455.41770355572</v>
      </c>
      <c r="P87" s="46">
        <v>83</v>
      </c>
      <c r="Q87" s="49">
        <f t="shared" si="34"/>
        <v>1907758.2459460124</v>
      </c>
      <c r="R87" s="48">
        <f t="shared" si="30"/>
        <v>9286.1097285923752</v>
      </c>
      <c r="S87" s="48">
        <f t="shared" si="35"/>
        <v>55112.013070636116</v>
      </c>
      <c r="T87" s="49">
        <f t="shared" si="32"/>
        <v>1861932.3426039687</v>
      </c>
    </row>
    <row r="88" spans="1:20" x14ac:dyDescent="0.25">
      <c r="A88" s="46">
        <f t="shared" si="33"/>
        <v>7</v>
      </c>
      <c r="B88" s="46">
        <v>84</v>
      </c>
      <c r="C88" s="46">
        <f>MIN(ROUND('Corrected data'!C85*IF(MOD(B88,12)=3,Parameters!$D$19,1),0),2000)</f>
        <v>1633</v>
      </c>
      <c r="D88" s="46">
        <f>Parameters!$D$8*C88</f>
        <v>3266</v>
      </c>
      <c r="E88" s="46">
        <f>Parameters!$D$9*C88</f>
        <v>1633</v>
      </c>
      <c r="F88" s="51" t="str">
        <f t="shared" si="31"/>
        <v>Summer</v>
      </c>
      <c r="G88" s="48">
        <f t="shared" si="22"/>
        <v>473570</v>
      </c>
      <c r="H88" s="52">
        <f t="shared" si="23"/>
        <v>9063.049826872455</v>
      </c>
      <c r="I88" s="48">
        <f t="shared" si="24"/>
        <v>30000</v>
      </c>
      <c r="J88" s="48">
        <f t="shared" si="25"/>
        <v>10000</v>
      </c>
      <c r="K88" s="48">
        <f t="shared" si="26"/>
        <v>783840</v>
      </c>
      <c r="L88" s="48">
        <f t="shared" si="27"/>
        <v>522633.04982687248</v>
      </c>
      <c r="M88" s="48">
        <f t="shared" si="28"/>
        <v>65301.737543281881</v>
      </c>
      <c r="N88" s="49">
        <f t="shared" si="29"/>
        <v>195905.21262984566</v>
      </c>
      <c r="P88" s="46">
        <v>84</v>
      </c>
      <c r="Q88" s="49">
        <f t="shared" si="34"/>
        <v>1861932.3426039687</v>
      </c>
      <c r="R88" s="48">
        <f t="shared" si="30"/>
        <v>9063.049826872455</v>
      </c>
      <c r="S88" s="48">
        <f t="shared" si="35"/>
        <v>55112.013070636116</v>
      </c>
      <c r="T88" s="49">
        <f t="shared" si="32"/>
        <v>1815883.379360205</v>
      </c>
    </row>
    <row r="89" spans="1:20" x14ac:dyDescent="0.25">
      <c r="A89" s="46">
        <f t="shared" si="33"/>
        <v>8</v>
      </c>
      <c r="B89" s="46">
        <v>85</v>
      </c>
      <c r="C89" s="46">
        <f>MIN(ROUND('Corrected data'!C86*IF(MOD(B89,12)=3,Parameters!$D$19,1),0),2000)</f>
        <v>1332</v>
      </c>
      <c r="D89" s="46">
        <f>Parameters!$D$8*C89</f>
        <v>2664</v>
      </c>
      <c r="E89" s="46">
        <f>Parameters!$D$9*C89</f>
        <v>1332</v>
      </c>
      <c r="F89" s="51" t="str">
        <f t="shared" si="31"/>
        <v>Winter</v>
      </c>
      <c r="G89" s="48">
        <f t="shared" si="22"/>
        <v>386280</v>
      </c>
      <c r="H89" s="52">
        <f t="shared" si="23"/>
        <v>8838.9041698018118</v>
      </c>
      <c r="I89" s="48">
        <f t="shared" si="24"/>
        <v>30000</v>
      </c>
      <c r="J89" s="48">
        <f t="shared" si="25"/>
        <v>7000</v>
      </c>
      <c r="K89" s="48">
        <f t="shared" si="26"/>
        <v>612720</v>
      </c>
      <c r="L89" s="48">
        <f t="shared" si="27"/>
        <v>432118.9041698018</v>
      </c>
      <c r="M89" s="48">
        <f t="shared" si="28"/>
        <v>45150.273957549551</v>
      </c>
      <c r="N89" s="49">
        <f t="shared" si="29"/>
        <v>135450.82187264867</v>
      </c>
      <c r="P89" s="46">
        <v>85</v>
      </c>
      <c r="Q89" s="49">
        <f t="shared" si="34"/>
        <v>1815883.379360205</v>
      </c>
      <c r="R89" s="48">
        <f t="shared" si="30"/>
        <v>8838.9041698018118</v>
      </c>
      <c r="S89" s="48">
        <f t="shared" si="35"/>
        <v>55112.013070636116</v>
      </c>
      <c r="T89" s="49">
        <f t="shared" si="32"/>
        <v>1769610.2704593707</v>
      </c>
    </row>
    <row r="90" spans="1:20" x14ac:dyDescent="0.25">
      <c r="A90" s="46">
        <f t="shared" si="33"/>
        <v>8</v>
      </c>
      <c r="B90" s="46">
        <v>86</v>
      </c>
      <c r="C90" s="46">
        <f>MIN(ROUND('Corrected data'!C87*IF(MOD(B90,12)=3,Parameters!$D$19,1),0),2000)</f>
        <v>1340</v>
      </c>
      <c r="D90" s="46">
        <f>Parameters!$D$8*C90</f>
        <v>2680</v>
      </c>
      <c r="E90" s="46">
        <f>Parameters!$D$9*C90</f>
        <v>1340</v>
      </c>
      <c r="F90" s="51" t="str">
        <f t="shared" si="31"/>
        <v>Winter</v>
      </c>
      <c r="G90" s="48">
        <f t="shared" si="22"/>
        <v>388600</v>
      </c>
      <c r="H90" s="52">
        <f t="shared" si="23"/>
        <v>8613.6674724113745</v>
      </c>
      <c r="I90" s="48">
        <f t="shared" si="24"/>
        <v>30000</v>
      </c>
      <c r="J90" s="48">
        <f t="shared" si="25"/>
        <v>7000</v>
      </c>
      <c r="K90" s="48">
        <f t="shared" si="26"/>
        <v>616400</v>
      </c>
      <c r="L90" s="48">
        <f t="shared" si="27"/>
        <v>434213.66747241135</v>
      </c>
      <c r="M90" s="48">
        <f t="shared" si="28"/>
        <v>45546.583131897161</v>
      </c>
      <c r="N90" s="49">
        <f t="shared" si="29"/>
        <v>136639.7493956915</v>
      </c>
      <c r="P90" s="46">
        <v>86</v>
      </c>
      <c r="Q90" s="49">
        <f t="shared" si="34"/>
        <v>1769610.2704593707</v>
      </c>
      <c r="R90" s="48">
        <f t="shared" si="30"/>
        <v>8613.6674724113745</v>
      </c>
      <c r="S90" s="48">
        <f t="shared" si="35"/>
        <v>55112.013070636116</v>
      </c>
      <c r="T90" s="49">
        <f t="shared" si="32"/>
        <v>1723111.9248611459</v>
      </c>
    </row>
    <row r="91" spans="1:20" x14ac:dyDescent="0.25">
      <c r="A91" s="46">
        <f t="shared" si="33"/>
        <v>8</v>
      </c>
      <c r="B91" s="46">
        <v>87</v>
      </c>
      <c r="C91" s="46">
        <f>MIN(ROUND('Corrected data'!C88*IF(MOD(B91,12)=3,Parameters!$D$19,1),0),2000)</f>
        <v>1618</v>
      </c>
      <c r="D91" s="46">
        <f>Parameters!$D$8*C91</f>
        <v>3236</v>
      </c>
      <c r="E91" s="46">
        <f>Parameters!$D$9*C91</f>
        <v>1618</v>
      </c>
      <c r="F91" s="51" t="str">
        <f t="shared" si="31"/>
        <v>Summer</v>
      </c>
      <c r="G91" s="48">
        <f t="shared" si="22"/>
        <v>469220</v>
      </c>
      <c r="H91" s="52">
        <f t="shared" si="23"/>
        <v>8387.3344240072183</v>
      </c>
      <c r="I91" s="48">
        <f t="shared" si="24"/>
        <v>30000</v>
      </c>
      <c r="J91" s="48">
        <f t="shared" si="25"/>
        <v>10000</v>
      </c>
      <c r="K91" s="48">
        <f t="shared" si="26"/>
        <v>776640</v>
      </c>
      <c r="L91" s="48">
        <f t="shared" si="27"/>
        <v>517607.33442400722</v>
      </c>
      <c r="M91" s="48">
        <f t="shared" si="28"/>
        <v>64758.166393998195</v>
      </c>
      <c r="N91" s="49">
        <f t="shared" si="29"/>
        <v>194274.49918199459</v>
      </c>
      <c r="P91" s="46">
        <v>87</v>
      </c>
      <c r="Q91" s="49">
        <f t="shared" si="34"/>
        <v>1723111.9248611459</v>
      </c>
      <c r="R91" s="48">
        <f t="shared" si="30"/>
        <v>8387.3344240072183</v>
      </c>
      <c r="S91" s="48">
        <f t="shared" si="35"/>
        <v>55112.013070636116</v>
      </c>
      <c r="T91" s="49">
        <f t="shared" si="32"/>
        <v>1676387.2462145169</v>
      </c>
    </row>
    <row r="92" spans="1:20" x14ac:dyDescent="0.25">
      <c r="A92" s="46">
        <f t="shared" si="33"/>
        <v>8</v>
      </c>
      <c r="B92" s="46">
        <v>88</v>
      </c>
      <c r="C92" s="46">
        <f>MIN(ROUND('Corrected data'!C89*IF(MOD(B92,12)=3,Parameters!$D$19,1),0),2000)</f>
        <v>1665</v>
      </c>
      <c r="D92" s="46">
        <f>Parameters!$D$8*C92</f>
        <v>3330</v>
      </c>
      <c r="E92" s="46">
        <f>Parameters!$D$9*C92</f>
        <v>1665</v>
      </c>
      <c r="F92" s="51" t="str">
        <f t="shared" si="31"/>
        <v>Summer</v>
      </c>
      <c r="G92" s="48">
        <f t="shared" si="22"/>
        <v>482850</v>
      </c>
      <c r="H92" s="52">
        <f t="shared" si="23"/>
        <v>8159.8996880453478</v>
      </c>
      <c r="I92" s="48">
        <f t="shared" si="24"/>
        <v>30000</v>
      </c>
      <c r="J92" s="48">
        <f t="shared" si="25"/>
        <v>10000</v>
      </c>
      <c r="K92" s="48">
        <f t="shared" si="26"/>
        <v>799200</v>
      </c>
      <c r="L92" s="48">
        <f t="shared" si="27"/>
        <v>531009.89968804526</v>
      </c>
      <c r="M92" s="48">
        <f t="shared" si="28"/>
        <v>67047.525077988685</v>
      </c>
      <c r="N92" s="49">
        <f t="shared" si="29"/>
        <v>201142.57523396605</v>
      </c>
      <c r="P92" s="46">
        <v>88</v>
      </c>
      <c r="Q92" s="49">
        <f t="shared" si="34"/>
        <v>1676387.2462145169</v>
      </c>
      <c r="R92" s="48">
        <f t="shared" si="30"/>
        <v>8159.8996880453478</v>
      </c>
      <c r="S92" s="48">
        <f t="shared" si="35"/>
        <v>55112.013070636116</v>
      </c>
      <c r="T92" s="49">
        <f t="shared" si="32"/>
        <v>1629435.132831926</v>
      </c>
    </row>
    <row r="93" spans="1:20" x14ac:dyDescent="0.25">
      <c r="A93" s="46">
        <f t="shared" si="33"/>
        <v>8</v>
      </c>
      <c r="B93" s="46">
        <v>89</v>
      </c>
      <c r="C93" s="46">
        <f>MIN(ROUND('Corrected data'!C90*IF(MOD(B93,12)=3,Parameters!$D$19,1),0),2000)</f>
        <v>1675</v>
      </c>
      <c r="D93" s="46">
        <f>Parameters!$D$8*C93</f>
        <v>3350</v>
      </c>
      <c r="E93" s="46">
        <f>Parameters!$D$9*C93</f>
        <v>1675</v>
      </c>
      <c r="F93" s="51" t="str">
        <f t="shared" si="31"/>
        <v>Summer</v>
      </c>
      <c r="G93" s="48">
        <f t="shared" si="22"/>
        <v>485750</v>
      </c>
      <c r="H93" s="52">
        <f t="shared" si="23"/>
        <v>7931.3579020058669</v>
      </c>
      <c r="I93" s="48">
        <f t="shared" si="24"/>
        <v>30000</v>
      </c>
      <c r="J93" s="48">
        <f t="shared" si="25"/>
        <v>10000</v>
      </c>
      <c r="K93" s="48">
        <f t="shared" si="26"/>
        <v>804000</v>
      </c>
      <c r="L93" s="48">
        <f t="shared" si="27"/>
        <v>533681.35790200578</v>
      </c>
      <c r="M93" s="48">
        <f t="shared" si="28"/>
        <v>67579.660524498555</v>
      </c>
      <c r="N93" s="49">
        <f t="shared" si="29"/>
        <v>202738.98157349566</v>
      </c>
      <c r="P93" s="46">
        <v>89</v>
      </c>
      <c r="Q93" s="49">
        <f t="shared" si="34"/>
        <v>1629435.132831926</v>
      </c>
      <c r="R93" s="48">
        <f t="shared" si="30"/>
        <v>7931.3579020058669</v>
      </c>
      <c r="S93" s="48">
        <f t="shared" si="35"/>
        <v>55112.013070636116</v>
      </c>
      <c r="T93" s="49">
        <f t="shared" si="32"/>
        <v>1582254.4776632956</v>
      </c>
    </row>
    <row r="94" spans="1:20" x14ac:dyDescent="0.25">
      <c r="A94" s="46">
        <f t="shared" si="33"/>
        <v>8</v>
      </c>
      <c r="B94" s="46">
        <v>90</v>
      </c>
      <c r="C94" s="46">
        <f>MIN(ROUND('Corrected data'!C91*IF(MOD(B94,12)=3,Parameters!$D$19,1),0),2000)</f>
        <v>1685</v>
      </c>
      <c r="D94" s="46">
        <f>Parameters!$D$8*C94</f>
        <v>3370</v>
      </c>
      <c r="E94" s="46">
        <f>Parameters!$D$9*C94</f>
        <v>1685</v>
      </c>
      <c r="F94" s="51" t="str">
        <f t="shared" si="31"/>
        <v>Summer</v>
      </c>
      <c r="G94" s="48">
        <f t="shared" si="22"/>
        <v>488650</v>
      </c>
      <c r="H94" s="52">
        <f t="shared" si="23"/>
        <v>7701.7036772665442</v>
      </c>
      <c r="I94" s="48">
        <f t="shared" si="24"/>
        <v>30000</v>
      </c>
      <c r="J94" s="48">
        <f t="shared" si="25"/>
        <v>10000</v>
      </c>
      <c r="K94" s="48">
        <f t="shared" si="26"/>
        <v>808800</v>
      </c>
      <c r="L94" s="48">
        <f t="shared" si="27"/>
        <v>536351.7036772666</v>
      </c>
      <c r="M94" s="48">
        <f t="shared" si="28"/>
        <v>68112.074080683349</v>
      </c>
      <c r="N94" s="49">
        <f t="shared" si="29"/>
        <v>204336.22224205005</v>
      </c>
      <c r="P94" s="46">
        <v>90</v>
      </c>
      <c r="Q94" s="49">
        <f t="shared" si="34"/>
        <v>1582254.4776632956</v>
      </c>
      <c r="R94" s="48">
        <f t="shared" si="30"/>
        <v>7701.7036772665442</v>
      </c>
      <c r="S94" s="48">
        <f t="shared" si="35"/>
        <v>55112.013070636116</v>
      </c>
      <c r="T94" s="49">
        <f t="shared" si="32"/>
        <v>1534844.168269926</v>
      </c>
    </row>
    <row r="95" spans="1:20" x14ac:dyDescent="0.25">
      <c r="A95" s="46">
        <f t="shared" si="33"/>
        <v>8</v>
      </c>
      <c r="B95" s="46">
        <v>91</v>
      </c>
      <c r="C95" s="46">
        <f>MIN(ROUND('Corrected data'!C92*IF(MOD(B95,12)=3,Parameters!$D$19,1),0),2000)</f>
        <v>1695</v>
      </c>
      <c r="D95" s="46">
        <f>Parameters!$D$8*C95</f>
        <v>3390</v>
      </c>
      <c r="E95" s="46">
        <f>Parameters!$D$9*C95</f>
        <v>1695</v>
      </c>
      <c r="F95" s="51" t="str">
        <f t="shared" si="31"/>
        <v>Summer</v>
      </c>
      <c r="G95" s="48">
        <f t="shared" si="22"/>
        <v>491550</v>
      </c>
      <c r="H95" s="52">
        <f t="shared" si="23"/>
        <v>7470.9315989757588</v>
      </c>
      <c r="I95" s="48">
        <f t="shared" si="24"/>
        <v>30000</v>
      </c>
      <c r="J95" s="48">
        <f t="shared" si="25"/>
        <v>10000</v>
      </c>
      <c r="K95" s="48">
        <f t="shared" si="26"/>
        <v>813600</v>
      </c>
      <c r="L95" s="48">
        <f t="shared" si="27"/>
        <v>539020.93159897579</v>
      </c>
      <c r="M95" s="48">
        <f t="shared" si="28"/>
        <v>68644.767100256053</v>
      </c>
      <c r="N95" s="49">
        <f t="shared" si="29"/>
        <v>205934.30130076816</v>
      </c>
      <c r="P95" s="46">
        <v>91</v>
      </c>
      <c r="Q95" s="49">
        <f t="shared" si="34"/>
        <v>1534844.168269926</v>
      </c>
      <c r="R95" s="48">
        <f t="shared" si="30"/>
        <v>7470.9315989757588</v>
      </c>
      <c r="S95" s="48">
        <f t="shared" si="35"/>
        <v>55112.013070636116</v>
      </c>
      <c r="T95" s="49">
        <f t="shared" si="32"/>
        <v>1487203.0867982656</v>
      </c>
    </row>
    <row r="96" spans="1:20" x14ac:dyDescent="0.25">
      <c r="A96" s="46">
        <f t="shared" si="33"/>
        <v>8</v>
      </c>
      <c r="B96" s="46">
        <v>92</v>
      </c>
      <c r="C96" s="46">
        <f>MIN(ROUND('Corrected data'!C93*IF(MOD(B96,12)=3,Parameters!$D$19,1),0),2000)</f>
        <v>1705</v>
      </c>
      <c r="D96" s="46">
        <f>Parameters!$D$8*C96</f>
        <v>3410</v>
      </c>
      <c r="E96" s="46">
        <f>Parameters!$D$9*C96</f>
        <v>1705</v>
      </c>
      <c r="F96" s="51" t="str">
        <f t="shared" si="31"/>
        <v>Summer</v>
      </c>
      <c r="G96" s="48">
        <f t="shared" si="22"/>
        <v>494450</v>
      </c>
      <c r="H96" s="52">
        <f t="shared" si="23"/>
        <v>7239.0362259248241</v>
      </c>
      <c r="I96" s="48">
        <f t="shared" si="24"/>
        <v>30000</v>
      </c>
      <c r="J96" s="48">
        <f t="shared" si="25"/>
        <v>10000</v>
      </c>
      <c r="K96" s="48">
        <f t="shared" si="26"/>
        <v>818400</v>
      </c>
      <c r="L96" s="48">
        <f t="shared" si="27"/>
        <v>541689.03622592485</v>
      </c>
      <c r="M96" s="48">
        <f t="shared" si="28"/>
        <v>69177.740943518787</v>
      </c>
      <c r="N96" s="49">
        <f t="shared" si="29"/>
        <v>207533.22283055636</v>
      </c>
      <c r="P96" s="46">
        <v>92</v>
      </c>
      <c r="Q96" s="49">
        <f t="shared" si="34"/>
        <v>1487203.0867982656</v>
      </c>
      <c r="R96" s="48">
        <f t="shared" si="30"/>
        <v>7239.0362259248241</v>
      </c>
      <c r="S96" s="48">
        <f t="shared" si="35"/>
        <v>55112.013070636116</v>
      </c>
      <c r="T96" s="49">
        <f t="shared" si="32"/>
        <v>1439330.1099535541</v>
      </c>
    </row>
    <row r="97" spans="1:20" x14ac:dyDescent="0.25">
      <c r="A97" s="46">
        <f t="shared" si="33"/>
        <v>8</v>
      </c>
      <c r="B97" s="46">
        <v>93</v>
      </c>
      <c r="C97" s="46">
        <f>MIN(ROUND('Corrected data'!C94*IF(MOD(B97,12)=3,Parameters!$D$19,1),0),2000)</f>
        <v>1715</v>
      </c>
      <c r="D97" s="46">
        <f>Parameters!$D$8*C97</f>
        <v>3430</v>
      </c>
      <c r="E97" s="46">
        <f>Parameters!$D$9*C97</f>
        <v>1715</v>
      </c>
      <c r="F97" s="51" t="str">
        <f t="shared" si="31"/>
        <v>Summer</v>
      </c>
      <c r="G97" s="48">
        <f t="shared" si="22"/>
        <v>497350</v>
      </c>
      <c r="H97" s="52">
        <f t="shared" si="23"/>
        <v>7006.0120904196947</v>
      </c>
      <c r="I97" s="48">
        <f t="shared" si="24"/>
        <v>30000</v>
      </c>
      <c r="J97" s="48">
        <f t="shared" si="25"/>
        <v>10000</v>
      </c>
      <c r="K97" s="48">
        <f t="shared" si="26"/>
        <v>823200</v>
      </c>
      <c r="L97" s="48">
        <f t="shared" si="27"/>
        <v>544356.01209041965</v>
      </c>
      <c r="M97" s="48">
        <f t="shared" si="28"/>
        <v>69710.996977395087</v>
      </c>
      <c r="N97" s="49">
        <f t="shared" si="29"/>
        <v>209132.99093218526</v>
      </c>
      <c r="P97" s="46">
        <v>93</v>
      </c>
      <c r="Q97" s="49">
        <f t="shared" si="34"/>
        <v>1439330.1099535541</v>
      </c>
      <c r="R97" s="48">
        <f t="shared" si="30"/>
        <v>7006.0120904196947</v>
      </c>
      <c r="S97" s="48">
        <f t="shared" si="35"/>
        <v>55112.013070636116</v>
      </c>
      <c r="T97" s="49">
        <f t="shared" si="32"/>
        <v>1391224.1089733376</v>
      </c>
    </row>
    <row r="98" spans="1:20" x14ac:dyDescent="0.25">
      <c r="A98" s="46">
        <f t="shared" si="33"/>
        <v>8</v>
      </c>
      <c r="B98" s="46">
        <v>94</v>
      </c>
      <c r="C98" s="46">
        <f>MIN(ROUND('Corrected data'!C95*IF(MOD(B98,12)=3,Parameters!$D$19,1),0),2000)</f>
        <v>1725</v>
      </c>
      <c r="D98" s="46">
        <f>Parameters!$D$8*C98</f>
        <v>3450</v>
      </c>
      <c r="E98" s="46">
        <f>Parameters!$D$9*C98</f>
        <v>1725</v>
      </c>
      <c r="F98" s="51" t="str">
        <f t="shared" si="31"/>
        <v>Summer</v>
      </c>
      <c r="G98" s="48">
        <f t="shared" si="22"/>
        <v>500250</v>
      </c>
      <c r="H98" s="52">
        <f t="shared" si="23"/>
        <v>6771.8536981520483</v>
      </c>
      <c r="I98" s="48">
        <f t="shared" si="24"/>
        <v>30000</v>
      </c>
      <c r="J98" s="48">
        <f t="shared" si="25"/>
        <v>10000</v>
      </c>
      <c r="K98" s="48">
        <f t="shared" si="26"/>
        <v>828000</v>
      </c>
      <c r="L98" s="48">
        <f t="shared" si="27"/>
        <v>547021.85369815212</v>
      </c>
      <c r="M98" s="48">
        <f t="shared" si="28"/>
        <v>70244.536575461971</v>
      </c>
      <c r="N98" s="49">
        <f t="shared" si="29"/>
        <v>210733.60972638591</v>
      </c>
      <c r="P98" s="46">
        <v>94</v>
      </c>
      <c r="Q98" s="49">
        <f t="shared" si="34"/>
        <v>1391224.1089733376</v>
      </c>
      <c r="R98" s="48">
        <f t="shared" si="30"/>
        <v>6771.8536981520483</v>
      </c>
      <c r="S98" s="48">
        <f t="shared" si="35"/>
        <v>55112.013070636116</v>
      </c>
      <c r="T98" s="49">
        <f t="shared" si="32"/>
        <v>1342883.9496008535</v>
      </c>
    </row>
    <row r="99" spans="1:20" x14ac:dyDescent="0.25">
      <c r="A99" s="46">
        <f t="shared" si="33"/>
        <v>8</v>
      </c>
      <c r="B99" s="46">
        <v>95</v>
      </c>
      <c r="C99" s="46">
        <f>MIN(ROUND('Corrected data'!C96*IF(MOD(B99,12)=3,Parameters!$D$19,1),0),2000)</f>
        <v>1735</v>
      </c>
      <c r="D99" s="46">
        <f>Parameters!$D$8*C99</f>
        <v>3470</v>
      </c>
      <c r="E99" s="46">
        <f>Parameters!$D$9*C99</f>
        <v>1735</v>
      </c>
      <c r="F99" s="51" t="str">
        <f t="shared" si="31"/>
        <v>Summer</v>
      </c>
      <c r="G99" s="48">
        <f t="shared" si="22"/>
        <v>503150</v>
      </c>
      <c r="H99" s="52">
        <f t="shared" si="23"/>
        <v>6536.5555280697399</v>
      </c>
      <c r="I99" s="48">
        <f t="shared" si="24"/>
        <v>30000</v>
      </c>
      <c r="J99" s="48">
        <f t="shared" si="25"/>
        <v>10000</v>
      </c>
      <c r="K99" s="48">
        <f t="shared" si="26"/>
        <v>832800</v>
      </c>
      <c r="L99" s="48">
        <f t="shared" si="27"/>
        <v>549686.55552806973</v>
      </c>
      <c r="M99" s="48">
        <f t="shared" si="28"/>
        <v>70778.361117982568</v>
      </c>
      <c r="N99" s="49">
        <f t="shared" si="29"/>
        <v>212335.0833539477</v>
      </c>
      <c r="P99" s="46">
        <v>95</v>
      </c>
      <c r="Q99" s="49">
        <f t="shared" si="34"/>
        <v>1342883.9496008535</v>
      </c>
      <c r="R99" s="48">
        <f t="shared" si="30"/>
        <v>6536.5555280697399</v>
      </c>
      <c r="S99" s="48">
        <f t="shared" si="35"/>
        <v>55112.013070636116</v>
      </c>
      <c r="T99" s="49">
        <f t="shared" si="32"/>
        <v>1294308.4920582871</v>
      </c>
    </row>
    <row r="100" spans="1:20" x14ac:dyDescent="0.25">
      <c r="A100" s="46">
        <f t="shared" si="33"/>
        <v>8</v>
      </c>
      <c r="B100" s="46">
        <v>96</v>
      </c>
      <c r="C100" s="46">
        <f>MIN(ROUND('Corrected data'!C97*IF(MOD(B100,12)=3,Parameters!$D$19,1),0),2000)</f>
        <v>1745</v>
      </c>
      <c r="D100" s="46">
        <f>Parameters!$D$8*C100</f>
        <v>3490</v>
      </c>
      <c r="E100" s="46">
        <f>Parameters!$D$9*C100</f>
        <v>1745</v>
      </c>
      <c r="F100" s="51" t="str">
        <f t="shared" si="31"/>
        <v>Summer</v>
      </c>
      <c r="G100" s="48">
        <f t="shared" si="22"/>
        <v>506050</v>
      </c>
      <c r="H100" s="52">
        <f t="shared" si="23"/>
        <v>6300.112032246624</v>
      </c>
      <c r="I100" s="48">
        <f t="shared" si="24"/>
        <v>30000</v>
      </c>
      <c r="J100" s="48">
        <f t="shared" si="25"/>
        <v>10000</v>
      </c>
      <c r="K100" s="48">
        <f t="shared" si="26"/>
        <v>837600</v>
      </c>
      <c r="L100" s="48">
        <f t="shared" si="27"/>
        <v>552350.11203224654</v>
      </c>
      <c r="M100" s="48">
        <f t="shared" si="28"/>
        <v>71312.471991938364</v>
      </c>
      <c r="N100" s="49">
        <f t="shared" si="29"/>
        <v>213937.41597581509</v>
      </c>
      <c r="P100" s="46">
        <v>96</v>
      </c>
      <c r="Q100" s="49">
        <f t="shared" si="34"/>
        <v>1294308.4920582871</v>
      </c>
      <c r="R100" s="48">
        <f t="shared" si="30"/>
        <v>6300.112032246624</v>
      </c>
      <c r="S100" s="48">
        <f t="shared" si="35"/>
        <v>55112.013070636116</v>
      </c>
      <c r="T100" s="49">
        <f t="shared" si="32"/>
        <v>1245496.5910198975</v>
      </c>
    </row>
    <row r="101" spans="1:20" x14ac:dyDescent="0.25">
      <c r="A101" s="46">
        <f t="shared" si="33"/>
        <v>9</v>
      </c>
      <c r="B101" s="46">
        <v>97</v>
      </c>
      <c r="C101" s="46">
        <f>MIN(ROUND('Corrected data'!C98*IF(MOD(B101,12)=3,Parameters!$D$19,1),0),2000)</f>
        <v>1428</v>
      </c>
      <c r="D101" s="46">
        <f>Parameters!$D$8*C101</f>
        <v>2856</v>
      </c>
      <c r="E101" s="46">
        <f>Parameters!$D$9*C101</f>
        <v>1428</v>
      </c>
      <c r="F101" s="51" t="str">
        <f t="shared" si="31"/>
        <v>Winter</v>
      </c>
      <c r="G101" s="48">
        <f t="shared" ref="G101:G124" si="36">C101*Cost_Icecream+D101*cost_choc_syrup+E101*cost_straw_syrup</f>
        <v>414120</v>
      </c>
      <c r="H101" s="52">
        <f t="shared" ref="H101:H124" si="37">R101</f>
        <v>6062.5176357517412</v>
      </c>
      <c r="I101" s="48">
        <f t="shared" ref="I101:I124" si="38">Salary</f>
        <v>30000</v>
      </c>
      <c r="J101" s="48">
        <f t="shared" si="25"/>
        <v>7000</v>
      </c>
      <c r="K101" s="48">
        <f t="shared" si="26"/>
        <v>656880</v>
      </c>
      <c r="L101" s="48">
        <f t="shared" ref="L101:L124" si="39">SUM(G101:J101)</f>
        <v>457182.51763575175</v>
      </c>
      <c r="M101" s="48">
        <f t="shared" si="28"/>
        <v>49924.370591062063</v>
      </c>
      <c r="N101" s="49">
        <f t="shared" ref="N101:N124" si="40">K101-L101-M101</f>
        <v>149773.11177318619</v>
      </c>
      <c r="P101" s="46">
        <v>97</v>
      </c>
      <c r="Q101" s="49">
        <f t="shared" si="34"/>
        <v>1245496.5910198975</v>
      </c>
      <c r="R101" s="48">
        <f t="shared" ref="R101:R124" si="41">Q101*$U$1</f>
        <v>6062.5176357517412</v>
      </c>
      <c r="S101" s="48">
        <f t="shared" si="35"/>
        <v>55112.013070636116</v>
      </c>
      <c r="T101" s="49">
        <f t="shared" si="32"/>
        <v>1196447.095585013</v>
      </c>
    </row>
    <row r="102" spans="1:20" x14ac:dyDescent="0.25">
      <c r="A102" s="46">
        <f t="shared" si="33"/>
        <v>9</v>
      </c>
      <c r="B102" s="46">
        <v>98</v>
      </c>
      <c r="C102" s="46">
        <f>MIN(ROUND('Corrected data'!C99*IF(MOD(B102,12)=3,Parameters!$D$19,1),0),2000)</f>
        <v>1437</v>
      </c>
      <c r="D102" s="46">
        <f>Parameters!$D$8*C102</f>
        <v>2874</v>
      </c>
      <c r="E102" s="46">
        <f>Parameters!$D$9*C102</f>
        <v>1437</v>
      </c>
      <c r="F102" s="51" t="str">
        <f t="shared" si="31"/>
        <v>Winter</v>
      </c>
      <c r="G102" s="48">
        <f t="shared" si="36"/>
        <v>416730</v>
      </c>
      <c r="H102" s="52">
        <f t="shared" si="37"/>
        <v>5823.7667365178786</v>
      </c>
      <c r="I102" s="48">
        <f t="shared" si="38"/>
        <v>30000</v>
      </c>
      <c r="J102" s="48">
        <f t="shared" si="25"/>
        <v>7000</v>
      </c>
      <c r="K102" s="48">
        <f t="shared" si="26"/>
        <v>661020</v>
      </c>
      <c r="L102" s="48">
        <f t="shared" si="39"/>
        <v>459553.76673651789</v>
      </c>
      <c r="M102" s="48">
        <f t="shared" si="28"/>
        <v>50366.558315870527</v>
      </c>
      <c r="N102" s="49">
        <f t="shared" si="40"/>
        <v>151099.67494761158</v>
      </c>
      <c r="P102" s="46">
        <v>98</v>
      </c>
      <c r="Q102" s="49">
        <f t="shared" si="34"/>
        <v>1196447.095585013</v>
      </c>
      <c r="R102" s="48">
        <f t="shared" si="41"/>
        <v>5823.7667365178786</v>
      </c>
      <c r="S102" s="48">
        <f t="shared" si="35"/>
        <v>55112.013070636116</v>
      </c>
      <c r="T102" s="49">
        <f t="shared" si="32"/>
        <v>1147158.8492508947</v>
      </c>
    </row>
    <row r="103" spans="1:20" x14ac:dyDescent="0.25">
      <c r="A103" s="46">
        <f t="shared" si="33"/>
        <v>9</v>
      </c>
      <c r="B103" s="46">
        <v>99</v>
      </c>
      <c r="C103" s="46">
        <f>MIN(ROUND('Corrected data'!C100*IF(MOD(B103,12)=3,Parameters!$D$19,1),0),2000)</f>
        <v>1735</v>
      </c>
      <c r="D103" s="46">
        <f>Parameters!$D$8*C103</f>
        <v>3470</v>
      </c>
      <c r="E103" s="46">
        <f>Parameters!$D$9*C103</f>
        <v>1735</v>
      </c>
      <c r="F103" s="51" t="str">
        <f t="shared" si="31"/>
        <v>Summer</v>
      </c>
      <c r="G103" s="48">
        <f t="shared" si="36"/>
        <v>503150</v>
      </c>
      <c r="H103" s="52">
        <f t="shared" si="37"/>
        <v>5583.8537052094734</v>
      </c>
      <c r="I103" s="48">
        <f t="shared" si="38"/>
        <v>30000</v>
      </c>
      <c r="J103" s="48">
        <f t="shared" si="25"/>
        <v>10000</v>
      </c>
      <c r="K103" s="48">
        <f t="shared" si="26"/>
        <v>832800</v>
      </c>
      <c r="L103" s="48">
        <f t="shared" si="39"/>
        <v>548733.85370520945</v>
      </c>
      <c r="M103" s="48">
        <f t="shared" si="28"/>
        <v>71016.536573697638</v>
      </c>
      <c r="N103" s="49">
        <f t="shared" si="40"/>
        <v>213049.60972109291</v>
      </c>
      <c r="P103" s="46">
        <v>99</v>
      </c>
      <c r="Q103" s="49">
        <f t="shared" si="34"/>
        <v>1147158.8492508947</v>
      </c>
      <c r="R103" s="48">
        <f t="shared" si="41"/>
        <v>5583.8537052094734</v>
      </c>
      <c r="S103" s="48">
        <f t="shared" si="35"/>
        <v>55112.013070636116</v>
      </c>
      <c r="T103" s="49">
        <f t="shared" si="32"/>
        <v>1097630.689885468</v>
      </c>
    </row>
    <row r="104" spans="1:20" x14ac:dyDescent="0.25">
      <c r="A104" s="46">
        <f t="shared" si="33"/>
        <v>9</v>
      </c>
      <c r="B104" s="46">
        <v>100</v>
      </c>
      <c r="C104" s="46">
        <f>MIN(ROUND('Corrected data'!C101*IF(MOD(B104,12)=3,Parameters!$D$19,1),0),2000)</f>
        <v>1785</v>
      </c>
      <c r="D104" s="46">
        <f>Parameters!$D$8*C104</f>
        <v>3570</v>
      </c>
      <c r="E104" s="46">
        <f>Parameters!$D$9*C104</f>
        <v>1785</v>
      </c>
      <c r="F104" s="51" t="str">
        <f t="shared" si="31"/>
        <v>Summer</v>
      </c>
      <c r="G104" s="48">
        <f t="shared" si="36"/>
        <v>517650</v>
      </c>
      <c r="H104" s="52">
        <f t="shared" si="37"/>
        <v>5342.7728850898902</v>
      </c>
      <c r="I104" s="48">
        <f t="shared" si="38"/>
        <v>30000</v>
      </c>
      <c r="J104" s="48">
        <f t="shared" si="25"/>
        <v>10000</v>
      </c>
      <c r="K104" s="48">
        <f t="shared" si="26"/>
        <v>856800</v>
      </c>
      <c r="L104" s="48">
        <f t="shared" si="39"/>
        <v>562992.77288508997</v>
      </c>
      <c r="M104" s="48">
        <f t="shared" si="28"/>
        <v>73451.806778727507</v>
      </c>
      <c r="N104" s="49">
        <f t="shared" si="40"/>
        <v>220355.42033618252</v>
      </c>
      <c r="P104" s="46">
        <v>100</v>
      </c>
      <c r="Q104" s="49">
        <f t="shared" si="34"/>
        <v>1097630.689885468</v>
      </c>
      <c r="R104" s="48">
        <f t="shared" si="41"/>
        <v>5342.7728850898902</v>
      </c>
      <c r="S104" s="48">
        <f t="shared" si="35"/>
        <v>55112.013070636116</v>
      </c>
      <c r="T104" s="49">
        <f t="shared" si="32"/>
        <v>1047861.4496999219</v>
      </c>
    </row>
    <row r="105" spans="1:20" x14ac:dyDescent="0.25">
      <c r="A105" s="46">
        <f t="shared" si="33"/>
        <v>9</v>
      </c>
      <c r="B105" s="46">
        <v>101</v>
      </c>
      <c r="C105" s="46">
        <f>MIN(ROUND('Corrected data'!C102*IF(MOD(B105,12)=3,Parameters!$D$19,1),0),2000)</f>
        <v>1796</v>
      </c>
      <c r="D105" s="46">
        <f>Parameters!$D$8*C105</f>
        <v>3592</v>
      </c>
      <c r="E105" s="46">
        <f>Parameters!$D$9*C105</f>
        <v>1796</v>
      </c>
      <c r="F105" s="51" t="str">
        <f t="shared" si="31"/>
        <v>Summer</v>
      </c>
      <c r="G105" s="48">
        <f t="shared" si="36"/>
        <v>520840</v>
      </c>
      <c r="H105" s="52">
        <f t="shared" si="37"/>
        <v>5100.5185918880406</v>
      </c>
      <c r="I105" s="48">
        <f t="shared" si="38"/>
        <v>30000</v>
      </c>
      <c r="J105" s="48">
        <f t="shared" si="25"/>
        <v>10000</v>
      </c>
      <c r="K105" s="48">
        <f t="shared" si="26"/>
        <v>862080</v>
      </c>
      <c r="L105" s="48">
        <f t="shared" si="39"/>
        <v>565940.51859188802</v>
      </c>
      <c r="M105" s="48">
        <f t="shared" si="28"/>
        <v>74034.870352027996</v>
      </c>
      <c r="N105" s="49">
        <f t="shared" si="40"/>
        <v>222104.61105608399</v>
      </c>
      <c r="P105" s="46">
        <v>101</v>
      </c>
      <c r="Q105" s="49">
        <f t="shared" si="34"/>
        <v>1047861.4496999219</v>
      </c>
      <c r="R105" s="48">
        <f t="shared" si="41"/>
        <v>5100.5185918880406</v>
      </c>
      <c r="S105" s="48">
        <f t="shared" si="35"/>
        <v>55112.013070636116</v>
      </c>
      <c r="T105" s="49">
        <f t="shared" si="32"/>
        <v>997849.95522117394</v>
      </c>
    </row>
    <row r="106" spans="1:20" x14ac:dyDescent="0.25">
      <c r="A106" s="46">
        <f t="shared" si="33"/>
        <v>9</v>
      </c>
      <c r="B106" s="46">
        <v>102</v>
      </c>
      <c r="C106" s="46">
        <f>MIN(ROUND('Corrected data'!C103*IF(MOD(B106,12)=3,Parameters!$D$19,1),0),2000)</f>
        <v>1808</v>
      </c>
      <c r="D106" s="46">
        <f>Parameters!$D$8*C106</f>
        <v>3616</v>
      </c>
      <c r="E106" s="46">
        <f>Parameters!$D$9*C106</f>
        <v>1808</v>
      </c>
      <c r="F106" s="51" t="str">
        <f t="shared" si="31"/>
        <v>Summer</v>
      </c>
      <c r="G106" s="48">
        <f t="shared" si="36"/>
        <v>524320</v>
      </c>
      <c r="H106" s="52">
        <f t="shared" si="37"/>
        <v>4857.0851136643605</v>
      </c>
      <c r="I106" s="48">
        <f t="shared" si="38"/>
        <v>30000</v>
      </c>
      <c r="J106" s="48">
        <f t="shared" si="25"/>
        <v>10000</v>
      </c>
      <c r="K106" s="48">
        <f t="shared" si="26"/>
        <v>867840</v>
      </c>
      <c r="L106" s="48">
        <f t="shared" si="39"/>
        <v>569177.08511366439</v>
      </c>
      <c r="M106" s="48">
        <f t="shared" si="28"/>
        <v>74665.728721583902</v>
      </c>
      <c r="N106" s="49">
        <f t="shared" si="40"/>
        <v>223997.18616475171</v>
      </c>
      <c r="P106" s="46">
        <v>102</v>
      </c>
      <c r="Q106" s="49">
        <f t="shared" si="34"/>
        <v>997849.95522117394</v>
      </c>
      <c r="R106" s="48">
        <f t="shared" si="41"/>
        <v>4857.0851136643605</v>
      </c>
      <c r="S106" s="48">
        <f t="shared" si="35"/>
        <v>55112.013070636116</v>
      </c>
      <c r="T106" s="49">
        <f t="shared" si="32"/>
        <v>947595.02726420225</v>
      </c>
    </row>
    <row r="107" spans="1:20" x14ac:dyDescent="0.25">
      <c r="A107" s="46">
        <f t="shared" si="33"/>
        <v>9</v>
      </c>
      <c r="B107" s="46">
        <v>103</v>
      </c>
      <c r="C107" s="46">
        <f>MIN(ROUND('Corrected data'!C104*IF(MOD(B107,12)=3,Parameters!$D$19,1),0),2000)</f>
        <v>1820</v>
      </c>
      <c r="D107" s="46">
        <f>Parameters!$D$8*C107</f>
        <v>3640</v>
      </c>
      <c r="E107" s="46">
        <f>Parameters!$D$9*C107</f>
        <v>1820</v>
      </c>
      <c r="F107" s="51" t="str">
        <f t="shared" si="31"/>
        <v>Summer</v>
      </c>
      <c r="G107" s="48">
        <f t="shared" si="36"/>
        <v>527800</v>
      </c>
      <c r="H107" s="52">
        <f t="shared" si="37"/>
        <v>4612.466710676129</v>
      </c>
      <c r="I107" s="48">
        <f t="shared" si="38"/>
        <v>30000</v>
      </c>
      <c r="J107" s="48">
        <f t="shared" si="25"/>
        <v>10000</v>
      </c>
      <c r="K107" s="48">
        <f t="shared" si="26"/>
        <v>873600</v>
      </c>
      <c r="L107" s="48">
        <f t="shared" si="39"/>
        <v>572412.46671067609</v>
      </c>
      <c r="M107" s="48">
        <f t="shared" si="28"/>
        <v>75296.883322330978</v>
      </c>
      <c r="N107" s="49">
        <f t="shared" si="40"/>
        <v>225890.64996699293</v>
      </c>
      <c r="P107" s="46">
        <v>103</v>
      </c>
      <c r="Q107" s="49">
        <f t="shared" si="34"/>
        <v>947595.02726420225</v>
      </c>
      <c r="R107" s="48">
        <f t="shared" si="41"/>
        <v>4612.466710676129</v>
      </c>
      <c r="S107" s="48">
        <f t="shared" si="35"/>
        <v>55112.013070636116</v>
      </c>
      <c r="T107" s="49">
        <f t="shared" si="32"/>
        <v>897095.48090424226</v>
      </c>
    </row>
    <row r="108" spans="1:20" x14ac:dyDescent="0.25">
      <c r="A108" s="46">
        <f t="shared" si="33"/>
        <v>9</v>
      </c>
      <c r="B108" s="46">
        <v>104</v>
      </c>
      <c r="C108" s="46">
        <f>MIN(ROUND('Corrected data'!C105*IF(MOD(B108,12)=3,Parameters!$D$19,1),0),2000)</f>
        <v>1832</v>
      </c>
      <c r="D108" s="46">
        <f>Parameters!$D$8*C108</f>
        <v>3664</v>
      </c>
      <c r="E108" s="46">
        <f>Parameters!$D$9*C108</f>
        <v>1832</v>
      </c>
      <c r="F108" s="51" t="str">
        <f t="shared" si="31"/>
        <v>Summer</v>
      </c>
      <c r="G108" s="48">
        <f t="shared" si="36"/>
        <v>531280</v>
      </c>
      <c r="H108" s="52">
        <f t="shared" si="37"/>
        <v>4366.6576152421385</v>
      </c>
      <c r="I108" s="48">
        <f t="shared" si="38"/>
        <v>30000</v>
      </c>
      <c r="J108" s="48">
        <f t="shared" si="25"/>
        <v>10000</v>
      </c>
      <c r="K108" s="48">
        <f t="shared" si="26"/>
        <v>879360</v>
      </c>
      <c r="L108" s="48">
        <f t="shared" si="39"/>
        <v>575646.65761524218</v>
      </c>
      <c r="M108" s="48">
        <f t="shared" si="28"/>
        <v>75928.335596189456</v>
      </c>
      <c r="N108" s="49">
        <f t="shared" si="40"/>
        <v>227785.00678856837</v>
      </c>
      <c r="P108" s="46">
        <v>104</v>
      </c>
      <c r="Q108" s="49">
        <f t="shared" si="34"/>
        <v>897095.48090424226</v>
      </c>
      <c r="R108" s="48">
        <f t="shared" si="41"/>
        <v>4366.6576152421385</v>
      </c>
      <c r="S108" s="48">
        <f t="shared" si="35"/>
        <v>55112.013070636116</v>
      </c>
      <c r="T108" s="49">
        <f t="shared" si="32"/>
        <v>846350.12544884835</v>
      </c>
    </row>
    <row r="109" spans="1:20" x14ac:dyDescent="0.25">
      <c r="A109" s="46">
        <f t="shared" si="33"/>
        <v>9</v>
      </c>
      <c r="B109" s="46">
        <v>105</v>
      </c>
      <c r="C109" s="46">
        <f>MIN(ROUND('Corrected data'!C106*IF(MOD(B109,12)=3,Parameters!$D$19,1),0),2000)</f>
        <v>1844</v>
      </c>
      <c r="D109" s="46">
        <f>Parameters!$D$8*C109</f>
        <v>3688</v>
      </c>
      <c r="E109" s="46">
        <f>Parameters!$D$9*C109</f>
        <v>1844</v>
      </c>
      <c r="F109" s="51" t="str">
        <f t="shared" si="31"/>
        <v>Summer</v>
      </c>
      <c r="G109" s="48">
        <f t="shared" si="36"/>
        <v>534760</v>
      </c>
      <c r="H109" s="52">
        <f t="shared" si="37"/>
        <v>4119.6520316067017</v>
      </c>
      <c r="I109" s="48">
        <f t="shared" si="38"/>
        <v>30000</v>
      </c>
      <c r="J109" s="48">
        <f t="shared" si="25"/>
        <v>10000</v>
      </c>
      <c r="K109" s="48">
        <f t="shared" si="26"/>
        <v>885120</v>
      </c>
      <c r="L109" s="48">
        <f t="shared" si="39"/>
        <v>578879.65203160665</v>
      </c>
      <c r="M109" s="48">
        <f t="shared" si="28"/>
        <v>76560.086992098339</v>
      </c>
      <c r="N109" s="49">
        <f t="shared" si="40"/>
        <v>229680.26097629502</v>
      </c>
      <c r="P109" s="46">
        <v>105</v>
      </c>
      <c r="Q109" s="49">
        <f t="shared" si="34"/>
        <v>846350.12544884835</v>
      </c>
      <c r="R109" s="48">
        <f t="shared" si="41"/>
        <v>4119.6520316067017</v>
      </c>
      <c r="S109" s="48">
        <f t="shared" si="35"/>
        <v>55112.013070636116</v>
      </c>
      <c r="T109" s="49">
        <f t="shared" si="32"/>
        <v>795357.76440981892</v>
      </c>
    </row>
    <row r="110" spans="1:20" x14ac:dyDescent="0.25">
      <c r="A110" s="46">
        <f t="shared" si="33"/>
        <v>9</v>
      </c>
      <c r="B110" s="46">
        <v>106</v>
      </c>
      <c r="C110" s="46">
        <f>MIN(ROUND('Corrected data'!C107*IF(MOD(B110,12)=3,Parameters!$D$19,1),0),2000)</f>
        <v>1856</v>
      </c>
      <c r="D110" s="46">
        <f>Parameters!$D$8*C110</f>
        <v>3712</v>
      </c>
      <c r="E110" s="46">
        <f>Parameters!$D$9*C110</f>
        <v>1856</v>
      </c>
      <c r="F110" s="51" t="str">
        <f t="shared" si="31"/>
        <v>Summer</v>
      </c>
      <c r="G110" s="48">
        <f t="shared" si="36"/>
        <v>538240</v>
      </c>
      <c r="H110" s="52">
        <f t="shared" si="37"/>
        <v>3871.4441358029972</v>
      </c>
      <c r="I110" s="48">
        <f t="shared" si="38"/>
        <v>30000</v>
      </c>
      <c r="J110" s="48">
        <f t="shared" si="25"/>
        <v>10000</v>
      </c>
      <c r="K110" s="48">
        <f t="shared" si="26"/>
        <v>890880</v>
      </c>
      <c r="L110" s="48">
        <f t="shared" si="39"/>
        <v>582111.44413580303</v>
      </c>
      <c r="M110" s="48">
        <f t="shared" si="28"/>
        <v>77192.138966049242</v>
      </c>
      <c r="N110" s="49">
        <f t="shared" si="40"/>
        <v>231576.41689814773</v>
      </c>
      <c r="P110" s="46">
        <v>106</v>
      </c>
      <c r="Q110" s="49">
        <f t="shared" si="34"/>
        <v>795357.76440981892</v>
      </c>
      <c r="R110" s="48">
        <f t="shared" si="41"/>
        <v>3871.4441358029972</v>
      </c>
      <c r="S110" s="48">
        <f t="shared" si="35"/>
        <v>55112.013070636116</v>
      </c>
      <c r="T110" s="49">
        <f t="shared" si="32"/>
        <v>744117.19547498587</v>
      </c>
    </row>
    <row r="111" spans="1:20" x14ac:dyDescent="0.25">
      <c r="A111" s="46">
        <f t="shared" si="33"/>
        <v>9</v>
      </c>
      <c r="B111" s="46">
        <v>107</v>
      </c>
      <c r="C111" s="46">
        <f>MIN(ROUND('Corrected data'!C108*IF(MOD(B111,12)=3,Parameters!$D$19,1),0),2000)</f>
        <v>1868</v>
      </c>
      <c r="D111" s="46">
        <f>Parameters!$D$8*C111</f>
        <v>3736</v>
      </c>
      <c r="E111" s="46">
        <f>Parameters!$D$9*C111</f>
        <v>1868</v>
      </c>
      <c r="F111" s="51" t="str">
        <f t="shared" si="31"/>
        <v>Summer</v>
      </c>
      <c r="G111" s="48">
        <f t="shared" si="36"/>
        <v>541720</v>
      </c>
      <c r="H111" s="52">
        <f t="shared" si="37"/>
        <v>3622.028075515751</v>
      </c>
      <c r="I111" s="48">
        <f t="shared" si="38"/>
        <v>30000</v>
      </c>
      <c r="J111" s="48">
        <f t="shared" si="25"/>
        <v>10000</v>
      </c>
      <c r="K111" s="48">
        <f t="shared" si="26"/>
        <v>896640</v>
      </c>
      <c r="L111" s="48">
        <f t="shared" si="39"/>
        <v>585342.02807551576</v>
      </c>
      <c r="M111" s="48">
        <f t="shared" si="28"/>
        <v>77824.49298112106</v>
      </c>
      <c r="N111" s="49">
        <f t="shared" si="40"/>
        <v>233473.47894336318</v>
      </c>
      <c r="P111" s="46">
        <v>107</v>
      </c>
      <c r="Q111" s="49">
        <f t="shared" si="34"/>
        <v>744117.19547498587</v>
      </c>
      <c r="R111" s="48">
        <f t="shared" si="41"/>
        <v>3622.028075515751</v>
      </c>
      <c r="S111" s="48">
        <f t="shared" si="35"/>
        <v>55112.013070636116</v>
      </c>
      <c r="T111" s="49">
        <f t="shared" si="32"/>
        <v>692627.21047986555</v>
      </c>
    </row>
    <row r="112" spans="1:20" x14ac:dyDescent="0.25">
      <c r="A112" s="46">
        <f t="shared" si="33"/>
        <v>9</v>
      </c>
      <c r="B112" s="46">
        <v>108</v>
      </c>
      <c r="C112" s="46">
        <f>MIN(ROUND('Corrected data'!C109*IF(MOD(B112,12)=3,Parameters!$D$19,1),0),2000)</f>
        <v>1880</v>
      </c>
      <c r="D112" s="46">
        <f>Parameters!$D$8*C112</f>
        <v>3760</v>
      </c>
      <c r="E112" s="46">
        <f>Parameters!$D$9*C112</f>
        <v>1880</v>
      </c>
      <c r="F112" s="51" t="str">
        <f t="shared" si="31"/>
        <v>Summer</v>
      </c>
      <c r="G112" s="48">
        <f t="shared" si="36"/>
        <v>545200</v>
      </c>
      <c r="H112" s="52">
        <f t="shared" si="37"/>
        <v>3371.397969943248</v>
      </c>
      <c r="I112" s="48">
        <f t="shared" si="38"/>
        <v>30000</v>
      </c>
      <c r="J112" s="48">
        <f t="shared" si="25"/>
        <v>10000</v>
      </c>
      <c r="K112" s="48">
        <f t="shared" si="26"/>
        <v>902400</v>
      </c>
      <c r="L112" s="48">
        <f t="shared" si="39"/>
        <v>588571.39796994324</v>
      </c>
      <c r="M112" s="48">
        <f t="shared" si="28"/>
        <v>78457.15050751419</v>
      </c>
      <c r="N112" s="49">
        <f t="shared" si="40"/>
        <v>235371.45152254257</v>
      </c>
      <c r="P112" s="46">
        <v>108</v>
      </c>
      <c r="Q112" s="49">
        <f t="shared" si="34"/>
        <v>692627.21047986555</v>
      </c>
      <c r="R112" s="48">
        <f t="shared" si="41"/>
        <v>3371.397969943248</v>
      </c>
      <c r="S112" s="48">
        <f t="shared" si="35"/>
        <v>55112.013070636116</v>
      </c>
      <c r="T112" s="49">
        <f t="shared" si="32"/>
        <v>640886.59537917271</v>
      </c>
    </row>
    <row r="113" spans="1:20" x14ac:dyDescent="0.25">
      <c r="A113" s="46">
        <f t="shared" si="33"/>
        <v>10</v>
      </c>
      <c r="B113" s="46">
        <v>109</v>
      </c>
      <c r="C113" s="46">
        <f>MIN(ROUND('Corrected data'!C110*IF(MOD(B113,12)=3,Parameters!$D$19,1),0),2000)</f>
        <v>1539</v>
      </c>
      <c r="D113" s="46">
        <f>Parameters!$D$8*C113</f>
        <v>3078</v>
      </c>
      <c r="E113" s="46">
        <f>Parameters!$D$9*C113</f>
        <v>1539</v>
      </c>
      <c r="F113" s="51" t="str">
        <f t="shared" si="31"/>
        <v>Winter</v>
      </c>
      <c r="G113" s="48">
        <f t="shared" si="36"/>
        <v>446310</v>
      </c>
      <c r="H113" s="52">
        <f t="shared" si="37"/>
        <v>3119.5479096586737</v>
      </c>
      <c r="I113" s="48">
        <f t="shared" si="38"/>
        <v>30000</v>
      </c>
      <c r="J113" s="48">
        <f t="shared" si="25"/>
        <v>7000</v>
      </c>
      <c r="K113" s="48">
        <f t="shared" si="26"/>
        <v>707940</v>
      </c>
      <c r="L113" s="48">
        <f t="shared" si="39"/>
        <v>486429.54790965869</v>
      </c>
      <c r="M113" s="48">
        <f t="shared" si="28"/>
        <v>55377.613022585327</v>
      </c>
      <c r="N113" s="49">
        <f t="shared" si="40"/>
        <v>166132.83906775597</v>
      </c>
      <c r="P113" s="46">
        <v>109</v>
      </c>
      <c r="Q113" s="49">
        <f t="shared" si="34"/>
        <v>640886.59537917271</v>
      </c>
      <c r="R113" s="48">
        <f t="shared" si="41"/>
        <v>3119.5479096586737</v>
      </c>
      <c r="S113" s="48">
        <f t="shared" si="35"/>
        <v>55112.013070636116</v>
      </c>
      <c r="T113" s="49">
        <f t="shared" si="32"/>
        <v>588894.13021819526</v>
      </c>
    </row>
    <row r="114" spans="1:20" x14ac:dyDescent="0.25">
      <c r="A114" s="46">
        <f t="shared" si="33"/>
        <v>10</v>
      </c>
      <c r="B114" s="46">
        <v>110</v>
      </c>
      <c r="C114" s="46">
        <f>MIN(ROUND('Corrected data'!C111*IF(MOD(B114,12)=3,Parameters!$D$19,1),0),2000)</f>
        <v>1550</v>
      </c>
      <c r="D114" s="46">
        <f>Parameters!$D$8*C114</f>
        <v>3100</v>
      </c>
      <c r="E114" s="46">
        <f>Parameters!$D$9*C114</f>
        <v>1550</v>
      </c>
      <c r="F114" s="51" t="str">
        <f t="shared" si="31"/>
        <v>Winter</v>
      </c>
      <c r="G114" s="48">
        <f t="shared" si="36"/>
        <v>449500</v>
      </c>
      <c r="H114" s="52">
        <f t="shared" si="37"/>
        <v>2866.4719564707793</v>
      </c>
      <c r="I114" s="48">
        <f t="shared" si="38"/>
        <v>30000</v>
      </c>
      <c r="J114" s="48">
        <f t="shared" si="25"/>
        <v>7000</v>
      </c>
      <c r="K114" s="48">
        <f t="shared" si="26"/>
        <v>713000</v>
      </c>
      <c r="L114" s="48">
        <f t="shared" si="39"/>
        <v>489366.47195647081</v>
      </c>
      <c r="M114" s="48">
        <f t="shared" si="28"/>
        <v>55908.382010882298</v>
      </c>
      <c r="N114" s="49">
        <f t="shared" si="40"/>
        <v>167725.14603264688</v>
      </c>
      <c r="P114" s="46">
        <v>110</v>
      </c>
      <c r="Q114" s="49">
        <f t="shared" si="34"/>
        <v>588894.13021819526</v>
      </c>
      <c r="R114" s="48">
        <f t="shared" si="41"/>
        <v>2866.4719564707793</v>
      </c>
      <c r="S114" s="48">
        <f t="shared" si="35"/>
        <v>55112.013070636116</v>
      </c>
      <c r="T114" s="49">
        <f t="shared" si="32"/>
        <v>536648.58910402993</v>
      </c>
    </row>
    <row r="115" spans="1:20" x14ac:dyDescent="0.25">
      <c r="A115" s="46">
        <f t="shared" si="33"/>
        <v>10</v>
      </c>
      <c r="B115" s="46">
        <v>111</v>
      </c>
      <c r="C115" s="46">
        <f>MIN(ROUND('Corrected data'!C112*IF(MOD(B115,12)=3,Parameters!$D$19,1),0),2000)</f>
        <v>1873</v>
      </c>
      <c r="D115" s="46">
        <f>Parameters!$D$8*C115</f>
        <v>3746</v>
      </c>
      <c r="E115" s="46">
        <f>Parameters!$D$9*C115</f>
        <v>1873</v>
      </c>
      <c r="F115" s="51" t="str">
        <f t="shared" si="31"/>
        <v>Summer</v>
      </c>
      <c r="G115" s="48">
        <f t="shared" si="36"/>
        <v>543170</v>
      </c>
      <c r="H115" s="52">
        <f t="shared" si="37"/>
        <v>2612.1641432838701</v>
      </c>
      <c r="I115" s="48">
        <f t="shared" si="38"/>
        <v>30000</v>
      </c>
      <c r="J115" s="48">
        <f t="shared" si="25"/>
        <v>10000</v>
      </c>
      <c r="K115" s="48">
        <f t="shared" si="26"/>
        <v>899040</v>
      </c>
      <c r="L115" s="48">
        <f t="shared" si="39"/>
        <v>585782.16414328385</v>
      </c>
      <c r="M115" s="48">
        <f t="shared" si="28"/>
        <v>78314.458964179037</v>
      </c>
      <c r="N115" s="49">
        <f t="shared" si="40"/>
        <v>234943.37689253711</v>
      </c>
      <c r="P115" s="46">
        <v>111</v>
      </c>
      <c r="Q115" s="49">
        <f t="shared" si="34"/>
        <v>536648.58910402993</v>
      </c>
      <c r="R115" s="48">
        <f t="shared" si="41"/>
        <v>2612.1641432838701</v>
      </c>
      <c r="S115" s="48">
        <f t="shared" si="35"/>
        <v>55112.013070636116</v>
      </c>
      <c r="T115" s="49">
        <f t="shared" si="32"/>
        <v>484148.74017667765</v>
      </c>
    </row>
    <row r="116" spans="1:20" x14ac:dyDescent="0.25">
      <c r="A116" s="46">
        <f t="shared" si="33"/>
        <v>10</v>
      </c>
      <c r="B116" s="46">
        <v>112</v>
      </c>
      <c r="C116" s="46">
        <f>MIN(ROUND('Corrected data'!C113*IF(MOD(B116,12)=3,Parameters!$D$19,1),0),2000)</f>
        <v>1924</v>
      </c>
      <c r="D116" s="46">
        <f>Parameters!$D$8*C116</f>
        <v>3848</v>
      </c>
      <c r="E116" s="46">
        <f>Parameters!$D$9*C116</f>
        <v>1924</v>
      </c>
      <c r="F116" s="51" t="str">
        <f t="shared" si="31"/>
        <v>Summer</v>
      </c>
      <c r="G116" s="48">
        <f t="shared" si="36"/>
        <v>557960</v>
      </c>
      <c r="H116" s="52">
        <f t="shared" si="37"/>
        <v>2356.6184739571117</v>
      </c>
      <c r="I116" s="48">
        <f t="shared" si="38"/>
        <v>30000</v>
      </c>
      <c r="J116" s="48">
        <f t="shared" si="25"/>
        <v>10000</v>
      </c>
      <c r="K116" s="48">
        <f t="shared" si="26"/>
        <v>923520</v>
      </c>
      <c r="L116" s="48">
        <f t="shared" si="39"/>
        <v>600316.61847395706</v>
      </c>
      <c r="M116" s="48">
        <f t="shared" si="28"/>
        <v>80800.845381510735</v>
      </c>
      <c r="N116" s="49">
        <f t="shared" si="40"/>
        <v>242402.53614453221</v>
      </c>
      <c r="P116" s="46">
        <v>112</v>
      </c>
      <c r="Q116" s="49">
        <f t="shared" si="34"/>
        <v>484148.74017667765</v>
      </c>
      <c r="R116" s="48">
        <f t="shared" si="41"/>
        <v>2356.6184739571117</v>
      </c>
      <c r="S116" s="48">
        <f t="shared" si="35"/>
        <v>55112.013070636116</v>
      </c>
      <c r="T116" s="49">
        <f t="shared" si="32"/>
        <v>431393.34557999863</v>
      </c>
    </row>
    <row r="117" spans="1:20" x14ac:dyDescent="0.25">
      <c r="A117" s="46">
        <f t="shared" si="33"/>
        <v>10</v>
      </c>
      <c r="B117" s="46">
        <v>113</v>
      </c>
      <c r="C117" s="46">
        <f>MIN(ROUND('Corrected data'!C114*IF(MOD(B117,12)=3,Parameters!$D$19,1),0),2000)</f>
        <v>1937</v>
      </c>
      <c r="D117" s="46">
        <f>Parameters!$D$8*C117</f>
        <v>3874</v>
      </c>
      <c r="E117" s="46">
        <f>Parameters!$D$9*C117</f>
        <v>1937</v>
      </c>
      <c r="F117" s="51" t="str">
        <f t="shared" si="31"/>
        <v>Summer</v>
      </c>
      <c r="G117" s="48">
        <f t="shared" si="36"/>
        <v>561730</v>
      </c>
      <c r="H117" s="52">
        <f t="shared" si="37"/>
        <v>2099.8289231631516</v>
      </c>
      <c r="I117" s="48">
        <f t="shared" si="38"/>
        <v>30000</v>
      </c>
      <c r="J117" s="48">
        <f t="shared" si="25"/>
        <v>10000</v>
      </c>
      <c r="K117" s="48">
        <f t="shared" si="26"/>
        <v>929760</v>
      </c>
      <c r="L117" s="48">
        <f t="shared" si="39"/>
        <v>603829.82892316312</v>
      </c>
      <c r="M117" s="48">
        <f t="shared" si="28"/>
        <v>81482.54276920922</v>
      </c>
      <c r="N117" s="49">
        <f t="shared" si="40"/>
        <v>244447.62830762766</v>
      </c>
      <c r="P117" s="46">
        <v>113</v>
      </c>
      <c r="Q117" s="49">
        <f t="shared" si="34"/>
        <v>431393.34557999863</v>
      </c>
      <c r="R117" s="48">
        <f t="shared" si="41"/>
        <v>2099.8289231631516</v>
      </c>
      <c r="S117" s="48">
        <f t="shared" si="35"/>
        <v>55112.013070636116</v>
      </c>
      <c r="T117" s="49">
        <f t="shared" si="32"/>
        <v>378381.16143252567</v>
      </c>
    </row>
    <row r="118" spans="1:20" x14ac:dyDescent="0.25">
      <c r="A118" s="46">
        <f t="shared" si="33"/>
        <v>10</v>
      </c>
      <c r="B118" s="46">
        <v>114</v>
      </c>
      <c r="C118" s="46">
        <f>MIN(ROUND('Corrected data'!C115*IF(MOD(B118,12)=3,Parameters!$D$19,1),0),2000)</f>
        <v>1951</v>
      </c>
      <c r="D118" s="46">
        <f>Parameters!$D$8*C118</f>
        <v>3902</v>
      </c>
      <c r="E118" s="46">
        <f>Parameters!$D$9*C118</f>
        <v>1951</v>
      </c>
      <c r="F118" s="51" t="str">
        <f t="shared" si="31"/>
        <v>Summer</v>
      </c>
      <c r="G118" s="48">
        <f t="shared" si="36"/>
        <v>565790</v>
      </c>
      <c r="H118" s="52">
        <f t="shared" si="37"/>
        <v>1841.7894362460495</v>
      </c>
      <c r="I118" s="48">
        <f t="shared" si="38"/>
        <v>30000</v>
      </c>
      <c r="J118" s="48">
        <f t="shared" si="25"/>
        <v>10000</v>
      </c>
      <c r="K118" s="48">
        <f t="shared" si="26"/>
        <v>936480</v>
      </c>
      <c r="L118" s="48">
        <f t="shared" si="39"/>
        <v>607631.78943624604</v>
      </c>
      <c r="M118" s="48">
        <f t="shared" si="28"/>
        <v>82212.052640938491</v>
      </c>
      <c r="N118" s="49">
        <f t="shared" si="40"/>
        <v>246636.15792281547</v>
      </c>
      <c r="P118" s="46">
        <v>114</v>
      </c>
      <c r="Q118" s="49">
        <f t="shared" si="34"/>
        <v>378381.16143252567</v>
      </c>
      <c r="R118" s="48">
        <f t="shared" si="41"/>
        <v>1841.7894362460495</v>
      </c>
      <c r="S118" s="48">
        <f t="shared" si="35"/>
        <v>55112.013070636116</v>
      </c>
      <c r="T118" s="49">
        <f t="shared" si="32"/>
        <v>325110.93779813556</v>
      </c>
    </row>
    <row r="119" spans="1:20" x14ac:dyDescent="0.25">
      <c r="A119" s="46">
        <f t="shared" si="33"/>
        <v>10</v>
      </c>
      <c r="B119" s="46">
        <v>115</v>
      </c>
      <c r="C119" s="46">
        <f>MIN(ROUND('Corrected data'!C116*IF(MOD(B119,12)=3,Parameters!$D$19,1),0),2000)</f>
        <v>1965</v>
      </c>
      <c r="D119" s="46">
        <f>Parameters!$D$8*C119</f>
        <v>3930</v>
      </c>
      <c r="E119" s="46">
        <f>Parameters!$D$9*C119</f>
        <v>1965</v>
      </c>
      <c r="F119" s="51" t="str">
        <f t="shared" si="31"/>
        <v>Summer</v>
      </c>
      <c r="G119" s="48">
        <f t="shared" si="36"/>
        <v>569850</v>
      </c>
      <c r="H119" s="52">
        <f t="shared" si="37"/>
        <v>1582.4939290785235</v>
      </c>
      <c r="I119" s="48">
        <f t="shared" si="38"/>
        <v>30000</v>
      </c>
      <c r="J119" s="48">
        <f t="shared" si="25"/>
        <v>10000</v>
      </c>
      <c r="K119" s="48">
        <f t="shared" si="26"/>
        <v>943200</v>
      </c>
      <c r="L119" s="48">
        <f t="shared" si="39"/>
        <v>611432.49392907857</v>
      </c>
      <c r="M119" s="48">
        <f t="shared" si="28"/>
        <v>82941.876517730358</v>
      </c>
      <c r="N119" s="49">
        <f t="shared" si="40"/>
        <v>248825.62955319107</v>
      </c>
      <c r="P119" s="46">
        <v>115</v>
      </c>
      <c r="Q119" s="49">
        <f t="shared" si="34"/>
        <v>325110.93779813556</v>
      </c>
      <c r="R119" s="48">
        <f t="shared" si="41"/>
        <v>1582.4939290785235</v>
      </c>
      <c r="S119" s="48">
        <f t="shared" si="35"/>
        <v>55112.013070636116</v>
      </c>
      <c r="T119" s="49">
        <f t="shared" si="32"/>
        <v>271581.41865657794</v>
      </c>
    </row>
    <row r="120" spans="1:20" x14ac:dyDescent="0.25">
      <c r="A120" s="46">
        <f t="shared" si="33"/>
        <v>10</v>
      </c>
      <c r="B120" s="46">
        <v>116</v>
      </c>
      <c r="C120" s="46">
        <f>MIN(ROUND('Corrected data'!C117*IF(MOD(B120,12)=3,Parameters!$D$19,1),0),2000)</f>
        <v>1979</v>
      </c>
      <c r="D120" s="46">
        <f>Parameters!$D$8*C120</f>
        <v>3958</v>
      </c>
      <c r="E120" s="46">
        <f>Parameters!$D$9*C120</f>
        <v>1979</v>
      </c>
      <c r="F120" s="51" t="str">
        <f t="shared" si="31"/>
        <v>Summer</v>
      </c>
      <c r="G120" s="48">
        <f t="shared" si="36"/>
        <v>573910</v>
      </c>
      <c r="H120" s="52">
        <f t="shared" si="37"/>
        <v>1321.936287918493</v>
      </c>
      <c r="I120" s="48">
        <f t="shared" si="38"/>
        <v>30000</v>
      </c>
      <c r="J120" s="48">
        <f t="shared" si="25"/>
        <v>10000</v>
      </c>
      <c r="K120" s="48">
        <f t="shared" si="26"/>
        <v>949920</v>
      </c>
      <c r="L120" s="48">
        <f t="shared" si="39"/>
        <v>615231.93628791848</v>
      </c>
      <c r="M120" s="48">
        <f t="shared" si="28"/>
        <v>83672.015928020381</v>
      </c>
      <c r="N120" s="49">
        <f t="shared" si="40"/>
        <v>251016.04778406114</v>
      </c>
      <c r="P120" s="46">
        <v>116</v>
      </c>
      <c r="Q120" s="49">
        <f t="shared" si="34"/>
        <v>271581.41865657794</v>
      </c>
      <c r="R120" s="48">
        <f t="shared" si="41"/>
        <v>1321.936287918493</v>
      </c>
      <c r="S120" s="48">
        <f t="shared" si="35"/>
        <v>55112.013070636116</v>
      </c>
      <c r="T120" s="49">
        <f t="shared" si="32"/>
        <v>217791.34187386031</v>
      </c>
    </row>
    <row r="121" spans="1:20" x14ac:dyDescent="0.25">
      <c r="A121" s="46">
        <f t="shared" si="33"/>
        <v>10</v>
      </c>
      <c r="B121" s="46">
        <v>117</v>
      </c>
      <c r="C121" s="46">
        <f>MIN(ROUND('Corrected data'!C118*IF(MOD(B121,12)=3,Parameters!$D$19,1),0),2000)</f>
        <v>1993</v>
      </c>
      <c r="D121" s="46">
        <f>Parameters!$D$8*C121</f>
        <v>3986</v>
      </c>
      <c r="E121" s="46">
        <f>Parameters!$D$9*C121</f>
        <v>1993</v>
      </c>
      <c r="F121" s="51" t="str">
        <f t="shared" si="31"/>
        <v>Summer</v>
      </c>
      <c r="G121" s="48">
        <f t="shared" si="36"/>
        <v>577970</v>
      </c>
      <c r="H121" s="52">
        <f t="shared" si="37"/>
        <v>1060.1103692649299</v>
      </c>
      <c r="I121" s="48">
        <f t="shared" si="38"/>
        <v>30000</v>
      </c>
      <c r="J121" s="48">
        <f t="shared" si="25"/>
        <v>10000</v>
      </c>
      <c r="K121" s="48">
        <f t="shared" si="26"/>
        <v>956640</v>
      </c>
      <c r="L121" s="48">
        <f t="shared" si="39"/>
        <v>619030.11036926496</v>
      </c>
      <c r="M121" s="48">
        <f t="shared" si="28"/>
        <v>84402.472407683759</v>
      </c>
      <c r="N121" s="49">
        <f t="shared" si="40"/>
        <v>253207.41722305128</v>
      </c>
      <c r="P121" s="46">
        <v>117</v>
      </c>
      <c r="Q121" s="49">
        <f t="shared" si="34"/>
        <v>217791.34187386031</v>
      </c>
      <c r="R121" s="48">
        <f t="shared" si="41"/>
        <v>1060.1103692649299</v>
      </c>
      <c r="S121" s="48">
        <f t="shared" si="35"/>
        <v>55112.013070636116</v>
      </c>
      <c r="T121" s="49">
        <f t="shared" si="32"/>
        <v>163739.43917248913</v>
      </c>
    </row>
    <row r="122" spans="1:20" x14ac:dyDescent="0.25">
      <c r="A122" s="46">
        <f t="shared" si="33"/>
        <v>10</v>
      </c>
      <c r="B122" s="46">
        <v>118</v>
      </c>
      <c r="C122" s="46">
        <f>MIN(ROUND('Corrected data'!C119*IF(MOD(B122,12)=3,Parameters!$D$19,1),0),2000)</f>
        <v>2000</v>
      </c>
      <c r="D122" s="46">
        <f>Parameters!$D$8*C122</f>
        <v>4000</v>
      </c>
      <c r="E122" s="46">
        <f>Parameters!$D$9*C122</f>
        <v>2000</v>
      </c>
      <c r="F122" s="51" t="str">
        <f t="shared" si="31"/>
        <v>Summer</v>
      </c>
      <c r="G122" s="48">
        <f t="shared" si="36"/>
        <v>580000</v>
      </c>
      <c r="H122" s="52">
        <f t="shared" si="37"/>
        <v>797.00999971300314</v>
      </c>
      <c r="I122" s="48">
        <f t="shared" si="38"/>
        <v>30000</v>
      </c>
      <c r="J122" s="48">
        <f t="shared" si="25"/>
        <v>10000</v>
      </c>
      <c r="K122" s="48">
        <f t="shared" si="26"/>
        <v>960000</v>
      </c>
      <c r="L122" s="48">
        <f t="shared" si="39"/>
        <v>620797.00999971305</v>
      </c>
      <c r="M122" s="48">
        <f t="shared" si="28"/>
        <v>84800.747500071739</v>
      </c>
      <c r="N122" s="49">
        <f t="shared" si="40"/>
        <v>254402.24250021522</v>
      </c>
      <c r="P122" s="46">
        <v>118</v>
      </c>
      <c r="Q122" s="49">
        <f t="shared" si="34"/>
        <v>163739.43917248913</v>
      </c>
      <c r="R122" s="48">
        <f t="shared" si="41"/>
        <v>797.00999971300314</v>
      </c>
      <c r="S122" s="48">
        <f t="shared" si="35"/>
        <v>55112.013070636116</v>
      </c>
      <c r="T122" s="49">
        <f t="shared" si="32"/>
        <v>109424.43610156604</v>
      </c>
    </row>
    <row r="123" spans="1:20" x14ac:dyDescent="0.25">
      <c r="A123" s="46">
        <f t="shared" si="33"/>
        <v>10</v>
      </c>
      <c r="B123" s="46">
        <v>119</v>
      </c>
      <c r="C123" s="46">
        <f>MIN(ROUND('Corrected data'!C120*IF(MOD(B123,12)=3,Parameters!$D$19,1),0),2000)</f>
        <v>2000</v>
      </c>
      <c r="D123" s="46">
        <f>Parameters!$D$8*C123</f>
        <v>4000</v>
      </c>
      <c r="E123" s="46">
        <f>Parameters!$D$9*C123</f>
        <v>2000</v>
      </c>
      <c r="F123" s="51" t="str">
        <f t="shared" si="31"/>
        <v>Summer</v>
      </c>
      <c r="G123" s="48">
        <f t="shared" si="36"/>
        <v>580000</v>
      </c>
      <c r="H123" s="52">
        <f t="shared" si="37"/>
        <v>532.628975808522</v>
      </c>
      <c r="I123" s="48">
        <f t="shared" si="38"/>
        <v>30000</v>
      </c>
      <c r="J123" s="48">
        <f t="shared" si="25"/>
        <v>10000</v>
      </c>
      <c r="K123" s="48">
        <f t="shared" si="26"/>
        <v>960000</v>
      </c>
      <c r="L123" s="48">
        <f t="shared" si="39"/>
        <v>620532.6289758085</v>
      </c>
      <c r="M123" s="48">
        <f t="shared" si="28"/>
        <v>84866.842756047874</v>
      </c>
      <c r="N123" s="49">
        <f t="shared" si="40"/>
        <v>254600.52826814362</v>
      </c>
      <c r="P123" s="46">
        <v>119</v>
      </c>
      <c r="Q123" s="49">
        <f t="shared" si="34"/>
        <v>109424.43610156604</v>
      </c>
      <c r="R123" s="48">
        <f t="shared" si="41"/>
        <v>532.628975808522</v>
      </c>
      <c r="S123" s="48">
        <f t="shared" si="35"/>
        <v>55112.013070636116</v>
      </c>
      <c r="T123" s="49">
        <f t="shared" si="32"/>
        <v>54845.052006738442</v>
      </c>
    </row>
    <row r="124" spans="1:20" x14ac:dyDescent="0.25">
      <c r="A124" s="46">
        <f t="shared" si="33"/>
        <v>10</v>
      </c>
      <c r="B124" s="46">
        <v>120</v>
      </c>
      <c r="C124" s="46">
        <f>MIN(ROUND('Corrected data'!C121*IF(MOD(B124,12)=3,Parameters!$D$19,1),0),2000)</f>
        <v>2000</v>
      </c>
      <c r="D124" s="46">
        <f>Parameters!$D$8*C124</f>
        <v>4000</v>
      </c>
      <c r="E124" s="46">
        <f>Parameters!$D$9*C124</f>
        <v>2000</v>
      </c>
      <c r="F124" s="51" t="str">
        <f t="shared" si="31"/>
        <v>Summer</v>
      </c>
      <c r="G124" s="48">
        <f t="shared" si="36"/>
        <v>580000</v>
      </c>
      <c r="H124" s="52">
        <f t="shared" si="37"/>
        <v>266.96106390166858</v>
      </c>
      <c r="I124" s="48">
        <f t="shared" si="38"/>
        <v>30000</v>
      </c>
      <c r="J124" s="48">
        <f t="shared" si="25"/>
        <v>10000</v>
      </c>
      <c r="K124" s="48">
        <f t="shared" si="26"/>
        <v>960000</v>
      </c>
      <c r="L124" s="48">
        <f t="shared" si="39"/>
        <v>620266.96106390166</v>
      </c>
      <c r="M124" s="48">
        <f t="shared" si="28"/>
        <v>84933.259734024585</v>
      </c>
      <c r="N124" s="49">
        <f t="shared" si="40"/>
        <v>254799.77920207375</v>
      </c>
      <c r="P124" s="46">
        <v>120</v>
      </c>
      <c r="Q124" s="49">
        <f t="shared" si="34"/>
        <v>54845.052006738442</v>
      </c>
      <c r="R124" s="48">
        <f t="shared" si="41"/>
        <v>266.96106390166858</v>
      </c>
      <c r="S124" s="48">
        <f t="shared" si="35"/>
        <v>55112.013070636116</v>
      </c>
      <c r="T124" s="49">
        <f t="shared" si="32"/>
        <v>3.9945007301867008E-9</v>
      </c>
    </row>
    <row r="125" spans="1:20" x14ac:dyDescent="0.25">
      <c r="G125" s="2"/>
      <c r="H125" s="2"/>
      <c r="I125" s="2"/>
      <c r="J125" s="2"/>
      <c r="K125" s="2"/>
      <c r="L125" s="2"/>
      <c r="M125" s="2"/>
      <c r="N125" s="3"/>
    </row>
    <row r="126" spans="1:20" x14ac:dyDescent="0.25">
      <c r="G126" s="2"/>
      <c r="H126" s="2"/>
      <c r="I126" s="2"/>
      <c r="J126" s="2"/>
      <c r="K126" s="2"/>
      <c r="L126" s="2"/>
      <c r="M126" s="2"/>
      <c r="N126" s="3"/>
    </row>
    <row r="127" spans="1:20" x14ac:dyDescent="0.25">
      <c r="G127" s="2"/>
      <c r="H127" s="2"/>
      <c r="I127" s="2"/>
      <c r="J127" s="2"/>
      <c r="K127" s="2"/>
      <c r="L127" s="2"/>
      <c r="M127" s="2"/>
      <c r="N127" s="3"/>
    </row>
    <row r="128" spans="1:20" x14ac:dyDescent="0.25">
      <c r="G128" s="2"/>
      <c r="H128" s="2"/>
      <c r="I128" s="2"/>
      <c r="J128" s="2"/>
      <c r="K128" s="2"/>
      <c r="L128" s="2"/>
      <c r="M128" s="2"/>
      <c r="N128" s="3"/>
    </row>
    <row r="129" spans="7:14" x14ac:dyDescent="0.25">
      <c r="G129" s="2"/>
      <c r="H129" s="2"/>
      <c r="I129" s="2"/>
      <c r="J129" s="2"/>
      <c r="K129" s="2"/>
      <c r="L129" s="2"/>
      <c r="M129" s="2"/>
      <c r="N129" s="3"/>
    </row>
    <row r="130" spans="7:14" x14ac:dyDescent="0.25">
      <c r="G130" s="2"/>
      <c r="H130" s="2"/>
      <c r="I130" s="2"/>
      <c r="J130" s="2"/>
      <c r="K130" s="2"/>
      <c r="L130" s="2"/>
      <c r="M130" s="2"/>
      <c r="N130" s="3"/>
    </row>
    <row r="131" spans="7:14" x14ac:dyDescent="0.25">
      <c r="G131" s="2"/>
      <c r="H131" s="2"/>
      <c r="I131" s="2"/>
      <c r="J131" s="2"/>
      <c r="K131" s="2"/>
      <c r="L131" s="2"/>
      <c r="M131" s="2"/>
      <c r="N131" s="3"/>
    </row>
    <row r="132" spans="7:14" x14ac:dyDescent="0.25">
      <c r="G132" s="2"/>
      <c r="H132" s="2"/>
      <c r="I132" s="2"/>
      <c r="J132" s="2"/>
      <c r="K132" s="2"/>
      <c r="L132" s="2"/>
      <c r="M132" s="2"/>
      <c r="N132" s="3"/>
    </row>
    <row r="133" spans="7:14" x14ac:dyDescent="0.25">
      <c r="G133" s="2"/>
      <c r="H133" s="2"/>
      <c r="I133" s="2"/>
      <c r="J133" s="2"/>
      <c r="K133" s="2"/>
      <c r="L133" s="2"/>
      <c r="M133" s="2"/>
      <c r="N133" s="3"/>
    </row>
    <row r="134" spans="7:14" x14ac:dyDescent="0.25">
      <c r="G134" s="2"/>
      <c r="H134" s="2"/>
      <c r="I134" s="2"/>
      <c r="J134" s="2"/>
      <c r="K134" s="2"/>
      <c r="L134" s="2"/>
      <c r="M134" s="2"/>
      <c r="N134" s="3"/>
    </row>
    <row r="135" spans="7:14" x14ac:dyDescent="0.25">
      <c r="G135" s="2"/>
      <c r="H135" s="2"/>
      <c r="I135" s="2"/>
      <c r="J135" s="2"/>
      <c r="K135" s="2"/>
      <c r="L135" s="2"/>
      <c r="M135" s="2"/>
      <c r="N135" s="3"/>
    </row>
    <row r="136" spans="7:14" x14ac:dyDescent="0.25">
      <c r="G136" s="2"/>
      <c r="H136" s="2"/>
      <c r="I136" s="2"/>
      <c r="J136" s="2"/>
      <c r="K136" s="2"/>
      <c r="L136" s="2"/>
      <c r="M136" s="2"/>
      <c r="N136" s="3"/>
    </row>
    <row r="137" spans="7:14" x14ac:dyDescent="0.25">
      <c r="G137" s="2"/>
      <c r="H137" s="2"/>
      <c r="I137" s="2"/>
      <c r="J137" s="2"/>
      <c r="K137" s="2"/>
      <c r="L137" s="2"/>
      <c r="M137" s="2"/>
      <c r="N137" s="3"/>
    </row>
    <row r="138" spans="7:14" x14ac:dyDescent="0.25">
      <c r="G138" s="2"/>
      <c r="H138" s="2"/>
      <c r="I138" s="2"/>
      <c r="J138" s="2"/>
      <c r="K138" s="2"/>
      <c r="L138" s="2"/>
      <c r="M138" s="2"/>
      <c r="N138" s="3"/>
    </row>
    <row r="139" spans="7:14" x14ac:dyDescent="0.25">
      <c r="G139" s="2"/>
      <c r="H139" s="2"/>
      <c r="I139" s="2"/>
      <c r="J139" s="2"/>
      <c r="K139" s="2"/>
      <c r="L139" s="2"/>
      <c r="M139" s="2"/>
      <c r="N139" s="3"/>
    </row>
    <row r="140" spans="7:14" x14ac:dyDescent="0.25">
      <c r="G140" s="2"/>
      <c r="H140" s="2"/>
      <c r="I140" s="2"/>
      <c r="J140" s="2"/>
      <c r="K140" s="2"/>
      <c r="L140" s="2"/>
      <c r="M140" s="2"/>
      <c r="N140" s="3"/>
    </row>
    <row r="141" spans="7:14" x14ac:dyDescent="0.25">
      <c r="G141" s="2"/>
      <c r="H141" s="2"/>
      <c r="I141" s="2"/>
      <c r="J141" s="2"/>
      <c r="K141" s="2"/>
      <c r="L141" s="2"/>
      <c r="M141" s="2"/>
      <c r="N141" s="3"/>
    </row>
    <row r="142" spans="7:14" x14ac:dyDescent="0.25">
      <c r="G142" s="2"/>
      <c r="H142" s="2"/>
      <c r="I142" s="2"/>
      <c r="J142" s="2"/>
      <c r="K142" s="2"/>
      <c r="L142" s="2"/>
      <c r="M142" s="2"/>
      <c r="N142" s="3"/>
    </row>
    <row r="143" spans="7:14" x14ac:dyDescent="0.25">
      <c r="G143" s="2"/>
      <c r="H143" s="2"/>
      <c r="I143" s="2"/>
      <c r="J143" s="2"/>
      <c r="K143" s="2"/>
      <c r="L143" s="2"/>
      <c r="M143" s="2"/>
      <c r="N143" s="3"/>
    </row>
    <row r="144" spans="7:14" x14ac:dyDescent="0.25">
      <c r="G144" s="2"/>
      <c r="H144" s="2"/>
      <c r="I144" s="2"/>
      <c r="J144" s="2"/>
      <c r="K144" s="2"/>
      <c r="L144" s="2"/>
      <c r="M144" s="2"/>
      <c r="N144" s="3"/>
    </row>
    <row r="145" spans="7:14" x14ac:dyDescent="0.25">
      <c r="G145" s="2"/>
      <c r="H145" s="2"/>
      <c r="I145" s="2"/>
      <c r="J145" s="2"/>
      <c r="K145" s="2"/>
      <c r="L145" s="2"/>
      <c r="M145" s="2"/>
      <c r="N145" s="3"/>
    </row>
    <row r="146" spans="7:14" x14ac:dyDescent="0.25">
      <c r="G146" s="2"/>
      <c r="H146" s="2"/>
      <c r="I146" s="2"/>
      <c r="J146" s="2"/>
      <c r="K146" s="2"/>
      <c r="L146" s="2"/>
      <c r="M146" s="2"/>
      <c r="N146" s="3"/>
    </row>
    <row r="147" spans="7:14" x14ac:dyDescent="0.25">
      <c r="G147" s="2"/>
      <c r="H147" s="2"/>
      <c r="I147" s="2"/>
      <c r="J147" s="2"/>
      <c r="K147" s="2"/>
      <c r="L147" s="2"/>
      <c r="M147" s="2"/>
      <c r="N147" s="3"/>
    </row>
    <row r="148" spans="7:14" x14ac:dyDescent="0.25">
      <c r="G148" s="2"/>
      <c r="H148" s="2"/>
      <c r="I148" s="2"/>
      <c r="J148" s="2"/>
      <c r="K148" s="2"/>
      <c r="L148" s="2"/>
      <c r="M148" s="2"/>
      <c r="N148" s="3"/>
    </row>
    <row r="149" spans="7:14" x14ac:dyDescent="0.25">
      <c r="G149" s="2"/>
      <c r="H149" s="2"/>
      <c r="I149" s="2"/>
      <c r="J149" s="2"/>
      <c r="K149" s="2"/>
      <c r="L149" s="2"/>
      <c r="M149" s="2"/>
      <c r="N149" s="3"/>
    </row>
    <row r="150" spans="7:14" x14ac:dyDescent="0.25">
      <c r="G150" s="2"/>
      <c r="H150" s="2"/>
      <c r="I150" s="2"/>
      <c r="J150" s="2"/>
      <c r="K150" s="2"/>
      <c r="L150" s="2"/>
      <c r="M150" s="2"/>
      <c r="N150" s="3"/>
    </row>
    <row r="151" spans="7:14" x14ac:dyDescent="0.25">
      <c r="G151" s="2"/>
      <c r="H151" s="2"/>
      <c r="I151" s="2"/>
      <c r="J151" s="2"/>
      <c r="K151" s="2"/>
      <c r="L151" s="2"/>
      <c r="M151" s="2"/>
      <c r="N151" s="3"/>
    </row>
    <row r="152" spans="7:14" x14ac:dyDescent="0.25">
      <c r="G152" s="2"/>
      <c r="H152" s="2"/>
      <c r="I152" s="2"/>
      <c r="J152" s="2"/>
      <c r="K152" s="2"/>
      <c r="L152" s="2"/>
      <c r="M152" s="2"/>
      <c r="N152" s="3"/>
    </row>
    <row r="153" spans="7:14" x14ac:dyDescent="0.25">
      <c r="G153" s="2"/>
      <c r="H153" s="2"/>
      <c r="I153" s="2"/>
      <c r="J153" s="2"/>
      <c r="K153" s="2"/>
      <c r="L153" s="2"/>
      <c r="M153" s="2"/>
      <c r="N153" s="3"/>
    </row>
    <row r="154" spans="7:14" x14ac:dyDescent="0.25">
      <c r="G154" s="2"/>
      <c r="H154" s="2"/>
      <c r="I154" s="2"/>
      <c r="J154" s="2"/>
      <c r="K154" s="2"/>
      <c r="L154" s="2"/>
      <c r="M154" s="2"/>
      <c r="N154" s="3"/>
    </row>
    <row r="155" spans="7:14" x14ac:dyDescent="0.25">
      <c r="G155" s="2"/>
      <c r="H155" s="2"/>
      <c r="I155" s="2"/>
      <c r="J155" s="2"/>
      <c r="K155" s="2"/>
      <c r="L155" s="2"/>
      <c r="M155" s="2"/>
      <c r="N155" s="3"/>
    </row>
    <row r="156" spans="7:14" x14ac:dyDescent="0.25">
      <c r="G156" s="2"/>
      <c r="H156" s="2"/>
      <c r="I156" s="2"/>
      <c r="J156" s="2"/>
      <c r="K156" s="2"/>
      <c r="L156" s="2"/>
      <c r="M156" s="2"/>
      <c r="N156" s="3"/>
    </row>
    <row r="157" spans="7:14" x14ac:dyDescent="0.25">
      <c r="G157" s="2"/>
      <c r="H157" s="2"/>
      <c r="I157" s="2"/>
      <c r="J157" s="2"/>
      <c r="K157" s="2"/>
      <c r="L157" s="2"/>
      <c r="M157" s="2"/>
      <c r="N157" s="3"/>
    </row>
    <row r="158" spans="7:14" x14ac:dyDescent="0.25">
      <c r="G158" s="2"/>
      <c r="H158" s="2"/>
      <c r="I158" s="2"/>
      <c r="J158" s="2"/>
      <c r="K158" s="2"/>
      <c r="L158" s="2"/>
      <c r="M158" s="2"/>
      <c r="N158" s="3"/>
    </row>
    <row r="159" spans="7:14" x14ac:dyDescent="0.25">
      <c r="G159" s="2"/>
      <c r="H159" s="2"/>
      <c r="I159" s="2"/>
      <c r="J159" s="2"/>
      <c r="K159" s="2"/>
      <c r="L159" s="2"/>
      <c r="M159" s="2"/>
      <c r="N159" s="3"/>
    </row>
    <row r="160" spans="7:14" x14ac:dyDescent="0.25">
      <c r="G160" s="2"/>
      <c r="H160" s="2"/>
      <c r="I160" s="2"/>
      <c r="J160" s="2"/>
      <c r="K160" s="2"/>
      <c r="L160" s="2"/>
      <c r="M160" s="2"/>
      <c r="N160" s="3"/>
    </row>
    <row r="161" spans="7:14" x14ac:dyDescent="0.25">
      <c r="G161" s="2"/>
      <c r="H161" s="2"/>
      <c r="I161" s="2"/>
      <c r="J161" s="2"/>
      <c r="K161" s="2"/>
      <c r="L161" s="2"/>
      <c r="M161" s="2"/>
      <c r="N161" s="3"/>
    </row>
    <row r="162" spans="7:14" x14ac:dyDescent="0.25">
      <c r="G162" s="2"/>
      <c r="H162" s="2"/>
      <c r="I162" s="2"/>
      <c r="J162" s="2"/>
      <c r="K162" s="2"/>
      <c r="L162" s="2"/>
      <c r="M162" s="2"/>
      <c r="N162" s="3"/>
    </row>
    <row r="163" spans="7:14" x14ac:dyDescent="0.25">
      <c r="G163" s="2"/>
      <c r="H163" s="2"/>
      <c r="I163" s="2"/>
      <c r="J163" s="2"/>
      <c r="K163" s="2"/>
      <c r="L163" s="2"/>
      <c r="M163" s="2"/>
      <c r="N163" s="3"/>
    </row>
    <row r="164" spans="7:14" x14ac:dyDescent="0.25">
      <c r="G164" s="2"/>
      <c r="H164" s="2"/>
      <c r="I164" s="2"/>
      <c r="J164" s="2"/>
      <c r="K164" s="2"/>
      <c r="L164" s="2"/>
      <c r="M164" s="2"/>
      <c r="N164" s="3"/>
    </row>
    <row r="165" spans="7:14" x14ac:dyDescent="0.25">
      <c r="G165" s="2"/>
      <c r="H165" s="2"/>
      <c r="I165" s="2"/>
      <c r="J165" s="2"/>
      <c r="K165" s="2"/>
      <c r="L165" s="2"/>
      <c r="M165" s="2"/>
      <c r="N165" s="3"/>
    </row>
    <row r="166" spans="7:14" x14ac:dyDescent="0.25">
      <c r="G166" s="2"/>
      <c r="H166" s="2"/>
      <c r="I166" s="2"/>
      <c r="J166" s="2"/>
      <c r="K166" s="2"/>
      <c r="L166" s="2"/>
      <c r="M166" s="2"/>
      <c r="N166" s="3"/>
    </row>
    <row r="167" spans="7:14" x14ac:dyDescent="0.25">
      <c r="G167" s="2"/>
      <c r="H167" s="2"/>
      <c r="I167" s="2"/>
      <c r="J167" s="2"/>
      <c r="K167" s="2"/>
      <c r="L167" s="2"/>
      <c r="M167" s="2"/>
      <c r="N167" s="3"/>
    </row>
    <row r="168" spans="7:14" x14ac:dyDescent="0.25">
      <c r="G168" s="2"/>
      <c r="H168" s="2"/>
      <c r="I168" s="2"/>
      <c r="J168" s="2"/>
      <c r="K168" s="2"/>
      <c r="L168" s="2"/>
      <c r="M168" s="2"/>
      <c r="N168" s="3"/>
    </row>
    <row r="169" spans="7:14" x14ac:dyDescent="0.25">
      <c r="G169" s="2"/>
      <c r="H169" s="2"/>
      <c r="I169" s="2"/>
      <c r="J169" s="2"/>
      <c r="K169" s="2"/>
      <c r="L169" s="2"/>
      <c r="M169" s="2"/>
      <c r="N169" s="3"/>
    </row>
    <row r="170" spans="7:14" x14ac:dyDescent="0.25">
      <c r="G170" s="2"/>
      <c r="H170" s="2"/>
      <c r="I170" s="2"/>
      <c r="J170" s="2"/>
      <c r="K170" s="2"/>
      <c r="L170" s="2"/>
      <c r="M170" s="2"/>
      <c r="N170" s="3"/>
    </row>
    <row r="171" spans="7:14" x14ac:dyDescent="0.25">
      <c r="G171" s="2"/>
      <c r="H171" s="2"/>
      <c r="I171" s="2"/>
      <c r="J171" s="2"/>
      <c r="K171" s="2"/>
      <c r="L171" s="2"/>
      <c r="M171" s="2"/>
      <c r="N171" s="3"/>
    </row>
    <row r="172" spans="7:14" x14ac:dyDescent="0.25">
      <c r="G172" s="2"/>
      <c r="H172" s="2"/>
      <c r="I172" s="2"/>
      <c r="J172" s="2"/>
      <c r="K172" s="2"/>
      <c r="L172" s="2"/>
      <c r="M172" s="2"/>
      <c r="N172" s="3"/>
    </row>
    <row r="173" spans="7:14" x14ac:dyDescent="0.25">
      <c r="G173" s="2"/>
      <c r="H173" s="2"/>
      <c r="I173" s="2"/>
      <c r="J173" s="2"/>
      <c r="K173" s="2"/>
      <c r="L173" s="2"/>
      <c r="M173" s="2"/>
      <c r="N173" s="3"/>
    </row>
    <row r="174" spans="7:14" x14ac:dyDescent="0.25">
      <c r="G174" s="2"/>
      <c r="H174" s="2"/>
      <c r="I174" s="2"/>
      <c r="J174" s="2"/>
      <c r="K174" s="2"/>
      <c r="L174" s="2"/>
      <c r="M174" s="2"/>
      <c r="N174" s="3"/>
    </row>
    <row r="175" spans="7:14" x14ac:dyDescent="0.25">
      <c r="G175" s="2"/>
      <c r="H175" s="2"/>
      <c r="I175" s="2"/>
      <c r="J175" s="2"/>
      <c r="K175" s="2"/>
      <c r="L175" s="2"/>
      <c r="M175" s="2"/>
      <c r="N175" s="3"/>
    </row>
    <row r="176" spans="7:14" x14ac:dyDescent="0.25">
      <c r="G176" s="2"/>
      <c r="H176" s="2"/>
      <c r="I176" s="2"/>
      <c r="J176" s="2"/>
      <c r="K176" s="2"/>
      <c r="L176" s="2"/>
      <c r="M176" s="2"/>
      <c r="N176" s="3"/>
    </row>
    <row r="177" spans="7:14" x14ac:dyDescent="0.25">
      <c r="G177" s="2"/>
      <c r="H177" s="2"/>
      <c r="I177" s="2"/>
      <c r="J177" s="2"/>
      <c r="K177" s="2"/>
      <c r="L177" s="2"/>
      <c r="M177" s="2"/>
      <c r="N177" s="3"/>
    </row>
    <row r="178" spans="7:14" x14ac:dyDescent="0.25">
      <c r="G178" s="2"/>
      <c r="H178" s="2"/>
      <c r="I178" s="2"/>
      <c r="J178" s="2"/>
      <c r="K178" s="2"/>
      <c r="L178" s="2"/>
      <c r="M178" s="2"/>
      <c r="N178" s="3"/>
    </row>
    <row r="179" spans="7:14" x14ac:dyDescent="0.25">
      <c r="G179" s="2"/>
      <c r="H179" s="2"/>
      <c r="I179" s="2"/>
      <c r="J179" s="2"/>
      <c r="K179" s="2"/>
      <c r="L179" s="2"/>
      <c r="M179" s="2"/>
      <c r="N179" s="3"/>
    </row>
    <row r="180" spans="7:14" x14ac:dyDescent="0.25">
      <c r="G180" s="2"/>
      <c r="H180" s="2"/>
      <c r="I180" s="2"/>
      <c r="J180" s="2"/>
      <c r="K180" s="2"/>
      <c r="L180" s="2"/>
      <c r="M180" s="2"/>
      <c r="N180" s="3"/>
    </row>
    <row r="181" spans="7:14" x14ac:dyDescent="0.25">
      <c r="G181" s="2"/>
      <c r="H181" s="2"/>
      <c r="I181" s="2"/>
      <c r="J181" s="2"/>
      <c r="K181" s="2"/>
      <c r="L181" s="2"/>
      <c r="M181" s="2"/>
      <c r="N181" s="3"/>
    </row>
    <row r="182" spans="7:14" x14ac:dyDescent="0.25">
      <c r="G182" s="2"/>
      <c r="H182" s="2"/>
      <c r="I182" s="2"/>
      <c r="J182" s="2"/>
      <c r="K182" s="2"/>
      <c r="L182" s="2"/>
      <c r="M182" s="2"/>
      <c r="N182" s="3"/>
    </row>
    <row r="183" spans="7:14" x14ac:dyDescent="0.25">
      <c r="G183" s="2"/>
      <c r="H183" s="2"/>
      <c r="I183" s="2"/>
      <c r="J183" s="2"/>
      <c r="K183" s="2"/>
      <c r="L183" s="2"/>
      <c r="M183" s="2"/>
      <c r="N183" s="3"/>
    </row>
    <row r="184" spans="7:14" x14ac:dyDescent="0.25">
      <c r="G184" s="2"/>
      <c r="H184" s="2"/>
      <c r="I184" s="2"/>
      <c r="J184" s="2"/>
      <c r="K184" s="2"/>
      <c r="L184" s="2"/>
      <c r="M184" s="2"/>
      <c r="N184" s="3"/>
    </row>
    <row r="185" spans="7:14" x14ac:dyDescent="0.25">
      <c r="G185" s="2"/>
      <c r="H185" s="2"/>
      <c r="I185" s="2"/>
      <c r="J185" s="2"/>
      <c r="K185" s="2"/>
      <c r="L185" s="2"/>
      <c r="M185" s="2"/>
      <c r="N185" s="3"/>
    </row>
    <row r="186" spans="7:14" x14ac:dyDescent="0.25">
      <c r="G186" s="2"/>
      <c r="H186" s="2"/>
      <c r="I186" s="2"/>
      <c r="J186" s="2"/>
      <c r="K186" s="2"/>
      <c r="L186" s="2"/>
      <c r="M186" s="2"/>
      <c r="N186" s="3"/>
    </row>
    <row r="187" spans="7:14" x14ac:dyDescent="0.25">
      <c r="G187" s="2"/>
      <c r="H187" s="2"/>
      <c r="I187" s="2"/>
      <c r="J187" s="2"/>
      <c r="K187" s="2"/>
      <c r="L187" s="2"/>
      <c r="M187" s="2"/>
      <c r="N187" s="3"/>
    </row>
    <row r="188" spans="7:14" x14ac:dyDescent="0.25">
      <c r="G188" s="2"/>
      <c r="H188" s="2"/>
      <c r="I188" s="2"/>
      <c r="J188" s="2"/>
      <c r="K188" s="2"/>
      <c r="L188" s="2"/>
      <c r="M188" s="2"/>
      <c r="N188" s="3"/>
    </row>
    <row r="189" spans="7:14" x14ac:dyDescent="0.25">
      <c r="G189" s="2"/>
      <c r="H189" s="2"/>
      <c r="I189" s="2"/>
      <c r="J189" s="2"/>
      <c r="K189" s="2"/>
      <c r="L189" s="2"/>
      <c r="M189" s="2"/>
      <c r="N189" s="3"/>
    </row>
    <row r="190" spans="7:14" x14ac:dyDescent="0.25">
      <c r="G190" s="2"/>
      <c r="H190" s="2"/>
      <c r="I190" s="2"/>
      <c r="J190" s="2"/>
      <c r="K190" s="2"/>
      <c r="L190" s="2"/>
      <c r="M190" s="2"/>
      <c r="N190" s="3"/>
    </row>
    <row r="191" spans="7:14" x14ac:dyDescent="0.25">
      <c r="G191" s="2"/>
      <c r="H191" s="2"/>
      <c r="I191" s="2"/>
      <c r="J191" s="2"/>
      <c r="K191" s="2"/>
      <c r="L191" s="2"/>
      <c r="M191" s="2"/>
      <c r="N191" s="3"/>
    </row>
    <row r="192" spans="7:14" x14ac:dyDescent="0.25">
      <c r="G192" s="2"/>
      <c r="H192" s="2"/>
      <c r="I192" s="2"/>
      <c r="J192" s="2"/>
      <c r="K192" s="2"/>
      <c r="L192" s="2"/>
      <c r="M192" s="2"/>
      <c r="N192" s="3"/>
    </row>
    <row r="193" spans="7:14" x14ac:dyDescent="0.25">
      <c r="G193" s="2"/>
      <c r="H193" s="2"/>
      <c r="I193" s="2"/>
      <c r="J193" s="2"/>
      <c r="K193" s="2"/>
      <c r="L193" s="2"/>
      <c r="M193" s="2"/>
      <c r="N193" s="3"/>
    </row>
    <row r="194" spans="7:14" x14ac:dyDescent="0.25">
      <c r="G194" s="2"/>
      <c r="H194" s="2"/>
      <c r="I194" s="2"/>
      <c r="J194" s="2"/>
      <c r="K194" s="2"/>
      <c r="L194" s="2"/>
      <c r="M194" s="2"/>
      <c r="N194" s="3"/>
    </row>
    <row r="195" spans="7:14" x14ac:dyDescent="0.25">
      <c r="G195" s="2"/>
      <c r="H195" s="2"/>
      <c r="I195" s="2"/>
      <c r="J195" s="2"/>
      <c r="K195" s="2"/>
      <c r="L195" s="2"/>
      <c r="M195" s="2"/>
      <c r="N195" s="3"/>
    </row>
    <row r="196" spans="7:14" x14ac:dyDescent="0.25">
      <c r="G196" s="2"/>
      <c r="H196" s="2"/>
      <c r="I196" s="2"/>
      <c r="J196" s="2"/>
      <c r="K196" s="2"/>
      <c r="L196" s="2"/>
      <c r="M196" s="2"/>
      <c r="N196" s="3"/>
    </row>
    <row r="197" spans="7:14" x14ac:dyDescent="0.25">
      <c r="G197" s="2"/>
      <c r="H197" s="2"/>
      <c r="I197" s="2"/>
      <c r="J197" s="2"/>
      <c r="K197" s="2"/>
      <c r="L197" s="2"/>
      <c r="M197" s="2"/>
      <c r="N197" s="3"/>
    </row>
    <row r="198" spans="7:14" x14ac:dyDescent="0.25">
      <c r="G198" s="2"/>
      <c r="H198" s="2"/>
      <c r="I198" s="2"/>
      <c r="J198" s="2"/>
      <c r="K198" s="2"/>
      <c r="L198" s="2"/>
      <c r="M198" s="2"/>
      <c r="N198" s="3"/>
    </row>
    <row r="199" spans="7:14" x14ac:dyDescent="0.25">
      <c r="G199" s="2"/>
      <c r="H199" s="2"/>
      <c r="I199" s="2"/>
      <c r="J199" s="2"/>
      <c r="K199" s="2"/>
      <c r="L199" s="2"/>
      <c r="M199" s="2"/>
      <c r="N199" s="3"/>
    </row>
    <row r="200" spans="7:14" x14ac:dyDescent="0.25">
      <c r="G200" s="2"/>
      <c r="H200" s="2"/>
      <c r="I200" s="2"/>
      <c r="J200" s="2"/>
      <c r="K200" s="2"/>
      <c r="L200" s="2"/>
      <c r="M200" s="2"/>
      <c r="N200" s="3"/>
    </row>
    <row r="201" spans="7:14" x14ac:dyDescent="0.25">
      <c r="G201" s="2"/>
      <c r="H201" s="2"/>
      <c r="I201" s="2"/>
      <c r="J201" s="2"/>
      <c r="K201" s="2"/>
      <c r="L201" s="2"/>
      <c r="M201" s="2"/>
      <c r="N201" s="3"/>
    </row>
    <row r="202" spans="7:14" x14ac:dyDescent="0.25">
      <c r="G202" s="2"/>
      <c r="H202" s="2"/>
      <c r="I202" s="2"/>
      <c r="J202" s="2"/>
      <c r="K202" s="2"/>
      <c r="L202" s="2"/>
      <c r="M202" s="2"/>
      <c r="N202" s="3"/>
    </row>
    <row r="203" spans="7:14" x14ac:dyDescent="0.25">
      <c r="G203" s="2"/>
      <c r="H203" s="2"/>
      <c r="I203" s="2"/>
      <c r="J203" s="2"/>
      <c r="K203" s="2"/>
      <c r="L203" s="2"/>
      <c r="M203" s="2"/>
      <c r="N203" s="3"/>
    </row>
    <row r="204" spans="7:14" x14ac:dyDescent="0.25">
      <c r="G204" s="2"/>
      <c r="H204" s="2"/>
      <c r="I204" s="2"/>
      <c r="J204" s="2"/>
      <c r="K204" s="2"/>
      <c r="L204" s="2"/>
      <c r="M204" s="2"/>
      <c r="N204" s="3"/>
    </row>
    <row r="205" spans="7:14" x14ac:dyDescent="0.25">
      <c r="G205" s="2"/>
      <c r="H205" s="2"/>
      <c r="I205" s="2"/>
      <c r="J205" s="2"/>
      <c r="K205" s="2"/>
      <c r="L205" s="2"/>
      <c r="M205" s="2"/>
      <c r="N205" s="3"/>
    </row>
    <row r="206" spans="7:14" x14ac:dyDescent="0.25">
      <c r="G206" s="2"/>
      <c r="H206" s="2"/>
      <c r="I206" s="2"/>
      <c r="J206" s="2"/>
      <c r="K206" s="2"/>
      <c r="L206" s="2"/>
      <c r="M206" s="2"/>
      <c r="N206" s="3"/>
    </row>
    <row r="207" spans="7:14" x14ac:dyDescent="0.25">
      <c r="G207" s="2"/>
      <c r="H207" s="2"/>
      <c r="I207" s="2"/>
      <c r="J207" s="2"/>
      <c r="K207" s="2"/>
      <c r="L207" s="2"/>
      <c r="M207" s="2"/>
      <c r="N207" s="3"/>
    </row>
    <row r="208" spans="7:14" x14ac:dyDescent="0.25">
      <c r="G208" s="2"/>
      <c r="H208" s="2"/>
      <c r="I208" s="2"/>
      <c r="J208" s="2"/>
      <c r="K208" s="2"/>
      <c r="L208" s="2"/>
      <c r="M208" s="2"/>
      <c r="N208" s="3"/>
    </row>
    <row r="209" spans="7:14" x14ac:dyDescent="0.25">
      <c r="G209" s="2"/>
      <c r="H209" s="2"/>
      <c r="I209" s="2"/>
      <c r="J209" s="2"/>
      <c r="K209" s="2"/>
      <c r="L209" s="2"/>
      <c r="M209" s="2"/>
      <c r="N209" s="3"/>
    </row>
    <row r="210" spans="7:14" x14ac:dyDescent="0.25">
      <c r="G210" s="2"/>
      <c r="H210" s="2"/>
      <c r="I210" s="2"/>
      <c r="J210" s="2"/>
      <c r="K210" s="2"/>
      <c r="L210" s="2"/>
      <c r="M210" s="2"/>
      <c r="N210" s="3"/>
    </row>
    <row r="211" spans="7:14" x14ac:dyDescent="0.25">
      <c r="G211" s="2"/>
      <c r="H211" s="2"/>
      <c r="I211" s="2"/>
      <c r="J211" s="2"/>
      <c r="K211" s="2"/>
      <c r="L211" s="2"/>
      <c r="M211" s="2"/>
      <c r="N211" s="3"/>
    </row>
    <row r="212" spans="7:14" x14ac:dyDescent="0.25">
      <c r="G212" s="2"/>
      <c r="H212" s="2"/>
      <c r="I212" s="2"/>
      <c r="J212" s="2"/>
      <c r="K212" s="2"/>
      <c r="L212" s="2"/>
      <c r="M212" s="2"/>
      <c r="N212" s="3"/>
    </row>
    <row r="213" spans="7:14" x14ac:dyDescent="0.25">
      <c r="G213" s="2"/>
      <c r="H213" s="2"/>
      <c r="I213" s="2"/>
      <c r="J213" s="2"/>
      <c r="K213" s="2"/>
      <c r="L213" s="2"/>
      <c r="M213" s="2"/>
      <c r="N213" s="3"/>
    </row>
    <row r="214" spans="7:14" x14ac:dyDescent="0.25">
      <c r="G214" s="2"/>
      <c r="H214" s="2"/>
      <c r="I214" s="2"/>
      <c r="J214" s="2"/>
      <c r="K214" s="2"/>
      <c r="L214" s="2"/>
      <c r="M214" s="2"/>
      <c r="N214" s="3"/>
    </row>
    <row r="215" spans="7:14" x14ac:dyDescent="0.25">
      <c r="G215" s="2"/>
      <c r="H215" s="2"/>
      <c r="I215" s="2"/>
      <c r="J215" s="2"/>
      <c r="K215" s="2"/>
      <c r="L215" s="2"/>
      <c r="M215" s="2"/>
      <c r="N215" s="3"/>
    </row>
    <row r="216" spans="7:14" x14ac:dyDescent="0.25">
      <c r="G216" s="2"/>
      <c r="H216" s="2"/>
      <c r="I216" s="2"/>
      <c r="J216" s="2"/>
      <c r="K216" s="2"/>
      <c r="L216" s="2"/>
      <c r="M216" s="2"/>
      <c r="N216" s="3"/>
    </row>
    <row r="217" spans="7:14" x14ac:dyDescent="0.25">
      <c r="G217" s="2"/>
      <c r="H217" s="2"/>
      <c r="I217" s="2"/>
      <c r="J217" s="2"/>
      <c r="K217" s="2"/>
      <c r="L217" s="2"/>
      <c r="M217" s="2"/>
      <c r="N217" s="3"/>
    </row>
    <row r="218" spans="7:14" x14ac:dyDescent="0.25">
      <c r="G218" s="2"/>
      <c r="H218" s="2"/>
      <c r="I218" s="2"/>
      <c r="J218" s="2"/>
      <c r="K218" s="2"/>
      <c r="L218" s="2"/>
      <c r="M218" s="2"/>
      <c r="N218" s="3"/>
    </row>
    <row r="219" spans="7:14" x14ac:dyDescent="0.25">
      <c r="G219" s="2"/>
      <c r="H219" s="2"/>
      <c r="I219" s="2"/>
      <c r="J219" s="2"/>
      <c r="K219" s="2"/>
      <c r="L219" s="2"/>
      <c r="M219" s="2"/>
      <c r="N219" s="3"/>
    </row>
    <row r="220" spans="7:14" x14ac:dyDescent="0.25">
      <c r="G220" s="2"/>
      <c r="H220" s="2"/>
      <c r="I220" s="2"/>
      <c r="J220" s="2"/>
      <c r="K220" s="2"/>
      <c r="L220" s="2"/>
      <c r="M220" s="2"/>
      <c r="N220" s="3"/>
    </row>
    <row r="221" spans="7:14" x14ac:dyDescent="0.25">
      <c r="G221" s="2"/>
      <c r="H221" s="2"/>
      <c r="I221" s="2"/>
      <c r="J221" s="2"/>
      <c r="K221" s="2"/>
      <c r="L221" s="2"/>
      <c r="M221" s="2"/>
      <c r="N221" s="3"/>
    </row>
    <row r="222" spans="7:14" x14ac:dyDescent="0.25">
      <c r="G222" s="2"/>
      <c r="H222" s="2"/>
      <c r="I222" s="2"/>
      <c r="J222" s="2"/>
      <c r="K222" s="2"/>
      <c r="L222" s="2"/>
      <c r="M222" s="2"/>
      <c r="N222" s="3"/>
    </row>
    <row r="223" spans="7:14" x14ac:dyDescent="0.25">
      <c r="G223" s="2"/>
      <c r="H223" s="2"/>
      <c r="I223" s="2"/>
      <c r="J223" s="2"/>
      <c r="K223" s="2"/>
      <c r="L223" s="2"/>
      <c r="M223" s="2"/>
      <c r="N223" s="3"/>
    </row>
    <row r="224" spans="7:14" x14ac:dyDescent="0.25">
      <c r="G224" s="2"/>
      <c r="H224" s="2"/>
      <c r="I224" s="2"/>
      <c r="J224" s="2"/>
      <c r="K224" s="2"/>
      <c r="L224" s="2"/>
      <c r="M224" s="2"/>
      <c r="N224" s="3"/>
    </row>
    <row r="225" spans="7:14" x14ac:dyDescent="0.25">
      <c r="G225" s="2"/>
      <c r="H225" s="2"/>
      <c r="I225" s="2"/>
      <c r="J225" s="2"/>
      <c r="K225" s="2"/>
      <c r="L225" s="2"/>
      <c r="M225" s="2"/>
      <c r="N225" s="3"/>
    </row>
    <row r="226" spans="7:14" x14ac:dyDescent="0.25">
      <c r="G226" s="2"/>
      <c r="H226" s="2"/>
      <c r="I226" s="2"/>
      <c r="J226" s="2"/>
      <c r="K226" s="2"/>
      <c r="L226" s="2"/>
      <c r="M226" s="2"/>
      <c r="N226" s="3"/>
    </row>
    <row r="227" spans="7:14" x14ac:dyDescent="0.25">
      <c r="G227" s="2"/>
      <c r="H227" s="2"/>
      <c r="I227" s="2"/>
      <c r="J227" s="2"/>
      <c r="K227" s="2"/>
      <c r="L227" s="2"/>
      <c r="M227" s="2"/>
      <c r="N227" s="3"/>
    </row>
    <row r="228" spans="7:14" x14ac:dyDescent="0.25">
      <c r="G228" s="2"/>
      <c r="H228" s="2"/>
      <c r="I228" s="2"/>
      <c r="J228" s="2"/>
      <c r="K228" s="2"/>
      <c r="L228" s="2"/>
      <c r="M228" s="2"/>
      <c r="N228" s="3"/>
    </row>
    <row r="229" spans="7:14" x14ac:dyDescent="0.25">
      <c r="G229" s="2"/>
      <c r="H229" s="2"/>
      <c r="I229" s="2"/>
      <c r="J229" s="2"/>
      <c r="K229" s="2"/>
      <c r="L229" s="2"/>
      <c r="M229" s="2"/>
      <c r="N229" s="3"/>
    </row>
    <row r="230" spans="7:14" x14ac:dyDescent="0.25">
      <c r="G230" s="2"/>
      <c r="H230" s="2"/>
      <c r="I230" s="2"/>
      <c r="J230" s="2"/>
      <c r="K230" s="2"/>
      <c r="L230" s="2"/>
      <c r="M230" s="2"/>
      <c r="N230" s="3"/>
    </row>
    <row r="231" spans="7:14" x14ac:dyDescent="0.25">
      <c r="G231" s="2"/>
      <c r="H231" s="2"/>
      <c r="I231" s="2"/>
      <c r="J231" s="2"/>
      <c r="K231" s="2"/>
      <c r="L231" s="2"/>
      <c r="M231" s="2"/>
      <c r="N231" s="3"/>
    </row>
    <row r="232" spans="7:14" x14ac:dyDescent="0.25">
      <c r="G232" s="2"/>
      <c r="H232" s="2"/>
      <c r="I232" s="2"/>
      <c r="J232" s="2"/>
      <c r="K232" s="2"/>
      <c r="L232" s="2"/>
      <c r="M232" s="2"/>
      <c r="N232" s="3"/>
    </row>
    <row r="233" spans="7:14" x14ac:dyDescent="0.25">
      <c r="G233" s="2"/>
      <c r="H233" s="2"/>
      <c r="I233" s="2"/>
      <c r="J233" s="2"/>
      <c r="K233" s="2"/>
      <c r="L233" s="2"/>
      <c r="M233" s="2"/>
      <c r="N233" s="3"/>
    </row>
    <row r="234" spans="7:14" x14ac:dyDescent="0.25">
      <c r="G234" s="2"/>
      <c r="H234" s="2"/>
      <c r="I234" s="2"/>
      <c r="J234" s="2"/>
      <c r="K234" s="2"/>
      <c r="L234" s="2"/>
      <c r="M234" s="2"/>
      <c r="N234" s="3"/>
    </row>
    <row r="235" spans="7:14" x14ac:dyDescent="0.25">
      <c r="G235" s="2"/>
      <c r="H235" s="2"/>
      <c r="I235" s="2"/>
      <c r="J235" s="2"/>
      <c r="K235" s="2"/>
      <c r="L235" s="2"/>
      <c r="M235" s="2"/>
      <c r="N235" s="3"/>
    </row>
    <row r="236" spans="7:14" x14ac:dyDescent="0.25">
      <c r="G236" s="2"/>
      <c r="H236" s="2"/>
      <c r="I236" s="2"/>
      <c r="J236" s="2"/>
      <c r="K236" s="2"/>
      <c r="L236" s="2"/>
      <c r="M236" s="2"/>
      <c r="N236" s="3"/>
    </row>
    <row r="237" spans="7:14" x14ac:dyDescent="0.25">
      <c r="G237" s="2"/>
      <c r="H237" s="2"/>
      <c r="I237" s="2"/>
      <c r="J237" s="2"/>
      <c r="K237" s="2"/>
      <c r="L237" s="2"/>
      <c r="M237" s="2"/>
      <c r="N237" s="3"/>
    </row>
    <row r="238" spans="7:14" x14ac:dyDescent="0.25">
      <c r="G238" s="2"/>
      <c r="H238" s="2"/>
      <c r="I238" s="2"/>
      <c r="J238" s="2"/>
      <c r="K238" s="2"/>
      <c r="L238" s="2"/>
      <c r="M238" s="2"/>
      <c r="N238" s="3"/>
    </row>
    <row r="239" spans="7:14" x14ac:dyDescent="0.25">
      <c r="G239" s="2"/>
      <c r="H239" s="2"/>
      <c r="I239" s="2"/>
      <c r="J239" s="2"/>
      <c r="K239" s="2"/>
      <c r="L239" s="2"/>
      <c r="M239" s="2"/>
      <c r="N239" s="3"/>
    </row>
    <row r="240" spans="7:14" x14ac:dyDescent="0.25">
      <c r="G240" s="2"/>
      <c r="H240" s="2"/>
      <c r="I240" s="2"/>
      <c r="J240" s="2"/>
      <c r="K240" s="2"/>
      <c r="L240" s="2"/>
      <c r="M240" s="2"/>
      <c r="N240" s="3"/>
    </row>
    <row r="241" spans="7:14" x14ac:dyDescent="0.25">
      <c r="G241" s="2"/>
      <c r="H241" s="2"/>
      <c r="I241" s="2"/>
      <c r="J241" s="2"/>
      <c r="K241" s="2"/>
      <c r="L241" s="2"/>
      <c r="M241" s="2"/>
      <c r="N241" s="3"/>
    </row>
    <row r="242" spans="7:14" x14ac:dyDescent="0.25">
      <c r="G242" s="2"/>
      <c r="H242" s="2"/>
      <c r="I242" s="2"/>
      <c r="J242" s="2"/>
      <c r="K242" s="2"/>
      <c r="L242" s="2"/>
      <c r="M242" s="2"/>
      <c r="N242" s="3"/>
    </row>
    <row r="243" spans="7:14" x14ac:dyDescent="0.25">
      <c r="G243" s="2"/>
      <c r="H243" s="2"/>
      <c r="I243" s="2"/>
      <c r="J243" s="2"/>
      <c r="K243" s="2"/>
      <c r="L243" s="2"/>
      <c r="M243" s="2"/>
      <c r="N243" s="3"/>
    </row>
    <row r="244" spans="7:14" x14ac:dyDescent="0.25">
      <c r="G244" s="2"/>
      <c r="H244" s="2"/>
      <c r="I244" s="2"/>
      <c r="J244" s="2"/>
      <c r="K244" s="2"/>
      <c r="L244" s="2"/>
      <c r="M244" s="2"/>
      <c r="N244" s="3"/>
    </row>
    <row r="245" spans="7:14" x14ac:dyDescent="0.25">
      <c r="G245" s="2"/>
      <c r="H245" s="2"/>
      <c r="I245" s="2"/>
      <c r="J245" s="2"/>
      <c r="K245" s="2"/>
      <c r="L245" s="2"/>
      <c r="M245" s="2"/>
      <c r="N245" s="3"/>
    </row>
    <row r="246" spans="7:14" x14ac:dyDescent="0.25">
      <c r="G246" s="2"/>
      <c r="H246" s="2"/>
      <c r="I246" s="2"/>
      <c r="J246" s="2"/>
      <c r="K246" s="2"/>
      <c r="L246" s="2"/>
      <c r="M246" s="2"/>
      <c r="N246" s="3"/>
    </row>
    <row r="247" spans="7:14" x14ac:dyDescent="0.25">
      <c r="G247" s="2"/>
      <c r="H247" s="2"/>
      <c r="I247" s="2"/>
      <c r="J247" s="2"/>
      <c r="K247" s="2"/>
      <c r="L247" s="2"/>
      <c r="M247" s="2"/>
      <c r="N247" s="3"/>
    </row>
    <row r="248" spans="7:14" x14ac:dyDescent="0.25">
      <c r="G248" s="2"/>
      <c r="H248" s="2"/>
      <c r="I248" s="2"/>
      <c r="J248" s="2"/>
      <c r="K248" s="2"/>
      <c r="L248" s="2"/>
      <c r="M248" s="2"/>
      <c r="N248" s="3"/>
    </row>
    <row r="249" spans="7:14" x14ac:dyDescent="0.25">
      <c r="G249" s="2"/>
      <c r="H249" s="2"/>
      <c r="I249" s="2"/>
      <c r="J249" s="2"/>
      <c r="K249" s="2"/>
      <c r="L249" s="2"/>
      <c r="M249" s="2"/>
      <c r="N249" s="3"/>
    </row>
    <row r="250" spans="7:14" x14ac:dyDescent="0.25">
      <c r="G250" s="2"/>
      <c r="H250" s="2"/>
      <c r="I250" s="2"/>
      <c r="J250" s="2"/>
      <c r="K250" s="2"/>
      <c r="L250" s="2"/>
      <c r="M250" s="2"/>
      <c r="N250" s="3"/>
    </row>
    <row r="251" spans="7:14" x14ac:dyDescent="0.25">
      <c r="G251" s="2"/>
      <c r="H251" s="2"/>
      <c r="I251" s="2"/>
      <c r="J251" s="2"/>
      <c r="K251" s="2"/>
      <c r="L251" s="2"/>
      <c r="M251" s="2"/>
      <c r="N251" s="3"/>
    </row>
    <row r="252" spans="7:14" x14ac:dyDescent="0.25">
      <c r="G252" s="2"/>
      <c r="H252" s="2"/>
      <c r="I252" s="2"/>
      <c r="J252" s="2"/>
      <c r="K252" s="2"/>
      <c r="L252" s="2"/>
      <c r="M252" s="2"/>
      <c r="N252" s="3"/>
    </row>
    <row r="253" spans="7:14" x14ac:dyDescent="0.25">
      <c r="G253" s="2"/>
      <c r="H253" s="2"/>
      <c r="I253" s="2"/>
      <c r="J253" s="2"/>
      <c r="K253" s="2"/>
      <c r="L253" s="2"/>
      <c r="M253" s="2"/>
      <c r="N253" s="3"/>
    </row>
    <row r="254" spans="7:14" x14ac:dyDescent="0.25">
      <c r="G254" s="2"/>
      <c r="H254" s="2"/>
      <c r="I254" s="2"/>
      <c r="J254" s="2"/>
      <c r="K254" s="2"/>
      <c r="L254" s="2"/>
      <c r="M254" s="2"/>
      <c r="N254" s="3"/>
    </row>
    <row r="255" spans="7:14" x14ac:dyDescent="0.25">
      <c r="G255" s="2"/>
      <c r="H255" s="2"/>
      <c r="I255" s="2"/>
      <c r="J255" s="2"/>
      <c r="K255" s="2"/>
      <c r="L255" s="2"/>
      <c r="M255" s="2"/>
      <c r="N255" s="3"/>
    </row>
    <row r="256" spans="7:14" x14ac:dyDescent="0.25">
      <c r="G256" s="2"/>
      <c r="H256" s="2"/>
      <c r="I256" s="2"/>
      <c r="J256" s="2"/>
      <c r="K256" s="2"/>
      <c r="L256" s="2"/>
      <c r="M256" s="2"/>
      <c r="N256" s="3"/>
    </row>
    <row r="257" spans="7:14" x14ac:dyDescent="0.25">
      <c r="G257" s="2"/>
      <c r="H257" s="2"/>
      <c r="I257" s="2"/>
      <c r="J257" s="2"/>
      <c r="K257" s="2"/>
      <c r="L257" s="2"/>
      <c r="M257" s="2"/>
      <c r="N257" s="3"/>
    </row>
    <row r="258" spans="7:14" x14ac:dyDescent="0.25">
      <c r="G258" s="2"/>
      <c r="H258" s="2"/>
      <c r="I258" s="2"/>
      <c r="J258" s="2"/>
      <c r="K258" s="2"/>
      <c r="L258" s="2"/>
      <c r="M258" s="2"/>
      <c r="N258" s="3"/>
    </row>
    <row r="259" spans="7:14" x14ac:dyDescent="0.25">
      <c r="G259" s="2"/>
      <c r="H259" s="2"/>
      <c r="I259" s="2"/>
      <c r="J259" s="2"/>
      <c r="K259" s="2"/>
      <c r="L259" s="2"/>
      <c r="M259" s="2"/>
      <c r="N259" s="3"/>
    </row>
    <row r="260" spans="7:14" x14ac:dyDescent="0.25">
      <c r="G260" s="2"/>
      <c r="H260" s="2"/>
      <c r="I260" s="2"/>
      <c r="J260" s="2"/>
      <c r="K260" s="2"/>
      <c r="L260" s="2"/>
      <c r="M260" s="2"/>
      <c r="N260" s="3"/>
    </row>
    <row r="261" spans="7:14" x14ac:dyDescent="0.25">
      <c r="G261" s="2"/>
      <c r="H261" s="2"/>
      <c r="I261" s="2"/>
      <c r="J261" s="2"/>
      <c r="K261" s="2"/>
      <c r="L261" s="2"/>
      <c r="M261" s="2"/>
      <c r="N261" s="3"/>
    </row>
    <row r="262" spans="7:14" x14ac:dyDescent="0.25">
      <c r="G262" s="2"/>
      <c r="H262" s="2"/>
      <c r="I262" s="2"/>
      <c r="J262" s="2"/>
      <c r="K262" s="2"/>
      <c r="L262" s="2"/>
      <c r="M262" s="2"/>
      <c r="N262" s="3"/>
    </row>
    <row r="263" spans="7:14" x14ac:dyDescent="0.25">
      <c r="G263" s="2"/>
      <c r="H263" s="2"/>
      <c r="I263" s="2"/>
      <c r="J263" s="2"/>
      <c r="K263" s="2"/>
      <c r="L263" s="2"/>
      <c r="M263" s="2"/>
      <c r="N263" s="3"/>
    </row>
    <row r="264" spans="7:14" x14ac:dyDescent="0.25">
      <c r="G264" s="2"/>
      <c r="H264" s="2"/>
      <c r="I264" s="2"/>
      <c r="J264" s="2"/>
      <c r="K264" s="2"/>
      <c r="L264" s="2"/>
      <c r="M264" s="2"/>
      <c r="N264" s="3"/>
    </row>
    <row r="265" spans="7:14" x14ac:dyDescent="0.25">
      <c r="G265" s="2"/>
      <c r="H265" s="2"/>
      <c r="I265" s="2"/>
      <c r="J265" s="2"/>
      <c r="K265" s="2"/>
      <c r="L265" s="2"/>
      <c r="M265" s="2"/>
      <c r="N265" s="3"/>
    </row>
    <row r="266" spans="7:14" x14ac:dyDescent="0.25">
      <c r="G266" s="2"/>
      <c r="H266" s="2"/>
      <c r="I266" s="2"/>
      <c r="J266" s="2"/>
      <c r="K266" s="2"/>
      <c r="L266" s="2"/>
      <c r="M266" s="2"/>
      <c r="N266" s="3"/>
    </row>
    <row r="267" spans="7:14" x14ac:dyDescent="0.25">
      <c r="G267" s="2"/>
      <c r="H267" s="2"/>
      <c r="I267" s="2"/>
      <c r="J267" s="2"/>
      <c r="K267" s="2"/>
      <c r="L267" s="2"/>
      <c r="M267" s="2"/>
      <c r="N267" s="3"/>
    </row>
    <row r="268" spans="7:14" x14ac:dyDescent="0.25">
      <c r="G268" s="2"/>
      <c r="H268" s="2"/>
      <c r="I268" s="2"/>
      <c r="J268" s="2"/>
      <c r="K268" s="2"/>
      <c r="L268" s="2"/>
      <c r="M268" s="2"/>
      <c r="N268" s="3"/>
    </row>
    <row r="269" spans="7:14" x14ac:dyDescent="0.25">
      <c r="G269" s="2"/>
      <c r="H269" s="2"/>
      <c r="I269" s="2"/>
      <c r="J269" s="2"/>
      <c r="K269" s="2"/>
      <c r="L269" s="2"/>
      <c r="M269" s="2"/>
      <c r="N269" s="3"/>
    </row>
    <row r="270" spans="7:14" x14ac:dyDescent="0.25">
      <c r="G270" s="2"/>
      <c r="H270" s="2"/>
      <c r="I270" s="2"/>
      <c r="J270" s="2"/>
      <c r="K270" s="2"/>
      <c r="L270" s="2"/>
      <c r="M270" s="2"/>
      <c r="N270" s="3"/>
    </row>
    <row r="271" spans="7:14" x14ac:dyDescent="0.25">
      <c r="G271" s="2"/>
      <c r="H271" s="2"/>
      <c r="I271" s="2"/>
      <c r="J271" s="2"/>
      <c r="K271" s="2"/>
      <c r="L271" s="2"/>
      <c r="M271" s="2"/>
      <c r="N271" s="3"/>
    </row>
    <row r="272" spans="7:14" x14ac:dyDescent="0.25">
      <c r="G272" s="2"/>
      <c r="H272" s="2"/>
      <c r="I272" s="2"/>
      <c r="J272" s="2"/>
      <c r="K272" s="2"/>
      <c r="L272" s="2"/>
      <c r="M272" s="2"/>
      <c r="N272" s="3"/>
    </row>
    <row r="273" spans="7:14" x14ac:dyDescent="0.25">
      <c r="G273" s="2"/>
      <c r="H273" s="2"/>
      <c r="I273" s="2"/>
      <c r="J273" s="2"/>
      <c r="K273" s="2"/>
      <c r="L273" s="2"/>
      <c r="M273" s="2"/>
      <c r="N273" s="3"/>
    </row>
    <row r="274" spans="7:14" x14ac:dyDescent="0.25">
      <c r="G274" s="2"/>
      <c r="H274" s="2"/>
      <c r="I274" s="2"/>
      <c r="J274" s="2"/>
      <c r="K274" s="2"/>
      <c r="L274" s="2"/>
      <c r="M274" s="2"/>
      <c r="N274" s="3"/>
    </row>
    <row r="275" spans="7:14" x14ac:dyDescent="0.25">
      <c r="G275" s="2"/>
      <c r="H275" s="2"/>
      <c r="I275" s="2"/>
      <c r="J275" s="2"/>
      <c r="K275" s="2"/>
      <c r="L275" s="2"/>
      <c r="M275" s="2"/>
      <c r="N275" s="3"/>
    </row>
    <row r="276" spans="7:14" x14ac:dyDescent="0.25">
      <c r="G276" s="2"/>
      <c r="H276" s="2"/>
      <c r="I276" s="2"/>
      <c r="J276" s="2"/>
      <c r="K276" s="2"/>
      <c r="L276" s="2"/>
      <c r="M276" s="2"/>
      <c r="N276" s="3"/>
    </row>
    <row r="277" spans="7:14" x14ac:dyDescent="0.25">
      <c r="G277" s="2"/>
      <c r="H277" s="2"/>
      <c r="I277" s="2"/>
      <c r="J277" s="2"/>
      <c r="K277" s="2"/>
      <c r="L277" s="2"/>
      <c r="M277" s="2"/>
      <c r="N277" s="3"/>
    </row>
    <row r="278" spans="7:14" x14ac:dyDescent="0.25">
      <c r="G278" s="2"/>
      <c r="H278" s="2"/>
      <c r="I278" s="2"/>
      <c r="J278" s="2"/>
      <c r="K278" s="2"/>
      <c r="L278" s="2"/>
      <c r="M278" s="2"/>
      <c r="N278" s="3"/>
    </row>
    <row r="279" spans="7:14" x14ac:dyDescent="0.25">
      <c r="G279" s="2"/>
      <c r="H279" s="2"/>
      <c r="I279" s="2"/>
      <c r="J279" s="2"/>
      <c r="K279" s="2"/>
      <c r="L279" s="2"/>
      <c r="M279" s="2"/>
      <c r="N279" s="3"/>
    </row>
    <row r="280" spans="7:14" x14ac:dyDescent="0.25">
      <c r="G280" s="2"/>
      <c r="H280" s="2"/>
      <c r="I280" s="2"/>
      <c r="J280" s="2"/>
      <c r="K280" s="2"/>
      <c r="L280" s="2"/>
      <c r="M280" s="2"/>
      <c r="N280" s="3"/>
    </row>
    <row r="281" spans="7:14" x14ac:dyDescent="0.25">
      <c r="G281" s="2"/>
      <c r="H281" s="2"/>
      <c r="I281" s="2"/>
      <c r="J281" s="2"/>
      <c r="K281" s="2"/>
      <c r="L281" s="2"/>
      <c r="M281" s="2"/>
      <c r="N281" s="3"/>
    </row>
    <row r="282" spans="7:14" x14ac:dyDescent="0.25">
      <c r="G282" s="2"/>
      <c r="H282" s="2"/>
      <c r="I282" s="2"/>
      <c r="J282" s="2"/>
      <c r="K282" s="2"/>
      <c r="L282" s="2"/>
      <c r="M282" s="2"/>
      <c r="N282" s="3"/>
    </row>
    <row r="283" spans="7:14" x14ac:dyDescent="0.25">
      <c r="G283" s="2"/>
      <c r="H283" s="2"/>
      <c r="I283" s="2"/>
      <c r="J283" s="2"/>
      <c r="K283" s="2"/>
      <c r="L283" s="2"/>
      <c r="M283" s="2"/>
      <c r="N283" s="3"/>
    </row>
    <row r="284" spans="7:14" x14ac:dyDescent="0.25">
      <c r="G284" s="2"/>
      <c r="H284" s="2"/>
      <c r="I284" s="2"/>
      <c r="J284" s="2"/>
      <c r="K284" s="2"/>
      <c r="L284" s="2"/>
      <c r="M284" s="2"/>
      <c r="N284" s="3"/>
    </row>
    <row r="285" spans="7:14" x14ac:dyDescent="0.25">
      <c r="G285" s="2"/>
      <c r="H285" s="2"/>
      <c r="I285" s="2"/>
      <c r="J285" s="2"/>
      <c r="K285" s="2"/>
      <c r="L285" s="2"/>
      <c r="M285" s="2"/>
      <c r="N285" s="3"/>
    </row>
    <row r="286" spans="7:14" x14ac:dyDescent="0.25">
      <c r="G286" s="2"/>
      <c r="H286" s="2"/>
      <c r="I286" s="2"/>
      <c r="J286" s="2"/>
      <c r="K286" s="2"/>
      <c r="L286" s="2"/>
      <c r="M286" s="2"/>
      <c r="N286" s="3"/>
    </row>
    <row r="287" spans="7:14" x14ac:dyDescent="0.25">
      <c r="G287" s="2"/>
      <c r="H287" s="2"/>
      <c r="I287" s="2"/>
      <c r="J287" s="2"/>
      <c r="K287" s="2"/>
      <c r="L287" s="2"/>
      <c r="M287" s="2"/>
      <c r="N287" s="3"/>
    </row>
    <row r="288" spans="7:14" x14ac:dyDescent="0.25">
      <c r="G288" s="2"/>
      <c r="H288" s="2"/>
      <c r="I288" s="2"/>
      <c r="J288" s="2"/>
      <c r="K288" s="2"/>
      <c r="L288" s="2"/>
      <c r="M288" s="2"/>
      <c r="N288" s="3"/>
    </row>
    <row r="289" spans="7:14" x14ac:dyDescent="0.25">
      <c r="G289" s="2"/>
      <c r="H289" s="2"/>
      <c r="I289" s="2"/>
      <c r="J289" s="2"/>
      <c r="K289" s="2"/>
      <c r="L289" s="2"/>
      <c r="M289" s="2"/>
      <c r="N289" s="3"/>
    </row>
    <row r="290" spans="7:14" x14ac:dyDescent="0.25">
      <c r="G290" s="2"/>
      <c r="H290" s="2"/>
      <c r="I290" s="2"/>
      <c r="J290" s="2"/>
      <c r="K290" s="2"/>
      <c r="L290" s="2"/>
      <c r="M290" s="2"/>
      <c r="N290" s="3"/>
    </row>
    <row r="291" spans="7:14" x14ac:dyDescent="0.25">
      <c r="G291" s="2"/>
      <c r="H291" s="2"/>
      <c r="I291" s="2"/>
      <c r="J291" s="2"/>
      <c r="K291" s="2"/>
      <c r="L291" s="2"/>
      <c r="M291" s="2"/>
      <c r="N291" s="3"/>
    </row>
    <row r="292" spans="7:14" x14ac:dyDescent="0.25">
      <c r="G292" s="2"/>
      <c r="H292" s="2"/>
      <c r="I292" s="2"/>
      <c r="J292" s="2"/>
      <c r="K292" s="2"/>
      <c r="L292" s="2"/>
      <c r="M292" s="2"/>
      <c r="N292" s="3"/>
    </row>
    <row r="293" spans="7:14" x14ac:dyDescent="0.25">
      <c r="G293" s="2"/>
      <c r="H293" s="2"/>
      <c r="I293" s="2"/>
      <c r="J293" s="2"/>
      <c r="K293" s="2"/>
      <c r="L293" s="2"/>
      <c r="M293" s="2"/>
      <c r="N293" s="3"/>
    </row>
    <row r="294" spans="7:14" x14ac:dyDescent="0.25">
      <c r="G294" s="2"/>
      <c r="H294" s="2"/>
      <c r="I294" s="2"/>
      <c r="J294" s="2"/>
      <c r="K294" s="2"/>
      <c r="L294" s="2"/>
      <c r="M294" s="2"/>
      <c r="N294" s="3"/>
    </row>
    <row r="295" spans="7:14" x14ac:dyDescent="0.25">
      <c r="G295" s="2"/>
      <c r="H295" s="2"/>
      <c r="I295" s="2"/>
      <c r="J295" s="2"/>
      <c r="K295" s="2"/>
      <c r="L295" s="2"/>
      <c r="M295" s="2"/>
      <c r="N295" s="3"/>
    </row>
    <row r="296" spans="7:14" x14ac:dyDescent="0.25">
      <c r="G296" s="2"/>
      <c r="H296" s="2"/>
      <c r="I296" s="2"/>
      <c r="J296" s="2"/>
      <c r="K296" s="2"/>
      <c r="L296" s="2"/>
      <c r="M296" s="2"/>
      <c r="N296" s="3"/>
    </row>
    <row r="297" spans="7:14" x14ac:dyDescent="0.25">
      <c r="G297" s="2"/>
      <c r="H297" s="2"/>
      <c r="I297" s="2"/>
      <c r="J297" s="2"/>
      <c r="K297" s="2"/>
      <c r="L297" s="2"/>
      <c r="M297" s="2"/>
      <c r="N297" s="3"/>
    </row>
    <row r="298" spans="7:14" x14ac:dyDescent="0.25">
      <c r="G298" s="2"/>
      <c r="H298" s="2"/>
      <c r="I298" s="2"/>
      <c r="J298" s="2"/>
      <c r="K298" s="2"/>
      <c r="L298" s="2"/>
      <c r="M298" s="2"/>
      <c r="N298" s="3"/>
    </row>
    <row r="299" spans="7:14" x14ac:dyDescent="0.25">
      <c r="G299" s="2"/>
      <c r="H299" s="2"/>
      <c r="I299" s="2"/>
      <c r="J299" s="2"/>
      <c r="K299" s="2"/>
      <c r="L299" s="2"/>
      <c r="M299" s="2"/>
      <c r="N299" s="3"/>
    </row>
    <row r="300" spans="7:14" x14ac:dyDescent="0.25">
      <c r="G300" s="2"/>
      <c r="H300" s="2"/>
      <c r="I300" s="2"/>
      <c r="J300" s="2"/>
      <c r="K300" s="2"/>
      <c r="L300" s="2"/>
      <c r="M300" s="2"/>
      <c r="N300" s="3"/>
    </row>
    <row r="301" spans="7:14" x14ac:dyDescent="0.25">
      <c r="G301" s="2"/>
      <c r="H301" s="2"/>
      <c r="I301" s="2"/>
      <c r="J301" s="2"/>
      <c r="K301" s="2"/>
      <c r="L301" s="2"/>
      <c r="M301" s="2"/>
      <c r="N301" s="3"/>
    </row>
    <row r="302" spans="7:14" x14ac:dyDescent="0.25">
      <c r="G302" s="2"/>
      <c r="H302" s="2"/>
      <c r="I302" s="2"/>
      <c r="J302" s="2"/>
      <c r="K302" s="2"/>
      <c r="L302" s="2"/>
      <c r="M302" s="2"/>
      <c r="N302" s="3"/>
    </row>
    <row r="303" spans="7:14" x14ac:dyDescent="0.25">
      <c r="G303" s="2"/>
      <c r="H303" s="2"/>
      <c r="I303" s="2"/>
      <c r="J303" s="2"/>
      <c r="K303" s="2"/>
      <c r="L303" s="2"/>
      <c r="M303" s="2"/>
      <c r="N303" s="3"/>
    </row>
    <row r="304" spans="7:14" x14ac:dyDescent="0.25">
      <c r="G304" s="2"/>
      <c r="H304" s="2"/>
      <c r="I304" s="2"/>
      <c r="J304" s="2"/>
      <c r="K304" s="2"/>
      <c r="L304" s="2"/>
      <c r="M304" s="2"/>
      <c r="N304" s="3"/>
    </row>
    <row r="305" spans="7:14" x14ac:dyDescent="0.25">
      <c r="G305" s="2"/>
      <c r="H305" s="2"/>
      <c r="I305" s="2"/>
      <c r="J305" s="2"/>
      <c r="K305" s="2"/>
      <c r="L305" s="2"/>
      <c r="M305" s="2"/>
      <c r="N305" s="3"/>
    </row>
    <row r="306" spans="7:14" x14ac:dyDescent="0.25">
      <c r="G306" s="2"/>
      <c r="H306" s="2"/>
      <c r="I306" s="2"/>
      <c r="J306" s="2"/>
      <c r="K306" s="2"/>
      <c r="L306" s="2"/>
      <c r="M306" s="2"/>
      <c r="N306" s="3"/>
    </row>
    <row r="307" spans="7:14" x14ac:dyDescent="0.25">
      <c r="G307" s="2"/>
      <c r="H307" s="2"/>
      <c r="I307" s="2"/>
      <c r="J307" s="2"/>
      <c r="K307" s="2"/>
      <c r="L307" s="2"/>
      <c r="M307" s="2"/>
      <c r="N307" s="3"/>
    </row>
    <row r="308" spans="7:14" x14ac:dyDescent="0.25">
      <c r="G308" s="2"/>
      <c r="H308" s="2"/>
      <c r="I308" s="2"/>
      <c r="J308" s="2"/>
      <c r="K308" s="2"/>
      <c r="L308" s="2"/>
      <c r="M308" s="2"/>
      <c r="N308" s="3"/>
    </row>
    <row r="309" spans="7:14" x14ac:dyDescent="0.25">
      <c r="G309" s="2"/>
      <c r="H309" s="2"/>
      <c r="I309" s="2"/>
      <c r="J309" s="2"/>
      <c r="K309" s="2"/>
      <c r="L309" s="2"/>
      <c r="M309" s="2"/>
      <c r="N309" s="3"/>
    </row>
    <row r="310" spans="7:14" x14ac:dyDescent="0.25">
      <c r="G310" s="2"/>
      <c r="H310" s="2"/>
      <c r="I310" s="2"/>
      <c r="J310" s="2"/>
      <c r="K310" s="2"/>
      <c r="L310" s="2"/>
      <c r="M310" s="2"/>
      <c r="N310" s="3"/>
    </row>
    <row r="311" spans="7:14" x14ac:dyDescent="0.25">
      <c r="G311" s="2"/>
      <c r="H311" s="2"/>
      <c r="I311" s="2"/>
      <c r="J311" s="2"/>
      <c r="K311" s="2"/>
      <c r="L311" s="2"/>
      <c r="M311" s="2"/>
      <c r="N311" s="3"/>
    </row>
    <row r="312" spans="7:14" x14ac:dyDescent="0.25">
      <c r="G312" s="2"/>
      <c r="H312" s="2"/>
      <c r="I312" s="2"/>
      <c r="J312" s="2"/>
      <c r="K312" s="2"/>
      <c r="L312" s="2"/>
      <c r="M312" s="2"/>
      <c r="N312" s="3"/>
    </row>
    <row r="313" spans="7:14" x14ac:dyDescent="0.25">
      <c r="G313" s="2"/>
      <c r="H313" s="2"/>
      <c r="I313" s="2"/>
      <c r="J313" s="2"/>
      <c r="K313" s="2"/>
      <c r="L313" s="2"/>
      <c r="M313" s="2"/>
      <c r="N313" s="3"/>
    </row>
    <row r="314" spans="7:14" x14ac:dyDescent="0.25">
      <c r="G314" s="2"/>
      <c r="H314" s="2"/>
      <c r="I314" s="2"/>
      <c r="J314" s="2"/>
      <c r="K314" s="2"/>
      <c r="L314" s="2"/>
      <c r="M314" s="2"/>
      <c r="N314" s="3"/>
    </row>
    <row r="315" spans="7:14" x14ac:dyDescent="0.25">
      <c r="G315" s="2"/>
      <c r="H315" s="2"/>
      <c r="I315" s="2"/>
      <c r="J315" s="2"/>
      <c r="K315" s="2"/>
      <c r="L315" s="2"/>
      <c r="M315" s="2"/>
      <c r="N315" s="3"/>
    </row>
    <row r="316" spans="7:14" x14ac:dyDescent="0.25">
      <c r="G316" s="2"/>
      <c r="H316" s="2"/>
      <c r="I316" s="2"/>
      <c r="J316" s="2"/>
      <c r="K316" s="2"/>
      <c r="L316" s="2"/>
      <c r="M316" s="2"/>
      <c r="N316" s="3"/>
    </row>
    <row r="317" spans="7:14" x14ac:dyDescent="0.25">
      <c r="G317" s="2"/>
      <c r="H317" s="2"/>
      <c r="I317" s="2"/>
      <c r="J317" s="2"/>
      <c r="K317" s="2"/>
      <c r="L317" s="2"/>
      <c r="M317" s="2"/>
      <c r="N317" s="3"/>
    </row>
    <row r="318" spans="7:14" x14ac:dyDescent="0.25">
      <c r="G318" s="2"/>
      <c r="H318" s="2"/>
      <c r="I318" s="2"/>
      <c r="J318" s="2"/>
      <c r="K318" s="2"/>
      <c r="L318" s="2"/>
      <c r="M318" s="2"/>
      <c r="N318" s="3"/>
    </row>
    <row r="319" spans="7:14" x14ac:dyDescent="0.25">
      <c r="G319" s="2"/>
      <c r="H319" s="2"/>
      <c r="I319" s="2"/>
      <c r="J319" s="2"/>
      <c r="K319" s="2"/>
      <c r="L319" s="2"/>
      <c r="M319" s="2"/>
      <c r="N319" s="3"/>
    </row>
    <row r="320" spans="7:14" x14ac:dyDescent="0.25">
      <c r="G320" s="2"/>
      <c r="H320" s="2"/>
      <c r="I320" s="2"/>
      <c r="J320" s="2"/>
      <c r="K320" s="2"/>
      <c r="L320" s="2"/>
      <c r="M320" s="2"/>
      <c r="N320" s="3"/>
    </row>
    <row r="321" spans="7:14" x14ac:dyDescent="0.25">
      <c r="G321" s="2"/>
      <c r="H321" s="2"/>
      <c r="I321" s="2"/>
      <c r="J321" s="2"/>
      <c r="K321" s="2"/>
      <c r="L321" s="2"/>
      <c r="M321" s="2"/>
      <c r="N321" s="3"/>
    </row>
    <row r="322" spans="7:14" x14ac:dyDescent="0.25">
      <c r="G322" s="2"/>
      <c r="H322" s="2"/>
      <c r="I322" s="2"/>
      <c r="J322" s="2"/>
      <c r="K322" s="2"/>
      <c r="L322" s="2"/>
      <c r="M322" s="2"/>
      <c r="N322" s="3"/>
    </row>
    <row r="323" spans="7:14" x14ac:dyDescent="0.25">
      <c r="G323" s="2"/>
      <c r="H323" s="2"/>
      <c r="I323" s="2"/>
      <c r="J323" s="2"/>
      <c r="K323" s="2"/>
      <c r="L323" s="2"/>
      <c r="M323" s="2"/>
      <c r="N323" s="3"/>
    </row>
    <row r="324" spans="7:14" x14ac:dyDescent="0.25">
      <c r="G324" s="2"/>
      <c r="H324" s="2"/>
      <c r="I324" s="2"/>
      <c r="J324" s="2"/>
      <c r="K324" s="2"/>
      <c r="L324" s="2"/>
      <c r="M324" s="2"/>
      <c r="N324" s="3"/>
    </row>
    <row r="325" spans="7:14" x14ac:dyDescent="0.25">
      <c r="G325" s="2"/>
      <c r="H325" s="2"/>
      <c r="I325" s="2"/>
      <c r="J325" s="2"/>
      <c r="K325" s="2"/>
      <c r="L325" s="2"/>
      <c r="M325" s="2"/>
      <c r="N325" s="3"/>
    </row>
    <row r="326" spans="7:14" x14ac:dyDescent="0.25">
      <c r="G326" s="2"/>
      <c r="H326" s="2"/>
      <c r="I326" s="2"/>
      <c r="J326" s="2"/>
      <c r="K326" s="2"/>
      <c r="L326" s="2"/>
      <c r="M326" s="2"/>
      <c r="N326" s="3"/>
    </row>
    <row r="327" spans="7:14" x14ac:dyDescent="0.25">
      <c r="G327" s="2"/>
      <c r="H327" s="2"/>
      <c r="I327" s="2"/>
      <c r="J327" s="2"/>
      <c r="K327" s="2"/>
      <c r="L327" s="2"/>
      <c r="M327" s="2"/>
      <c r="N327" s="3"/>
    </row>
    <row r="328" spans="7:14" x14ac:dyDescent="0.25">
      <c r="G328" s="2"/>
      <c r="H328" s="2"/>
      <c r="I328" s="2"/>
      <c r="J328" s="2"/>
      <c r="K328" s="2"/>
      <c r="L328" s="2"/>
      <c r="M328" s="2"/>
      <c r="N328" s="3"/>
    </row>
    <row r="329" spans="7:14" x14ac:dyDescent="0.25">
      <c r="G329" s="2"/>
      <c r="H329" s="2"/>
      <c r="I329" s="2"/>
      <c r="J329" s="2"/>
      <c r="K329" s="2"/>
      <c r="L329" s="2"/>
      <c r="M329" s="2"/>
      <c r="N329" s="3"/>
    </row>
    <row r="330" spans="7:14" x14ac:dyDescent="0.25">
      <c r="G330" s="2"/>
      <c r="H330" s="2"/>
      <c r="I330" s="2"/>
      <c r="J330" s="2"/>
      <c r="K330" s="2"/>
      <c r="L330" s="2"/>
      <c r="M330" s="2"/>
      <c r="N330" s="3"/>
    </row>
    <row r="331" spans="7:14" x14ac:dyDescent="0.25">
      <c r="G331" s="2"/>
      <c r="H331" s="2"/>
      <c r="I331" s="2"/>
      <c r="J331" s="2"/>
      <c r="K331" s="2"/>
      <c r="L331" s="2"/>
      <c r="M331" s="2"/>
      <c r="N331" s="3"/>
    </row>
    <row r="332" spans="7:14" x14ac:dyDescent="0.25">
      <c r="G332" s="2"/>
      <c r="H332" s="2"/>
      <c r="I332" s="2"/>
      <c r="J332" s="2"/>
      <c r="K332" s="2"/>
      <c r="L332" s="2"/>
      <c r="M332" s="2"/>
      <c r="N332" s="3"/>
    </row>
    <row r="333" spans="7:14" x14ac:dyDescent="0.25">
      <c r="G333" s="2"/>
      <c r="H333" s="2"/>
      <c r="I333" s="2"/>
      <c r="J333" s="2"/>
      <c r="K333" s="2"/>
      <c r="L333" s="2"/>
      <c r="M333" s="2"/>
      <c r="N333" s="3"/>
    </row>
    <row r="334" spans="7:14" x14ac:dyDescent="0.25">
      <c r="G334" s="2"/>
      <c r="H334" s="2"/>
      <c r="I334" s="2"/>
      <c r="J334" s="2"/>
      <c r="K334" s="2"/>
      <c r="L334" s="2"/>
      <c r="M334" s="2"/>
      <c r="N334" s="3"/>
    </row>
    <row r="335" spans="7:14" x14ac:dyDescent="0.25">
      <c r="G335" s="2"/>
      <c r="H335" s="2"/>
      <c r="I335" s="2"/>
      <c r="J335" s="2"/>
      <c r="K335" s="2"/>
      <c r="L335" s="2"/>
      <c r="M335" s="2"/>
      <c r="N335" s="3"/>
    </row>
    <row r="336" spans="7:14" x14ac:dyDescent="0.25">
      <c r="G336" s="2"/>
      <c r="H336" s="2"/>
      <c r="I336" s="2"/>
      <c r="J336" s="2"/>
      <c r="K336" s="2"/>
      <c r="L336" s="2"/>
      <c r="M336" s="2"/>
      <c r="N336" s="3"/>
    </row>
    <row r="337" spans="7:14" x14ac:dyDescent="0.25">
      <c r="G337" s="2"/>
      <c r="H337" s="2"/>
      <c r="I337" s="2"/>
      <c r="J337" s="2"/>
      <c r="K337" s="2"/>
      <c r="L337" s="2"/>
      <c r="M337" s="2"/>
      <c r="N337" s="3"/>
    </row>
    <row r="338" spans="7:14" x14ac:dyDescent="0.25">
      <c r="G338" s="2"/>
      <c r="H338" s="2"/>
      <c r="I338" s="2"/>
      <c r="J338" s="2"/>
      <c r="K338" s="2"/>
      <c r="L338" s="2"/>
      <c r="M338" s="2"/>
      <c r="N338" s="3"/>
    </row>
    <row r="339" spans="7:14" x14ac:dyDescent="0.25">
      <c r="G339" s="2"/>
      <c r="H339" s="2"/>
      <c r="I339" s="2"/>
      <c r="J339" s="2"/>
      <c r="K339" s="2"/>
      <c r="L339" s="2"/>
      <c r="M339" s="2"/>
      <c r="N339" s="3"/>
    </row>
    <row r="340" spans="7:14" x14ac:dyDescent="0.25">
      <c r="G340" s="2"/>
      <c r="H340" s="2"/>
      <c r="I340" s="2"/>
      <c r="J340" s="2"/>
      <c r="K340" s="2"/>
      <c r="L340" s="2"/>
      <c r="M340" s="2"/>
      <c r="N340" s="3"/>
    </row>
    <row r="341" spans="7:14" x14ac:dyDescent="0.25">
      <c r="G341" s="2"/>
      <c r="H341" s="2"/>
      <c r="I341" s="2"/>
      <c r="J341" s="2"/>
      <c r="K341" s="2"/>
      <c r="L341" s="2"/>
      <c r="M341" s="2"/>
      <c r="N341" s="3"/>
    </row>
    <row r="342" spans="7:14" x14ac:dyDescent="0.25">
      <c r="G342" s="2"/>
      <c r="H342" s="2"/>
      <c r="I342" s="2"/>
      <c r="J342" s="2"/>
      <c r="K342" s="2"/>
      <c r="L342" s="2"/>
      <c r="M342" s="2"/>
      <c r="N342" s="3"/>
    </row>
    <row r="343" spans="7:14" x14ac:dyDescent="0.25">
      <c r="G343" s="2"/>
      <c r="H343" s="2"/>
      <c r="I343" s="2"/>
      <c r="J343" s="2"/>
      <c r="K343" s="2"/>
      <c r="L343" s="2"/>
      <c r="M343" s="2"/>
      <c r="N343" s="3"/>
    </row>
    <row r="344" spans="7:14" x14ac:dyDescent="0.25">
      <c r="G344" s="2"/>
      <c r="H344" s="2"/>
      <c r="I344" s="2"/>
      <c r="J344" s="2"/>
      <c r="K344" s="2"/>
      <c r="L344" s="2"/>
      <c r="M344" s="2"/>
      <c r="N344" s="3"/>
    </row>
    <row r="345" spans="7:14" x14ac:dyDescent="0.25">
      <c r="G345" s="2"/>
      <c r="H345" s="2"/>
      <c r="I345" s="2"/>
      <c r="J345" s="2"/>
      <c r="K345" s="2"/>
      <c r="L345" s="2"/>
      <c r="M345" s="2"/>
      <c r="N345" s="3"/>
    </row>
    <row r="346" spans="7:14" x14ac:dyDescent="0.25">
      <c r="G346" s="2"/>
      <c r="H346" s="2"/>
      <c r="I346" s="2"/>
      <c r="J346" s="2"/>
      <c r="K346" s="2"/>
      <c r="L346" s="2"/>
      <c r="M346" s="2"/>
      <c r="N346" s="3"/>
    </row>
    <row r="347" spans="7:14" x14ac:dyDescent="0.25">
      <c r="G347" s="2"/>
      <c r="H347" s="2"/>
      <c r="I347" s="2"/>
      <c r="J347" s="2"/>
      <c r="K347" s="2"/>
      <c r="L347" s="2"/>
      <c r="M347" s="2"/>
      <c r="N347" s="3"/>
    </row>
    <row r="348" spans="7:14" x14ac:dyDescent="0.25">
      <c r="G348" s="2"/>
      <c r="H348" s="2"/>
      <c r="I348" s="2"/>
      <c r="J348" s="2"/>
      <c r="K348" s="2"/>
      <c r="L348" s="2"/>
      <c r="M348" s="2"/>
      <c r="N348" s="3"/>
    </row>
    <row r="349" spans="7:14" x14ac:dyDescent="0.25">
      <c r="G349" s="2"/>
      <c r="H349" s="2"/>
      <c r="I349" s="2"/>
      <c r="J349" s="2"/>
      <c r="K349" s="2"/>
      <c r="L349" s="2"/>
      <c r="M349" s="2"/>
      <c r="N349" s="3"/>
    </row>
    <row r="350" spans="7:14" x14ac:dyDescent="0.25">
      <c r="G350" s="2"/>
      <c r="H350" s="2"/>
      <c r="I350" s="2"/>
      <c r="J350" s="2"/>
      <c r="K350" s="2"/>
      <c r="L350" s="2"/>
      <c r="M350" s="2"/>
      <c r="N350" s="3"/>
    </row>
    <row r="351" spans="7:14" x14ac:dyDescent="0.25">
      <c r="G351" s="2"/>
      <c r="H351" s="2"/>
      <c r="I351" s="2"/>
      <c r="J351" s="2"/>
      <c r="K351" s="2"/>
      <c r="L351" s="2"/>
      <c r="M351" s="2"/>
      <c r="N351" s="3"/>
    </row>
    <row r="352" spans="7:14" x14ac:dyDescent="0.25">
      <c r="G352" s="2"/>
      <c r="H352" s="2"/>
      <c r="I352" s="2"/>
      <c r="J352" s="2"/>
      <c r="K352" s="2"/>
      <c r="L352" s="2"/>
      <c r="M352" s="2"/>
      <c r="N352" s="3"/>
    </row>
    <row r="353" spans="7:14" x14ac:dyDescent="0.25">
      <c r="G353" s="2"/>
      <c r="H353" s="2"/>
      <c r="I353" s="2"/>
      <c r="J353" s="2"/>
      <c r="K353" s="2"/>
      <c r="L353" s="2"/>
      <c r="M353" s="2"/>
      <c r="N353" s="3"/>
    </row>
    <row r="354" spans="7:14" x14ac:dyDescent="0.25">
      <c r="G354" s="2"/>
      <c r="H354" s="2"/>
      <c r="I354" s="2"/>
      <c r="J354" s="2"/>
      <c r="K354" s="2"/>
      <c r="L354" s="2"/>
      <c r="M354" s="2"/>
      <c r="N354" s="3"/>
    </row>
    <row r="355" spans="7:14" x14ac:dyDescent="0.25">
      <c r="G355" s="2"/>
      <c r="H355" s="2"/>
      <c r="I355" s="2"/>
      <c r="J355" s="2"/>
      <c r="K355" s="2"/>
      <c r="L355" s="2"/>
      <c r="M355" s="2"/>
      <c r="N355" s="3"/>
    </row>
    <row r="356" spans="7:14" x14ac:dyDescent="0.25">
      <c r="G356" s="2"/>
      <c r="H356" s="2"/>
      <c r="I356" s="2"/>
      <c r="J356" s="2"/>
      <c r="K356" s="2"/>
      <c r="L356" s="2"/>
      <c r="M356" s="2"/>
      <c r="N356" s="3"/>
    </row>
    <row r="357" spans="7:14" x14ac:dyDescent="0.25">
      <c r="G357" s="2"/>
      <c r="H357" s="2"/>
      <c r="I357" s="2"/>
      <c r="J357" s="2"/>
      <c r="K357" s="2"/>
      <c r="L357" s="2"/>
      <c r="M357" s="2"/>
      <c r="N357" s="3"/>
    </row>
    <row r="358" spans="7:14" x14ac:dyDescent="0.25">
      <c r="G358" s="2"/>
      <c r="H358" s="2"/>
      <c r="I358" s="2"/>
      <c r="J358" s="2"/>
      <c r="K358" s="2"/>
      <c r="L358" s="2"/>
      <c r="M358" s="2"/>
      <c r="N358" s="3"/>
    </row>
    <row r="359" spans="7:14" x14ac:dyDescent="0.25">
      <c r="G359" s="2"/>
      <c r="H359" s="2"/>
      <c r="I359" s="2"/>
      <c r="J359" s="2"/>
      <c r="K359" s="2"/>
      <c r="L359" s="2"/>
      <c r="M359" s="2"/>
      <c r="N359" s="3"/>
    </row>
    <row r="360" spans="7:14" x14ac:dyDescent="0.25">
      <c r="G360" s="2"/>
      <c r="H360" s="2"/>
      <c r="I360" s="2"/>
      <c r="J360" s="2"/>
      <c r="K360" s="2"/>
      <c r="L360" s="2"/>
      <c r="M360" s="2"/>
      <c r="N360" s="3"/>
    </row>
    <row r="361" spans="7:14" x14ac:dyDescent="0.25">
      <c r="G361" s="2"/>
      <c r="H361" s="2"/>
      <c r="I361" s="2"/>
      <c r="J361" s="2"/>
      <c r="K361" s="2"/>
      <c r="L361" s="2"/>
      <c r="M361" s="2"/>
      <c r="N361" s="3"/>
    </row>
    <row r="362" spans="7:14" x14ac:dyDescent="0.25">
      <c r="G362" s="2"/>
      <c r="H362" s="2"/>
      <c r="I362" s="2"/>
      <c r="J362" s="2"/>
      <c r="K362" s="2"/>
      <c r="L362" s="2"/>
      <c r="M362" s="2"/>
      <c r="N362" s="3"/>
    </row>
  </sheetData>
  <mergeCells count="1">
    <mergeCell ref="P2:U2"/>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showGridLines="0" workbookViewId="0"/>
  </sheetViews>
  <sheetFormatPr defaultRowHeight="15" x14ac:dyDescent="0.25"/>
  <cols>
    <col min="2" max="4" width="12.140625" bestFit="1" customWidth="1"/>
  </cols>
  <sheetData>
    <row r="1" spans="1:7" x14ac:dyDescent="0.25">
      <c r="A1" s="5" t="s">
        <v>37</v>
      </c>
      <c r="B1" s="5"/>
      <c r="E1" s="5"/>
    </row>
    <row r="2" spans="1:7" x14ac:dyDescent="0.25">
      <c r="A2" s="55" t="s">
        <v>36</v>
      </c>
      <c r="B2" s="55" t="s">
        <v>34</v>
      </c>
      <c r="C2" s="55" t="s">
        <v>52</v>
      </c>
      <c r="D2" s="55" t="s">
        <v>35</v>
      </c>
      <c r="E2" s="5"/>
      <c r="F2" s="5"/>
      <c r="G2" s="5"/>
    </row>
    <row r="3" spans="1:7" x14ac:dyDescent="0.25">
      <c r="A3" s="46">
        <v>1</v>
      </c>
      <c r="B3" s="48">
        <f>SUMIF('Base Scenario'!A3:A122,Graph!$A3,'Base Scenario'!N3:N122)</f>
        <v>1254105</v>
      </c>
      <c r="C3" s="48">
        <f>SUMIF('Scenario 1'!A3:A122,Graph!$A3,'Scenario 1'!N3:N122)</f>
        <v>1276462.5</v>
      </c>
      <c r="D3" s="48">
        <f>SUMIF('Scenario 2'!A5:A124,Graph!$A3,'Scenario 2'!N5:N124)</f>
        <v>1397314.2256907136</v>
      </c>
    </row>
    <row r="4" spans="1:7" x14ac:dyDescent="0.25">
      <c r="A4" s="46">
        <v>2</v>
      </c>
      <c r="B4" s="48">
        <f>SUMIF('Base Scenario'!A4:A123,Graph!$A4,'Base Scenario'!N4:N123)</f>
        <v>1320727.5</v>
      </c>
      <c r="C4" s="48">
        <f>SUMIF('Scenario 1'!A4:A123,Graph!$A4,'Scenario 1'!N4:N123)</f>
        <v>1343850</v>
      </c>
      <c r="D4" s="48">
        <f>SUMIF('Scenario 2'!A6:A125,Graph!$A4,'Scenario 2'!N6:N125)</f>
        <v>1482327.0162903001</v>
      </c>
    </row>
    <row r="5" spans="1:7" x14ac:dyDescent="0.25">
      <c r="A5" s="46">
        <v>3</v>
      </c>
      <c r="B5" s="48">
        <f>SUMIF('Base Scenario'!A5:A124,Graph!$A5,'Base Scenario'!N5:N124)</f>
        <v>1399777.5</v>
      </c>
      <c r="C5" s="48">
        <f>SUMIF('Scenario 1'!A5:A124,Graph!$A5,'Scenario 1'!N5:N124)</f>
        <v>1424302.5</v>
      </c>
      <c r="D5" s="48">
        <f>SUMIF('Scenario 2'!A7:A126,Graph!$A5,'Scenario 2'!N7:N126)</f>
        <v>1581864.0243258621</v>
      </c>
    </row>
    <row r="6" spans="1:7" x14ac:dyDescent="0.25">
      <c r="A6" s="46">
        <v>4</v>
      </c>
      <c r="B6" s="48">
        <f>SUMIF('Base Scenario'!A6:A125,Graph!$A6,'Base Scenario'!N6:N125)</f>
        <v>1477912.5</v>
      </c>
      <c r="C6" s="48">
        <f>SUMIF('Scenario 1'!A6:A125,Graph!$A6,'Scenario 1'!N6:N125)</f>
        <v>1503075</v>
      </c>
      <c r="D6" s="48">
        <f>SUMIF('Scenario 2'!A8:A127,Graph!$A6,'Scenario 2'!N8:N127)</f>
        <v>1680266.7028435571</v>
      </c>
    </row>
    <row r="7" spans="1:7" x14ac:dyDescent="0.25">
      <c r="A7" s="46">
        <v>5</v>
      </c>
      <c r="B7" s="48">
        <f>SUMIF('Base Scenario'!A7:A126,Graph!$A7,'Base Scenario'!N7:N126)</f>
        <v>1585012.5</v>
      </c>
      <c r="C7" s="48">
        <f>SUMIF('Scenario 1'!A7:A126,Graph!$A7,'Scenario 1'!N7:N126)</f>
        <v>1611577.5</v>
      </c>
      <c r="D7" s="48">
        <f>SUMIF('Scenario 2'!A9:A128,Graph!$A7,'Scenario 2'!N9:N128)</f>
        <v>1810060.192072314</v>
      </c>
    </row>
    <row r="8" spans="1:7" x14ac:dyDescent="0.25">
      <c r="A8" s="46">
        <v>6</v>
      </c>
      <c r="B8" s="48">
        <f>SUMIF('Base Scenario'!A8:A127,Graph!$A8,'Base Scenario'!N8:N127)</f>
        <v>1712610</v>
      </c>
      <c r="C8" s="48">
        <f>SUMIF('Scenario 1'!A8:A127,Graph!$A8,'Scenario 1'!N8:N127)</f>
        <v>1740705</v>
      </c>
      <c r="D8" s="48">
        <f>SUMIF('Scenario 2'!A10:A129,Graph!$A8,'Scenario 2'!N10:N129)</f>
        <v>1961863.5406547966</v>
      </c>
    </row>
    <row r="9" spans="1:7" x14ac:dyDescent="0.25">
      <c r="A9" s="46">
        <v>7</v>
      </c>
      <c r="B9" s="48">
        <f>SUMIF('Base Scenario'!A9:A128,Graph!$A9,'Base Scenario'!N9:N128)</f>
        <v>1860465</v>
      </c>
      <c r="C9" s="48">
        <f>SUMIF('Scenario 1'!A9:A128,Graph!$A9,'Scenario 1'!N9:N128)</f>
        <v>1890472.5</v>
      </c>
      <c r="D9" s="48">
        <f>SUMIF('Scenario 2'!A11:A130,Graph!$A9,'Scenario 2'!N11:N130)</f>
        <v>2135779.9401522274</v>
      </c>
    </row>
    <row r="10" spans="1:7" x14ac:dyDescent="0.25">
      <c r="A10" s="46">
        <v>8</v>
      </c>
      <c r="B10" s="48">
        <f>SUMIF('Base Scenario'!A10:A129,Graph!$A10,'Base Scenario'!N10:N129)</f>
        <v>2030962.5</v>
      </c>
      <c r="C10" s="48">
        <f>SUMIF('Scenario 1'!A10:A129,Graph!$A10,'Scenario 1'!N10:N129)</f>
        <v>2063137.5</v>
      </c>
      <c r="D10" s="48">
        <f>SUMIF('Scenario 2'!A12:A131,Graph!$A10,'Scenario 2'!N12:N131)</f>
        <v>2334189.4736195048</v>
      </c>
    </row>
    <row r="11" spans="1:7" x14ac:dyDescent="0.25">
      <c r="A11" s="46">
        <v>9</v>
      </c>
      <c r="B11" s="48">
        <f>SUMIF('Base Scenario'!A11:A130,Graph!$A11,'Base Scenario'!N11:N130)</f>
        <v>2231085</v>
      </c>
      <c r="C11" s="48">
        <f>SUMIF('Scenario 1'!A11:A130,Graph!$A11,'Scenario 1'!N11:N130)</f>
        <v>2265682.5</v>
      </c>
      <c r="D11" s="48">
        <f>SUMIF('Scenario 2'!A13:A132,Graph!$A11,'Scenario 2'!N13:N132)</f>
        <v>2564156.8790948186</v>
      </c>
    </row>
    <row r="12" spans="1:7" x14ac:dyDescent="0.25">
      <c r="A12" s="46">
        <v>10</v>
      </c>
      <c r="B12" s="48">
        <f>SUMIF('Base Scenario'!A12:A131,Graph!$A12,'Base Scenario'!N12:N131)</f>
        <v>2453857.5</v>
      </c>
      <c r="C12" s="48">
        <f>SUMIF('Scenario 1'!A12:A131,Graph!$A12,'Scenario 1'!N12:N131)</f>
        <v>2491387.5</v>
      </c>
      <c r="D12" s="48">
        <f>SUMIF('Scenario 2'!A14:A133,Graph!$A12,'Scenario 2'!N14:N133)</f>
        <v>2819139.3288986515</v>
      </c>
    </row>
    <row r="13" spans="1:7" x14ac:dyDescent="0.25">
      <c r="B13" s="2"/>
      <c r="C13" s="2"/>
      <c r="D13" s="2"/>
    </row>
    <row r="14" spans="1:7" x14ac:dyDescent="0.25">
      <c r="A14" s="46" t="s">
        <v>42</v>
      </c>
      <c r="B14" s="48">
        <f>NPV(Disc_Rate,B3:B12)</f>
        <v>10038043.058951106</v>
      </c>
      <c r="C14" s="48">
        <f>NPV(Disc_Rate,C3:C12)</f>
        <v>10204994.178852987</v>
      </c>
      <c r="D14" s="48">
        <f>NPV(Disc_Rate,D3:D12)</f>
        <v>11422060.230056271</v>
      </c>
    </row>
    <row r="15" spans="1:7" x14ac:dyDescent="0.25">
      <c r="B15" s="2"/>
      <c r="C15" s="2"/>
      <c r="D15" s="2"/>
    </row>
    <row r="16" spans="1:7" x14ac:dyDescent="0.25">
      <c r="A16" t="s">
        <v>49</v>
      </c>
      <c r="B16" s="2"/>
      <c r="C16" s="13">
        <v>0.1</v>
      </c>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row r="31" spans="2:4" x14ac:dyDescent="0.25">
      <c r="B31" s="2"/>
      <c r="C31" s="2"/>
      <c r="D31" s="2"/>
    </row>
    <row r="32" spans="2:4" x14ac:dyDescent="0.25">
      <c r="B32" s="2"/>
      <c r="C32" s="2"/>
      <c r="D32" s="2"/>
    </row>
    <row r="33" spans="2:4" x14ac:dyDescent="0.25">
      <c r="B33" s="2"/>
      <c r="C33" s="2"/>
      <c r="D33" s="2"/>
    </row>
    <row r="34" spans="2:4" x14ac:dyDescent="0.25">
      <c r="B34" s="2"/>
      <c r="C34" s="2"/>
      <c r="D34" s="2"/>
    </row>
    <row r="35" spans="2:4" x14ac:dyDescent="0.25">
      <c r="B35" s="2"/>
      <c r="C35" s="2"/>
      <c r="D35" s="2"/>
    </row>
    <row r="36" spans="2:4" x14ac:dyDescent="0.25">
      <c r="B36" s="2"/>
      <c r="C36" s="2"/>
      <c r="D36" s="2"/>
    </row>
    <row r="37" spans="2:4" x14ac:dyDescent="0.25">
      <c r="B37" s="2"/>
      <c r="C37" s="2"/>
      <c r="D37" s="2"/>
    </row>
    <row r="38" spans="2:4" x14ac:dyDescent="0.25">
      <c r="B38" s="2"/>
      <c r="C38" s="2"/>
      <c r="D38" s="2"/>
    </row>
    <row r="39" spans="2:4" x14ac:dyDescent="0.25">
      <c r="B39" s="2"/>
      <c r="C39" s="2"/>
      <c r="D39" s="2"/>
    </row>
    <row r="40" spans="2:4" x14ac:dyDescent="0.25">
      <c r="B40" s="2"/>
      <c r="C40" s="2"/>
      <c r="D40" s="2"/>
    </row>
    <row r="41" spans="2:4" x14ac:dyDescent="0.25">
      <c r="B41" s="2"/>
      <c r="C41" s="2"/>
      <c r="D41" s="2"/>
    </row>
    <row r="42" spans="2:4" x14ac:dyDescent="0.25">
      <c r="B42" s="2"/>
      <c r="C42" s="2"/>
      <c r="D42" s="2"/>
    </row>
    <row r="43" spans="2:4" x14ac:dyDescent="0.25">
      <c r="B43" s="2"/>
      <c r="C43" s="2"/>
      <c r="D43" s="2"/>
    </row>
    <row r="44" spans="2:4" x14ac:dyDescent="0.25">
      <c r="B44" s="2"/>
      <c r="C44" s="2"/>
      <c r="D44" s="2"/>
    </row>
    <row r="45" spans="2:4" x14ac:dyDescent="0.25">
      <c r="B45" s="2"/>
      <c r="C45" s="2"/>
      <c r="D45" s="2"/>
    </row>
    <row r="46" spans="2:4" x14ac:dyDescent="0.25">
      <c r="B46" s="2"/>
      <c r="C46" s="2"/>
      <c r="D46" s="2"/>
    </row>
    <row r="47" spans="2:4" x14ac:dyDescent="0.25">
      <c r="B47" s="2"/>
      <c r="C47" s="2"/>
      <c r="D47" s="2"/>
    </row>
    <row r="48" spans="2:4" x14ac:dyDescent="0.25">
      <c r="B48" s="2"/>
      <c r="C48" s="2"/>
      <c r="D48" s="2"/>
    </row>
    <row r="49" spans="2:4" x14ac:dyDescent="0.25">
      <c r="B49" s="2"/>
      <c r="C49" s="2"/>
      <c r="D49" s="2"/>
    </row>
    <row r="50" spans="2:4" x14ac:dyDescent="0.25">
      <c r="B50" s="2"/>
      <c r="C50" s="2"/>
      <c r="D50" s="2"/>
    </row>
    <row r="51" spans="2:4" x14ac:dyDescent="0.25">
      <c r="B51" s="2"/>
      <c r="C51" s="2"/>
      <c r="D51" s="2"/>
    </row>
    <row r="52" spans="2:4" x14ac:dyDescent="0.25">
      <c r="B52" s="2"/>
      <c r="C52" s="2"/>
      <c r="D52" s="2"/>
    </row>
    <row r="53" spans="2:4" x14ac:dyDescent="0.25">
      <c r="B53" s="2"/>
      <c r="C53" s="2"/>
      <c r="D53" s="2"/>
    </row>
    <row r="54" spans="2:4" x14ac:dyDescent="0.25">
      <c r="B54" s="2"/>
      <c r="C54" s="2"/>
      <c r="D54" s="2"/>
    </row>
    <row r="55" spans="2:4" x14ac:dyDescent="0.25">
      <c r="B55" s="2"/>
      <c r="C55" s="2"/>
      <c r="D55" s="2"/>
    </row>
    <row r="56" spans="2:4" x14ac:dyDescent="0.25">
      <c r="B56" s="2"/>
      <c r="C56" s="2"/>
      <c r="D56" s="2"/>
    </row>
    <row r="57" spans="2:4" x14ac:dyDescent="0.25">
      <c r="B57" s="2"/>
      <c r="C57" s="2"/>
      <c r="D57" s="2"/>
    </row>
    <row r="58" spans="2:4" x14ac:dyDescent="0.25">
      <c r="B58" s="2"/>
      <c r="C58" s="2"/>
      <c r="D58" s="2"/>
    </row>
    <row r="59" spans="2:4" x14ac:dyDescent="0.25">
      <c r="B59" s="2"/>
      <c r="C59" s="2"/>
      <c r="D59" s="2"/>
    </row>
    <row r="60" spans="2:4" x14ac:dyDescent="0.25">
      <c r="B60" s="2"/>
      <c r="C60" s="2"/>
      <c r="D60" s="2"/>
    </row>
    <row r="61" spans="2:4" x14ac:dyDescent="0.25">
      <c r="B61" s="2"/>
      <c r="C61" s="2"/>
      <c r="D61" s="2"/>
    </row>
    <row r="62" spans="2:4" x14ac:dyDescent="0.25">
      <c r="B62" s="2"/>
      <c r="C62" s="2"/>
      <c r="D62" s="2"/>
    </row>
    <row r="63" spans="2:4" x14ac:dyDescent="0.25">
      <c r="B63" s="2"/>
      <c r="C63" s="2"/>
      <c r="D63" s="2"/>
    </row>
    <row r="64" spans="2:4" x14ac:dyDescent="0.25">
      <c r="B64" s="2"/>
      <c r="C64" s="2"/>
      <c r="D64" s="2"/>
    </row>
    <row r="65" spans="2:4" x14ac:dyDescent="0.25">
      <c r="B65" s="2"/>
      <c r="C65" s="2"/>
      <c r="D65" s="2"/>
    </row>
    <row r="66" spans="2:4" x14ac:dyDescent="0.25">
      <c r="B66" s="2"/>
      <c r="C66" s="2"/>
      <c r="D66" s="2"/>
    </row>
    <row r="67" spans="2:4" x14ac:dyDescent="0.25">
      <c r="B67" s="2"/>
      <c r="C67" s="2"/>
      <c r="D67" s="2"/>
    </row>
    <row r="68" spans="2:4" x14ac:dyDescent="0.25">
      <c r="B68" s="2"/>
      <c r="C68" s="2"/>
      <c r="D68" s="2"/>
    </row>
    <row r="69" spans="2:4" x14ac:dyDescent="0.25">
      <c r="B69" s="2"/>
      <c r="C69" s="2"/>
      <c r="D69" s="2"/>
    </row>
    <row r="70" spans="2:4" x14ac:dyDescent="0.25">
      <c r="B70" s="2"/>
      <c r="C70" s="2"/>
      <c r="D70" s="2"/>
    </row>
    <row r="71" spans="2:4" x14ac:dyDescent="0.25">
      <c r="B71" s="2"/>
      <c r="C71" s="2"/>
      <c r="D71" s="2"/>
    </row>
    <row r="72" spans="2:4" x14ac:dyDescent="0.25">
      <c r="B72" s="2"/>
      <c r="C72" s="2"/>
      <c r="D72" s="2"/>
    </row>
    <row r="73" spans="2:4" x14ac:dyDescent="0.25">
      <c r="B73" s="2"/>
      <c r="C73" s="2"/>
      <c r="D73" s="2"/>
    </row>
    <row r="74" spans="2:4" x14ac:dyDescent="0.25">
      <c r="B74" s="2"/>
      <c r="C74" s="2"/>
      <c r="D74" s="2"/>
    </row>
    <row r="75" spans="2:4" x14ac:dyDescent="0.25">
      <c r="B75" s="2"/>
      <c r="C75" s="2"/>
      <c r="D75" s="2"/>
    </row>
    <row r="76" spans="2:4" x14ac:dyDescent="0.25">
      <c r="B76" s="2"/>
      <c r="C76" s="2"/>
      <c r="D76" s="2"/>
    </row>
    <row r="77" spans="2:4" x14ac:dyDescent="0.25">
      <c r="B77" s="2"/>
      <c r="C77" s="2"/>
      <c r="D77" s="2"/>
    </row>
    <row r="78" spans="2:4" x14ac:dyDescent="0.25">
      <c r="B78" s="2"/>
      <c r="C78" s="2"/>
      <c r="D78" s="2"/>
    </row>
    <row r="79" spans="2:4" x14ac:dyDescent="0.25">
      <c r="B79" s="2"/>
      <c r="C79" s="2"/>
      <c r="D79" s="2"/>
    </row>
    <row r="80" spans="2:4" x14ac:dyDescent="0.25">
      <c r="B80" s="2"/>
      <c r="C80" s="2"/>
      <c r="D80" s="2"/>
    </row>
    <row r="81" spans="2:4" x14ac:dyDescent="0.25">
      <c r="B81" s="2"/>
      <c r="C81" s="2"/>
      <c r="D81" s="2"/>
    </row>
    <row r="82" spans="2:4" x14ac:dyDescent="0.25">
      <c r="B82" s="2"/>
      <c r="C82" s="2"/>
      <c r="D82" s="2"/>
    </row>
    <row r="83" spans="2:4" x14ac:dyDescent="0.25">
      <c r="B83" s="2"/>
      <c r="C83" s="2"/>
      <c r="D83" s="2"/>
    </row>
    <row r="84" spans="2:4" x14ac:dyDescent="0.25">
      <c r="B84" s="2"/>
      <c r="C84" s="2"/>
      <c r="D84" s="2"/>
    </row>
    <row r="85" spans="2:4" x14ac:dyDescent="0.25">
      <c r="B85" s="2"/>
      <c r="C85" s="2"/>
      <c r="D85" s="2"/>
    </row>
    <row r="86" spans="2:4" x14ac:dyDescent="0.25">
      <c r="B86" s="2"/>
      <c r="C86" s="2"/>
      <c r="D86" s="2"/>
    </row>
    <row r="87" spans="2:4" x14ac:dyDescent="0.25">
      <c r="B87" s="2"/>
      <c r="C87" s="2"/>
      <c r="D87" s="2"/>
    </row>
    <row r="88" spans="2:4" x14ac:dyDescent="0.25">
      <c r="B88" s="2"/>
      <c r="C88" s="2"/>
      <c r="D88" s="2"/>
    </row>
    <row r="89" spans="2:4" x14ac:dyDescent="0.25">
      <c r="B89" s="2"/>
      <c r="C89" s="2"/>
      <c r="D89" s="2"/>
    </row>
    <row r="90" spans="2:4" x14ac:dyDescent="0.25">
      <c r="B90" s="2"/>
      <c r="C90" s="2"/>
      <c r="D90" s="2"/>
    </row>
    <row r="91" spans="2:4" x14ac:dyDescent="0.25">
      <c r="B91" s="2"/>
      <c r="C91" s="2"/>
      <c r="D91" s="2"/>
    </row>
    <row r="92" spans="2:4" x14ac:dyDescent="0.25">
      <c r="B92" s="2"/>
      <c r="C92" s="2"/>
      <c r="D92" s="2"/>
    </row>
    <row r="93" spans="2:4" x14ac:dyDescent="0.25">
      <c r="B93" s="2"/>
      <c r="C93" s="2"/>
      <c r="D93" s="2"/>
    </row>
    <row r="94" spans="2:4" x14ac:dyDescent="0.25">
      <c r="B94" s="2"/>
      <c r="C94" s="2"/>
      <c r="D94" s="2"/>
    </row>
    <row r="95" spans="2:4" x14ac:dyDescent="0.25">
      <c r="B95" s="2"/>
      <c r="C95" s="2"/>
      <c r="D95" s="2"/>
    </row>
    <row r="96" spans="2:4" x14ac:dyDescent="0.25">
      <c r="B96" s="2"/>
      <c r="C96" s="2"/>
      <c r="D96" s="2"/>
    </row>
    <row r="97" spans="2:4" x14ac:dyDescent="0.25">
      <c r="B97" s="2"/>
      <c r="C97" s="2"/>
      <c r="D97" s="2"/>
    </row>
    <row r="98" spans="2:4" x14ac:dyDescent="0.25">
      <c r="B98" s="2"/>
      <c r="C98" s="2"/>
      <c r="D98" s="2"/>
    </row>
    <row r="99" spans="2:4" x14ac:dyDescent="0.25">
      <c r="B99" s="2"/>
      <c r="C99" s="2"/>
      <c r="D99" s="2"/>
    </row>
    <row r="100" spans="2:4" x14ac:dyDescent="0.25">
      <c r="B100" s="2"/>
      <c r="C100" s="2"/>
      <c r="D100" s="2"/>
    </row>
    <row r="101" spans="2:4" x14ac:dyDescent="0.25">
      <c r="B101" s="2"/>
      <c r="C101" s="2"/>
      <c r="D101" s="2"/>
    </row>
    <row r="102" spans="2:4" x14ac:dyDescent="0.25">
      <c r="B102" s="2"/>
      <c r="C102" s="2"/>
      <c r="D102" s="2"/>
    </row>
    <row r="103" spans="2:4" x14ac:dyDescent="0.25">
      <c r="B103" s="2"/>
      <c r="C103" s="2"/>
      <c r="D103" s="2"/>
    </row>
    <row r="104" spans="2:4" x14ac:dyDescent="0.25">
      <c r="B104" s="2"/>
      <c r="C104" s="2"/>
      <c r="D104" s="2"/>
    </row>
    <row r="105" spans="2:4" x14ac:dyDescent="0.25">
      <c r="B105" s="2"/>
      <c r="C105" s="2"/>
      <c r="D105" s="2"/>
    </row>
    <row r="106" spans="2:4" x14ac:dyDescent="0.25">
      <c r="B106" s="2"/>
      <c r="C106" s="2"/>
      <c r="D106" s="2"/>
    </row>
    <row r="107" spans="2:4" x14ac:dyDescent="0.25">
      <c r="B107" s="2"/>
      <c r="C107" s="2"/>
      <c r="D107" s="2"/>
    </row>
    <row r="108" spans="2:4" x14ac:dyDescent="0.25">
      <c r="B108" s="2"/>
      <c r="C108" s="2"/>
      <c r="D108" s="2"/>
    </row>
    <row r="109" spans="2:4" x14ac:dyDescent="0.25">
      <c r="B109" s="2"/>
      <c r="C109" s="2"/>
      <c r="D109" s="2"/>
    </row>
    <row r="110" spans="2:4" x14ac:dyDescent="0.25">
      <c r="B110" s="2"/>
      <c r="C110" s="2"/>
      <c r="D110" s="2"/>
    </row>
    <row r="111" spans="2:4" x14ac:dyDescent="0.25">
      <c r="B111" s="2"/>
      <c r="C111" s="2"/>
      <c r="D111" s="2"/>
    </row>
    <row r="112" spans="2:4" x14ac:dyDescent="0.25">
      <c r="B112" s="2"/>
      <c r="C112" s="2"/>
      <c r="D112" s="2"/>
    </row>
    <row r="113" spans="2:4" x14ac:dyDescent="0.25">
      <c r="B113" s="2"/>
      <c r="C113" s="2"/>
      <c r="D113" s="2"/>
    </row>
    <row r="114" spans="2:4" x14ac:dyDescent="0.25">
      <c r="B114" s="2"/>
      <c r="C114" s="2"/>
      <c r="D114" s="2"/>
    </row>
    <row r="115" spans="2:4" x14ac:dyDescent="0.25">
      <c r="B115" s="2"/>
      <c r="C115" s="2"/>
      <c r="D115" s="2"/>
    </row>
    <row r="116" spans="2:4" x14ac:dyDescent="0.25">
      <c r="B116" s="2"/>
      <c r="C116" s="2"/>
      <c r="D116" s="2"/>
    </row>
    <row r="117" spans="2:4" x14ac:dyDescent="0.25">
      <c r="B117" s="2"/>
      <c r="C117" s="2"/>
      <c r="D117" s="2"/>
    </row>
    <row r="118" spans="2:4" x14ac:dyDescent="0.25">
      <c r="B118" s="2"/>
      <c r="C118" s="2"/>
      <c r="D118" s="2"/>
    </row>
    <row r="119" spans="2:4" x14ac:dyDescent="0.25">
      <c r="B119" s="2"/>
      <c r="C119" s="2"/>
      <c r="D119" s="2"/>
    </row>
    <row r="120" spans="2:4" x14ac:dyDescent="0.25">
      <c r="B120" s="2"/>
      <c r="C120" s="2"/>
      <c r="D120" s="2"/>
    </row>
    <row r="121" spans="2:4" x14ac:dyDescent="0.25">
      <c r="B121" s="2"/>
      <c r="C121" s="2"/>
      <c r="D121" s="2"/>
    </row>
    <row r="122" spans="2:4" x14ac:dyDescent="0.25">
      <c r="B122" s="2"/>
      <c r="C122" s="2"/>
      <c r="D122" s="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Audit trail</vt:lpstr>
      <vt:lpstr>Data</vt:lpstr>
      <vt:lpstr>Corrected data</vt:lpstr>
      <vt:lpstr>Parameters</vt:lpstr>
      <vt:lpstr>Base Scenario</vt:lpstr>
      <vt:lpstr>Scenario 1</vt:lpstr>
      <vt:lpstr>Scenario 2</vt:lpstr>
      <vt:lpstr>Graph</vt:lpstr>
      <vt:lpstr>cost_choc_syrup</vt:lpstr>
      <vt:lpstr>Cost_Icecream</vt:lpstr>
      <vt:lpstr>cost_straw_syrup</vt:lpstr>
      <vt:lpstr>Disc_Rate</vt:lpstr>
      <vt:lpstr>Disc_Rate_PM</vt:lpstr>
      <vt:lpstr>Electr_Summer</vt:lpstr>
      <vt:lpstr>Electr_winter</vt:lpstr>
      <vt:lpstr>Interest</vt:lpstr>
      <vt:lpstr>Loan</vt:lpstr>
      <vt:lpstr>prop_choc_syrup</vt:lpstr>
      <vt:lpstr>prop_straw_syrup</vt:lpstr>
      <vt:lpstr>Rent</vt:lpstr>
      <vt:lpstr>Salary</vt:lpstr>
      <vt:lpstr>SP_choc_syrup</vt:lpstr>
      <vt:lpstr>SP_icecream</vt:lpstr>
      <vt:lpstr>SP_icecream_winter</vt:lpstr>
      <vt:lpstr>SP_straw_syrup</vt:lpstr>
      <vt:lpstr>Tax_rate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Jyoti Dubey</cp:lastModifiedBy>
  <dcterms:created xsi:type="dcterms:W3CDTF">2021-12-20T13:57:51Z</dcterms:created>
  <dcterms:modified xsi:type="dcterms:W3CDTF">2022-06-21T09:25:18Z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oc_syrup" linkTarget="prop_choc_syrup">
    <vt:r8>2</vt:r8>
  </property>
  <property fmtid="{D5CDD505-2E9C-101B-9397-08002B2CF9AE}" pid="3" name="straw_syrup" linkTarget="prop_straw_syrup">
    <vt:r8>1</vt:r8>
  </property>
  <property fmtid="{D5CDD505-2E9C-101B-9397-08002B2CF9AE}" pid="4" name="MSIP_Label_f45d0447-72b7-4595-8ee5-b32b4892557e_Enabled">
    <vt:lpwstr>true</vt:lpwstr>
  </property>
  <property fmtid="{D5CDD505-2E9C-101B-9397-08002B2CF9AE}" pid="5" name="MSIP_Label_f45d0447-72b7-4595-8ee5-b32b4892557e_SetDate">
    <vt:lpwstr>2022-04-04T13:04:06Z</vt:lpwstr>
  </property>
  <property fmtid="{D5CDD505-2E9C-101B-9397-08002B2CF9AE}" pid="6" name="MSIP_Label_f45d0447-72b7-4595-8ee5-b32b4892557e_Method">
    <vt:lpwstr>Privileged</vt:lpwstr>
  </property>
  <property fmtid="{D5CDD505-2E9C-101B-9397-08002B2CF9AE}" pid="7" name="MSIP_Label_f45d0447-72b7-4595-8ee5-b32b4892557e_Name">
    <vt:lpwstr>f45d0447-72b7-4595-8ee5-b32b4892557e</vt:lpwstr>
  </property>
  <property fmtid="{D5CDD505-2E9C-101B-9397-08002B2CF9AE}" pid="8" name="MSIP_Label_f45d0447-72b7-4595-8ee5-b32b4892557e_SiteId">
    <vt:lpwstr>582259a1-dcaa-4cca-b1cf-e60d3f045ecd</vt:lpwstr>
  </property>
  <property fmtid="{D5CDD505-2E9C-101B-9397-08002B2CF9AE}" pid="9" name="MSIP_Label_f45d0447-72b7-4595-8ee5-b32b4892557e_ActionId">
    <vt:lpwstr>f6d501c7-838e-42b9-9195-a6085a2fe945</vt:lpwstr>
  </property>
  <property fmtid="{D5CDD505-2E9C-101B-9397-08002B2CF9AE}" pid="10" name="MSIP_Label_f45d0447-72b7-4595-8ee5-b32b4892557e_ContentBits">
    <vt:lpwstr>0</vt:lpwstr>
  </property>
</Properties>
</file>