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Year 2019_November Exam\Note\Solution\To be sent to IT Dept\CM1\"/>
    </mc:Choice>
  </mc:AlternateContent>
  <bookViews>
    <workbookView xWindow="-105" yWindow="-105" windowWidth="19410" windowHeight="10410" tabRatio="900"/>
  </bookViews>
  <sheets>
    <sheet name="Parameters" sheetId="3" r:id="rId1"/>
    <sheet name="Q.1)(i)" sheetId="6" r:id="rId2"/>
    <sheet name="Q.1)(ii)" sheetId="7" r:id="rId3"/>
    <sheet name="Q.1)(iii)(a)" sheetId="8" r:id="rId4"/>
    <sheet name="Q.1)(iii)(b)" sheetId="9" r:id="rId5"/>
    <sheet name="Q.1)(iv)" sheetId="2" r:id="rId6"/>
    <sheet name="Q.1)(v)" sheetId="10" r:id="rId7"/>
    <sheet name="Q.1)(vi)" sheetId="11" r:id="rId8"/>
    <sheet name="Q.1)(vii)" sheetId="4" r:id="rId9"/>
    <sheet name="Q.1)(viii)" sheetId="5" r:id="rId10"/>
    <sheet name="Q.1)(ix)" sheetId="12" r:id="rId11"/>
    <sheet name="Q.2)(i)" sheetId="15" r:id="rId12"/>
    <sheet name="Q.2)(ii)" sheetId="17" r:id="rId13"/>
    <sheet name="Q.2)(iii)" sheetId="18" r:id="rId1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8" l="1"/>
  <c r="F9" i="8"/>
  <c r="F10" i="8"/>
  <c r="F7" i="8"/>
  <c r="D30" i="17" l="1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7" i="17"/>
  <c r="G10" i="8" l="1"/>
  <c r="E2" i="12" l="1"/>
  <c r="L27" i="12"/>
  <c r="L26" i="12"/>
  <c r="L25" i="12"/>
  <c r="L24" i="12"/>
  <c r="L23" i="12"/>
  <c r="L22" i="12"/>
  <c r="L21" i="12"/>
  <c r="L20" i="12"/>
  <c r="L19" i="12"/>
  <c r="L18" i="12"/>
  <c r="D27" i="12"/>
  <c r="D26" i="12"/>
  <c r="D25" i="12"/>
  <c r="D24" i="12"/>
  <c r="D23" i="12"/>
  <c r="D22" i="12"/>
  <c r="D21" i="12"/>
  <c r="D20" i="12"/>
  <c r="D19" i="12"/>
  <c r="I27" i="12"/>
  <c r="I26" i="12"/>
  <c r="I25" i="12"/>
  <c r="I24" i="12"/>
  <c r="I23" i="12"/>
  <c r="I22" i="12"/>
  <c r="I21" i="12"/>
  <c r="I20" i="12"/>
  <c r="I19" i="12"/>
  <c r="I18" i="12"/>
  <c r="H30" i="18" l="1"/>
  <c r="H29" i="18"/>
  <c r="H28" i="18"/>
  <c r="H27" i="18"/>
  <c r="H26" i="18"/>
  <c r="H25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H9" i="18"/>
  <c r="H8" i="18"/>
  <c r="H7" i="18"/>
  <c r="B8" i="18"/>
  <c r="B9" i="18" s="1"/>
  <c r="B7" i="18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D10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9" i="15"/>
  <c r="D8" i="15"/>
  <c r="D7" i="15"/>
  <c r="D6" i="15"/>
  <c r="B10" i="18" l="1"/>
  <c r="F30" i="17"/>
  <c r="F29" i="17"/>
  <c r="F28" i="17"/>
  <c r="C28" i="18" s="1"/>
  <c r="I28" i="18" s="1"/>
  <c r="F27" i="17"/>
  <c r="C27" i="18" s="1"/>
  <c r="I27" i="18" s="1"/>
  <c r="F26" i="17"/>
  <c r="C26" i="18" s="1"/>
  <c r="I26" i="18" s="1"/>
  <c r="F25" i="17"/>
  <c r="C25" i="18" s="1"/>
  <c r="I25" i="18" s="1"/>
  <c r="F24" i="17"/>
  <c r="C24" i="18" s="1"/>
  <c r="I24" i="18" s="1"/>
  <c r="F23" i="17"/>
  <c r="C23" i="18" s="1"/>
  <c r="I23" i="18" s="1"/>
  <c r="F22" i="17"/>
  <c r="C22" i="18" s="1"/>
  <c r="I22" i="18" s="1"/>
  <c r="F21" i="17"/>
  <c r="C21" i="18" s="1"/>
  <c r="I21" i="18" s="1"/>
  <c r="F20" i="17"/>
  <c r="C20" i="18" s="1"/>
  <c r="I20" i="18" s="1"/>
  <c r="F19" i="17"/>
  <c r="C19" i="18" s="1"/>
  <c r="I19" i="18" s="1"/>
  <c r="F18" i="17"/>
  <c r="C18" i="18" s="1"/>
  <c r="I18" i="18" s="1"/>
  <c r="F17" i="17"/>
  <c r="C17" i="18" s="1"/>
  <c r="I17" i="18" s="1"/>
  <c r="F16" i="17"/>
  <c r="C16" i="18" s="1"/>
  <c r="I16" i="18" s="1"/>
  <c r="F15" i="17"/>
  <c r="C15" i="18" s="1"/>
  <c r="I15" i="18" s="1"/>
  <c r="F14" i="17"/>
  <c r="C14" i="18" s="1"/>
  <c r="I14" i="18" s="1"/>
  <c r="F13" i="17"/>
  <c r="C13" i="18" s="1"/>
  <c r="I13" i="18" s="1"/>
  <c r="F12" i="17"/>
  <c r="C12" i="18" s="1"/>
  <c r="I12" i="18" s="1"/>
  <c r="F11" i="17"/>
  <c r="C11" i="18" s="1"/>
  <c r="I11" i="18" s="1"/>
  <c r="F10" i="17"/>
  <c r="C10" i="18" s="1"/>
  <c r="I10" i="18" s="1"/>
  <c r="F9" i="17"/>
  <c r="C9" i="18" s="1"/>
  <c r="I9" i="18" s="1"/>
  <c r="F8" i="17"/>
  <c r="C8" i="18" s="1"/>
  <c r="I8" i="18" s="1"/>
  <c r="F7" i="17"/>
  <c r="C7" i="18" s="1"/>
  <c r="F6" i="17"/>
  <c r="C6" i="18" s="1"/>
  <c r="E13" i="17"/>
  <c r="E14" i="17" s="1"/>
  <c r="E15" i="17" s="1"/>
  <c r="E16" i="17" s="1"/>
  <c r="E17" i="17" s="1"/>
  <c r="E18" i="17" s="1"/>
  <c r="E19" i="17" s="1"/>
  <c r="E20" i="17" s="1"/>
  <c r="E21" i="17" s="1"/>
  <c r="E22" i="17" s="1"/>
  <c r="E23" i="17" s="1"/>
  <c r="E24" i="17" s="1"/>
  <c r="E25" i="17" s="1"/>
  <c r="E26" i="17" s="1"/>
  <c r="E27" i="17" s="1"/>
  <c r="E28" i="17" s="1"/>
  <c r="E29" i="17" s="1"/>
  <c r="E30" i="17" s="1"/>
  <c r="E12" i="17"/>
  <c r="B8" i="17"/>
  <c r="B9" i="17" s="1"/>
  <c r="B10" i="17" s="1"/>
  <c r="B11" i="17" s="1"/>
  <c r="B12" i="17" s="1"/>
  <c r="B13" i="17" s="1"/>
  <c r="B14" i="17" s="1"/>
  <c r="B15" i="17" s="1"/>
  <c r="B16" i="17" s="1"/>
  <c r="B17" i="17" s="1"/>
  <c r="B18" i="17" s="1"/>
  <c r="B19" i="17" s="1"/>
  <c r="B20" i="17" s="1"/>
  <c r="B21" i="17" s="1"/>
  <c r="B22" i="17" s="1"/>
  <c r="B23" i="17" s="1"/>
  <c r="B24" i="17" s="1"/>
  <c r="B25" i="17" s="1"/>
  <c r="B26" i="17" s="1"/>
  <c r="B27" i="17" s="1"/>
  <c r="B28" i="17" s="1"/>
  <c r="B29" i="17" s="1"/>
  <c r="B30" i="17" s="1"/>
  <c r="B7" i="17"/>
  <c r="E5" i="12"/>
  <c r="F5" i="12" s="1"/>
  <c r="L18" i="4"/>
  <c r="L19" i="4"/>
  <c r="L20" i="4"/>
  <c r="L21" i="4"/>
  <c r="L22" i="4"/>
  <c r="L23" i="4"/>
  <c r="L24" i="4"/>
  <c r="L25" i="4"/>
  <c r="L26" i="4"/>
  <c r="L27" i="4"/>
  <c r="J27" i="12"/>
  <c r="H27" i="12"/>
  <c r="E27" i="12"/>
  <c r="C27" i="12"/>
  <c r="J26" i="12"/>
  <c r="H26" i="12"/>
  <c r="E26" i="12"/>
  <c r="H25" i="12"/>
  <c r="E25" i="12"/>
  <c r="H24" i="12"/>
  <c r="J24" i="12" s="1"/>
  <c r="E24" i="12"/>
  <c r="J23" i="12"/>
  <c r="H23" i="12"/>
  <c r="E23" i="12"/>
  <c r="J22" i="12"/>
  <c r="H22" i="12"/>
  <c r="E22" i="12"/>
  <c r="H21" i="12"/>
  <c r="E21" i="12"/>
  <c r="H20" i="12"/>
  <c r="J20" i="12" s="1"/>
  <c r="E20" i="12"/>
  <c r="C20" i="12"/>
  <c r="F20" i="12" s="1"/>
  <c r="J19" i="12"/>
  <c r="H19" i="12"/>
  <c r="E19" i="12"/>
  <c r="C19" i="12"/>
  <c r="B19" i="12"/>
  <c r="B20" i="12" s="1"/>
  <c r="B21" i="12" s="1"/>
  <c r="B22" i="12" s="1"/>
  <c r="B23" i="12" s="1"/>
  <c r="B24" i="12" s="1"/>
  <c r="B25" i="12" s="1"/>
  <c r="B26" i="12" s="1"/>
  <c r="B27" i="12" s="1"/>
  <c r="H18" i="12"/>
  <c r="E18" i="12"/>
  <c r="D18" i="12"/>
  <c r="C14" i="12"/>
  <c r="C13" i="12"/>
  <c r="C26" i="12" s="1"/>
  <c r="C12" i="12"/>
  <c r="C25" i="12" s="1"/>
  <c r="F25" i="12" s="1"/>
  <c r="C11" i="12"/>
  <c r="C10" i="12"/>
  <c r="C23" i="12" s="1"/>
  <c r="F23" i="12" s="1"/>
  <c r="C9" i="12"/>
  <c r="C22" i="12" s="1"/>
  <c r="F22" i="12" s="1"/>
  <c r="C8" i="12"/>
  <c r="C21" i="12" s="1"/>
  <c r="F21" i="12" s="1"/>
  <c r="C7" i="12"/>
  <c r="C6" i="12"/>
  <c r="B6" i="12"/>
  <c r="B7" i="12" s="1"/>
  <c r="B8" i="12" s="1"/>
  <c r="B9" i="12" s="1"/>
  <c r="B10" i="12" s="1"/>
  <c r="B11" i="12" s="1"/>
  <c r="B12" i="12" s="1"/>
  <c r="B13" i="12" s="1"/>
  <c r="B14" i="12" s="1"/>
  <c r="D5" i="12"/>
  <c r="C5" i="12"/>
  <c r="C18" i="12" s="1"/>
  <c r="F18" i="12" s="1"/>
  <c r="D18" i="4"/>
  <c r="D30" i="11"/>
  <c r="D32" i="11" s="1"/>
  <c r="D8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9" i="11"/>
  <c r="D10" i="11"/>
  <c r="C9" i="1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C22" i="11" s="1"/>
  <c r="C23" i="11" s="1"/>
  <c r="C24" i="11" s="1"/>
  <c r="C25" i="11" s="1"/>
  <c r="C26" i="11" s="1"/>
  <c r="C27" i="11" s="1"/>
  <c r="C28" i="11" s="1"/>
  <c r="G15" i="10"/>
  <c r="G14" i="10" s="1"/>
  <c r="G13" i="10" s="1"/>
  <c r="G12" i="10" s="1"/>
  <c r="G11" i="10" s="1"/>
  <c r="G10" i="10" s="1"/>
  <c r="G9" i="10" s="1"/>
  <c r="G8" i="10" s="1"/>
  <c r="G7" i="10" s="1"/>
  <c r="G6" i="10" s="1"/>
  <c r="G5" i="10" s="1"/>
  <c r="F5" i="10"/>
  <c r="E15" i="10"/>
  <c r="E14" i="10"/>
  <c r="E13" i="10"/>
  <c r="E12" i="10"/>
  <c r="E11" i="10"/>
  <c r="E10" i="10"/>
  <c r="E9" i="10"/>
  <c r="E8" i="10"/>
  <c r="E7" i="10"/>
  <c r="E6" i="10"/>
  <c r="E5" i="10"/>
  <c r="D15" i="10"/>
  <c r="C14" i="10"/>
  <c r="C13" i="10"/>
  <c r="C12" i="10"/>
  <c r="C11" i="10"/>
  <c r="C10" i="10"/>
  <c r="C9" i="10"/>
  <c r="C8" i="10"/>
  <c r="C7" i="10"/>
  <c r="C6" i="10"/>
  <c r="C5" i="10"/>
  <c r="B7" i="10"/>
  <c r="B8" i="10" s="1"/>
  <c r="B9" i="10" s="1"/>
  <c r="B10" i="10" s="1"/>
  <c r="B11" i="10" s="1"/>
  <c r="B12" i="10" s="1"/>
  <c r="B13" i="10" s="1"/>
  <c r="B14" i="10" s="1"/>
  <c r="B15" i="10" s="1"/>
  <c r="D18" i="2"/>
  <c r="Q19" i="2"/>
  <c r="P19" i="2"/>
  <c r="J19" i="2"/>
  <c r="O20" i="2"/>
  <c r="O19" i="2"/>
  <c r="D10" i="9"/>
  <c r="D9" i="9"/>
  <c r="D8" i="9"/>
  <c r="D7" i="9"/>
  <c r="D6" i="9"/>
  <c r="B10" i="9"/>
  <c r="B9" i="9"/>
  <c r="B8" i="9"/>
  <c r="B7" i="9"/>
  <c r="B6" i="9"/>
  <c r="D10" i="8"/>
  <c r="D9" i="8"/>
  <c r="D8" i="8"/>
  <c r="D7" i="8"/>
  <c r="D6" i="8"/>
  <c r="F6" i="8" s="1"/>
  <c r="D19" i="9"/>
  <c r="G6" i="9"/>
  <c r="C7" i="9"/>
  <c r="C8" i="9" s="1"/>
  <c r="E7" i="9"/>
  <c r="E8" i="9" s="1"/>
  <c r="E9" i="9" s="1"/>
  <c r="E10" i="9" s="1"/>
  <c r="G10" i="9" s="1"/>
  <c r="C6" i="9"/>
  <c r="F15" i="8"/>
  <c r="E15" i="8"/>
  <c r="B7" i="8"/>
  <c r="B8" i="8" s="1"/>
  <c r="B9" i="8" s="1"/>
  <c r="B10" i="8" s="1"/>
  <c r="C6" i="8"/>
  <c r="C7" i="8" s="1"/>
  <c r="H30" i="17" l="1"/>
  <c r="H29" i="17" s="1"/>
  <c r="H28" i="17" s="1"/>
  <c r="H27" i="17" s="1"/>
  <c r="H26" i="17" s="1"/>
  <c r="H25" i="17" s="1"/>
  <c r="H24" i="17" s="1"/>
  <c r="H23" i="17" s="1"/>
  <c r="H22" i="17" s="1"/>
  <c r="H21" i="17" s="1"/>
  <c r="H20" i="17" s="1"/>
  <c r="H19" i="17" s="1"/>
  <c r="H18" i="17" s="1"/>
  <c r="H17" i="17" s="1"/>
  <c r="H16" i="17" s="1"/>
  <c r="H15" i="17" s="1"/>
  <c r="H14" i="17" s="1"/>
  <c r="H13" i="17" s="1"/>
  <c r="H12" i="17" s="1"/>
  <c r="H11" i="17" s="1"/>
  <c r="H10" i="17" s="1"/>
  <c r="H9" i="17" s="1"/>
  <c r="H8" i="17" s="1"/>
  <c r="H7" i="17" s="1"/>
  <c r="H6" i="17" s="1"/>
  <c r="C30" i="18"/>
  <c r="I30" i="18" s="1"/>
  <c r="C29" i="18"/>
  <c r="I29" i="18" s="1"/>
  <c r="E6" i="18"/>
  <c r="F6" i="18" s="1"/>
  <c r="I6" i="18"/>
  <c r="J6" i="18" s="1"/>
  <c r="K6" i="18" s="1"/>
  <c r="E7" i="18"/>
  <c r="I7" i="18"/>
  <c r="B11" i="18"/>
  <c r="F27" i="12"/>
  <c r="F26" i="12"/>
  <c r="F19" i="12"/>
  <c r="G18" i="12"/>
  <c r="C24" i="12"/>
  <c r="F24" i="12" s="1"/>
  <c r="J21" i="12"/>
  <c r="J25" i="12"/>
  <c r="J18" i="12"/>
  <c r="G7" i="9"/>
  <c r="H7" i="9" s="1"/>
  <c r="G8" i="9"/>
  <c r="H8" i="9" s="1"/>
  <c r="G9" i="9"/>
  <c r="H6" i="9"/>
  <c r="C9" i="9"/>
  <c r="C8" i="8"/>
  <c r="G7" i="8"/>
  <c r="H7" i="8" s="1"/>
  <c r="E6" i="8"/>
  <c r="E7" i="8" s="1"/>
  <c r="E8" i="8" s="1"/>
  <c r="E9" i="8" s="1"/>
  <c r="E10" i="8" s="1"/>
  <c r="G6" i="8"/>
  <c r="H6" i="8" s="1"/>
  <c r="J7" i="18" l="1"/>
  <c r="K7" i="18"/>
  <c r="J8" i="18"/>
  <c r="E8" i="18"/>
  <c r="F7" i="18"/>
  <c r="O19" i="12"/>
  <c r="O20" i="12" s="1"/>
  <c r="B12" i="18"/>
  <c r="G5" i="12"/>
  <c r="H9" i="9"/>
  <c r="D16" i="9" s="1"/>
  <c r="D22" i="9" s="1"/>
  <c r="C10" i="9"/>
  <c r="H10" i="9" s="1"/>
  <c r="C9" i="8"/>
  <c r="G8" i="8"/>
  <c r="H8" i="8" s="1"/>
  <c r="D10" i="6"/>
  <c r="D9" i="6"/>
  <c r="D8" i="6"/>
  <c r="D7" i="6"/>
  <c r="D6" i="6"/>
  <c r="C4" i="6"/>
  <c r="D5" i="6"/>
  <c r="D4" i="6"/>
  <c r="I5" i="3"/>
  <c r="I6" i="3" s="1"/>
  <c r="I7" i="3" s="1"/>
  <c r="I8" i="3" s="1"/>
  <c r="I9" i="3" s="1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J9" i="18" l="1"/>
  <c r="K8" i="18"/>
  <c r="E9" i="18"/>
  <c r="F8" i="18"/>
  <c r="B13" i="18"/>
  <c r="O21" i="12"/>
  <c r="K5" i="12"/>
  <c r="K18" i="12" s="1"/>
  <c r="H5" i="12"/>
  <c r="I5" i="12" s="1"/>
  <c r="M18" i="12" s="1"/>
  <c r="D6" i="12"/>
  <c r="C10" i="8"/>
  <c r="H10" i="8" s="1"/>
  <c r="D16" i="8" s="1"/>
  <c r="G9" i="8"/>
  <c r="H9" i="8" s="1"/>
  <c r="E4" i="6"/>
  <c r="C5" i="6"/>
  <c r="C6" i="6" s="1"/>
  <c r="C7" i="6" s="1"/>
  <c r="D12" i="6"/>
  <c r="D11" i="6"/>
  <c r="B5" i="6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J10" i="18" l="1"/>
  <c r="K9" i="18"/>
  <c r="E10" i="18"/>
  <c r="F9" i="18"/>
  <c r="B14" i="18"/>
  <c r="E6" i="12"/>
  <c r="F6" i="12" s="1"/>
  <c r="N18" i="12"/>
  <c r="P18" i="12" s="1"/>
  <c r="Q18" i="12" s="1"/>
  <c r="O22" i="12"/>
  <c r="D20" i="8"/>
  <c r="E16" i="8"/>
  <c r="F16" i="8"/>
  <c r="E5" i="6"/>
  <c r="D13" i="6"/>
  <c r="E6" i="6"/>
  <c r="C8" i="6"/>
  <c r="E7" i="6"/>
  <c r="E27" i="4"/>
  <c r="E26" i="4"/>
  <c r="E25" i="4"/>
  <c r="E24" i="4"/>
  <c r="E23" i="4"/>
  <c r="E22" i="4"/>
  <c r="E21" i="4"/>
  <c r="E20" i="4"/>
  <c r="E19" i="4"/>
  <c r="B19" i="4"/>
  <c r="B20" i="4" s="1"/>
  <c r="B21" i="4" s="1"/>
  <c r="B22" i="4" s="1"/>
  <c r="B23" i="4" s="1"/>
  <c r="B24" i="4" s="1"/>
  <c r="B25" i="4" s="1"/>
  <c r="B26" i="4" s="1"/>
  <c r="B27" i="4" s="1"/>
  <c r="E18" i="4"/>
  <c r="C14" i="4"/>
  <c r="C27" i="4" s="1"/>
  <c r="F27" i="4" s="1"/>
  <c r="C13" i="4"/>
  <c r="C26" i="4" s="1"/>
  <c r="C12" i="4"/>
  <c r="C25" i="4" s="1"/>
  <c r="C11" i="4"/>
  <c r="C24" i="4" s="1"/>
  <c r="F24" i="4" s="1"/>
  <c r="C10" i="4"/>
  <c r="C23" i="4" s="1"/>
  <c r="F23" i="4" s="1"/>
  <c r="C9" i="4"/>
  <c r="C22" i="4" s="1"/>
  <c r="C8" i="4"/>
  <c r="C21" i="4" s="1"/>
  <c r="C7" i="4"/>
  <c r="C20" i="4" s="1"/>
  <c r="F20" i="4" s="1"/>
  <c r="C6" i="4"/>
  <c r="C19" i="4" s="1"/>
  <c r="B6" i="4"/>
  <c r="B7" i="4" s="1"/>
  <c r="B8" i="4" s="1"/>
  <c r="B9" i="4" s="1"/>
  <c r="B10" i="4" s="1"/>
  <c r="B11" i="4" s="1"/>
  <c r="B12" i="4" s="1"/>
  <c r="B13" i="4" s="1"/>
  <c r="B14" i="4" s="1"/>
  <c r="C5" i="4"/>
  <c r="C18" i="4" s="1"/>
  <c r="E11" i="18" l="1"/>
  <c r="F10" i="18"/>
  <c r="J11" i="18"/>
  <c r="K10" i="18"/>
  <c r="G6" i="12"/>
  <c r="B15" i="18"/>
  <c r="O23" i="12"/>
  <c r="D21" i="8"/>
  <c r="F19" i="4"/>
  <c r="F18" i="4"/>
  <c r="F25" i="4"/>
  <c r="F21" i="4"/>
  <c r="F22" i="4"/>
  <c r="F26" i="4"/>
  <c r="D14" i="6"/>
  <c r="C9" i="6"/>
  <c r="E8" i="6"/>
  <c r="D5" i="4"/>
  <c r="E5" i="4" s="1"/>
  <c r="L27" i="2"/>
  <c r="E27" i="2"/>
  <c r="E26" i="2"/>
  <c r="E25" i="2"/>
  <c r="E24" i="2"/>
  <c r="E23" i="2"/>
  <c r="E22" i="2"/>
  <c r="E21" i="2"/>
  <c r="E20" i="2"/>
  <c r="E19" i="2"/>
  <c r="E18" i="2"/>
  <c r="C14" i="2"/>
  <c r="C27" i="2" s="1"/>
  <c r="C13" i="2"/>
  <c r="C26" i="2" s="1"/>
  <c r="C12" i="2"/>
  <c r="C25" i="2" s="1"/>
  <c r="C11" i="2"/>
  <c r="C24" i="2" s="1"/>
  <c r="C10" i="2"/>
  <c r="C23" i="2" s="1"/>
  <c r="C9" i="2"/>
  <c r="C22" i="2" s="1"/>
  <c r="C8" i="2"/>
  <c r="C21" i="2" s="1"/>
  <c r="C7" i="2"/>
  <c r="C20" i="2" s="1"/>
  <c r="C6" i="2"/>
  <c r="C19" i="2" s="1"/>
  <c r="C5" i="2"/>
  <c r="E12" i="18" l="1"/>
  <c r="F11" i="18"/>
  <c r="J12" i="18"/>
  <c r="K11" i="18"/>
  <c r="G19" i="12"/>
  <c r="B16" i="18"/>
  <c r="D7" i="12"/>
  <c r="K6" i="12"/>
  <c r="K19" i="12" s="1"/>
  <c r="H6" i="12"/>
  <c r="I6" i="12" s="1"/>
  <c r="M19" i="12" s="1"/>
  <c r="O24" i="12"/>
  <c r="D22" i="8"/>
  <c r="D23" i="9"/>
  <c r="D24" i="9" s="1"/>
  <c r="C18" i="2"/>
  <c r="F18" i="2" s="1"/>
  <c r="D5" i="2"/>
  <c r="D15" i="6"/>
  <c r="C10" i="6"/>
  <c r="E9" i="6"/>
  <c r="F5" i="4"/>
  <c r="G18" i="4" s="1"/>
  <c r="F19" i="2"/>
  <c r="F23" i="2"/>
  <c r="F27" i="2"/>
  <c r="F20" i="2"/>
  <c r="F24" i="2"/>
  <c r="F22" i="2"/>
  <c r="F26" i="2"/>
  <c r="F25" i="2"/>
  <c r="F21" i="2"/>
  <c r="B19" i="2"/>
  <c r="B20" i="2" s="1"/>
  <c r="B21" i="2" s="1"/>
  <c r="B22" i="2" s="1"/>
  <c r="B23" i="2" s="1"/>
  <c r="B24" i="2" s="1"/>
  <c r="B25" i="2" s="1"/>
  <c r="B26" i="2" s="1"/>
  <c r="B27" i="2" s="1"/>
  <c r="B6" i="2"/>
  <c r="B7" i="2" s="1"/>
  <c r="B8" i="2" s="1"/>
  <c r="B9" i="2" s="1"/>
  <c r="B10" i="2" s="1"/>
  <c r="B11" i="2" s="1"/>
  <c r="B12" i="2" s="1"/>
  <c r="B13" i="2" s="1"/>
  <c r="B14" i="2" s="1"/>
  <c r="J13" i="18" l="1"/>
  <c r="K12" i="18"/>
  <c r="E13" i="18"/>
  <c r="F12" i="18"/>
  <c r="B17" i="18"/>
  <c r="E7" i="12"/>
  <c r="F7" i="12" s="1"/>
  <c r="O25" i="12"/>
  <c r="N19" i="12"/>
  <c r="P19" i="12" s="1"/>
  <c r="Q19" i="12" s="1"/>
  <c r="D16" i="6"/>
  <c r="C11" i="6"/>
  <c r="E10" i="6"/>
  <c r="G5" i="4"/>
  <c r="E5" i="2"/>
  <c r="F5" i="2" s="1"/>
  <c r="E14" i="18" l="1"/>
  <c r="F13" i="18"/>
  <c r="J14" i="18"/>
  <c r="K13" i="18"/>
  <c r="G7" i="12"/>
  <c r="B18" i="18"/>
  <c r="O26" i="12"/>
  <c r="D17" i="6"/>
  <c r="C12" i="6"/>
  <c r="E11" i="6"/>
  <c r="H5" i="4"/>
  <c r="I5" i="4" s="1"/>
  <c r="K5" i="4"/>
  <c r="D6" i="4"/>
  <c r="E6" i="4" s="1"/>
  <c r="G5" i="2"/>
  <c r="G18" i="2"/>
  <c r="J15" i="18" l="1"/>
  <c r="K14" i="18"/>
  <c r="E15" i="18"/>
  <c r="F14" i="18"/>
  <c r="G20" i="12"/>
  <c r="B19" i="18"/>
  <c r="O27" i="12"/>
  <c r="D8" i="12"/>
  <c r="K7" i="12"/>
  <c r="K20" i="12" s="1"/>
  <c r="H7" i="12"/>
  <c r="I7" i="12" s="1"/>
  <c r="M20" i="12" s="1"/>
  <c r="D18" i="6"/>
  <c r="C13" i="6"/>
  <c r="E12" i="6"/>
  <c r="F6" i="4"/>
  <c r="G19" i="4" s="1"/>
  <c r="H5" i="2"/>
  <c r="I5" i="2" s="1"/>
  <c r="D6" i="2"/>
  <c r="E6" i="2" s="1"/>
  <c r="F6" i="2" s="1"/>
  <c r="G19" i="2" s="1"/>
  <c r="K5" i="2"/>
  <c r="E16" i="18" l="1"/>
  <c r="F15" i="18"/>
  <c r="J16" i="18"/>
  <c r="K15" i="18"/>
  <c r="B20" i="18"/>
  <c r="E8" i="12"/>
  <c r="F8" i="12" s="1"/>
  <c r="N20" i="12"/>
  <c r="P20" i="12" s="1"/>
  <c r="Q20" i="12" s="1"/>
  <c r="D19" i="6"/>
  <c r="C14" i="6"/>
  <c r="E13" i="6"/>
  <c r="G6" i="4"/>
  <c r="G6" i="2"/>
  <c r="D7" i="2" s="1"/>
  <c r="E7" i="2" s="1"/>
  <c r="J17" i="18" l="1"/>
  <c r="K16" i="18"/>
  <c r="E17" i="18"/>
  <c r="F16" i="18"/>
  <c r="B21" i="18"/>
  <c r="G21" i="12"/>
  <c r="D20" i="6"/>
  <c r="C15" i="6"/>
  <c r="E14" i="6"/>
  <c r="K6" i="2"/>
  <c r="H6" i="2"/>
  <c r="I6" i="2" s="1"/>
  <c r="H6" i="4"/>
  <c r="I6" i="4" s="1"/>
  <c r="K6" i="4"/>
  <c r="D7" i="4"/>
  <c r="E7" i="4" s="1"/>
  <c r="F7" i="2"/>
  <c r="G20" i="2" s="1"/>
  <c r="E18" i="18" l="1"/>
  <c r="F17" i="18"/>
  <c r="J18" i="18"/>
  <c r="K17" i="18"/>
  <c r="B22" i="18"/>
  <c r="G8" i="12"/>
  <c r="H18" i="2"/>
  <c r="J18" i="2" s="1"/>
  <c r="H18" i="4"/>
  <c r="D21" i="6"/>
  <c r="C16" i="6"/>
  <c r="E15" i="6"/>
  <c r="G7" i="2"/>
  <c r="K7" i="2" s="1"/>
  <c r="F7" i="4"/>
  <c r="G20" i="4" s="1"/>
  <c r="J19" i="18" l="1"/>
  <c r="K18" i="18"/>
  <c r="E19" i="18"/>
  <c r="F18" i="18"/>
  <c r="B23" i="18"/>
  <c r="K8" i="12"/>
  <c r="K21" i="12" s="1"/>
  <c r="H8" i="12"/>
  <c r="I8" i="12" s="1"/>
  <c r="M21" i="12" s="1"/>
  <c r="D9" i="12"/>
  <c r="M18" i="2"/>
  <c r="H7" i="2"/>
  <c r="I7" i="2" s="1"/>
  <c r="D8" i="2"/>
  <c r="E8" i="2" s="1"/>
  <c r="G7" i="4"/>
  <c r="J18" i="4"/>
  <c r="K18" i="4" s="1"/>
  <c r="M18" i="4"/>
  <c r="H19" i="2"/>
  <c r="L19" i="2" s="1"/>
  <c r="H19" i="4"/>
  <c r="D22" i="6"/>
  <c r="L18" i="2"/>
  <c r="K18" i="2"/>
  <c r="C17" i="6"/>
  <c r="E16" i="6"/>
  <c r="K7" i="4"/>
  <c r="F8" i="2"/>
  <c r="G21" i="2" s="1"/>
  <c r="E20" i="18" l="1"/>
  <c r="F19" i="18"/>
  <c r="J20" i="18"/>
  <c r="K19" i="18"/>
  <c r="B24" i="18"/>
  <c r="N21" i="12"/>
  <c r="P21" i="12" s="1"/>
  <c r="Q21" i="12" s="1"/>
  <c r="E9" i="12"/>
  <c r="F9" i="12" s="1"/>
  <c r="O21" i="2"/>
  <c r="M19" i="2"/>
  <c r="N19" i="2" s="1"/>
  <c r="H7" i="4"/>
  <c r="I7" i="4" s="1"/>
  <c r="K19" i="2"/>
  <c r="N18" i="4"/>
  <c r="P18" i="4" s="1"/>
  <c r="Q18" i="4" s="1"/>
  <c r="O19" i="4"/>
  <c r="D8" i="4"/>
  <c r="E8" i="4" s="1"/>
  <c r="F8" i="4" s="1"/>
  <c r="G21" i="4" s="1"/>
  <c r="H20" i="2"/>
  <c r="J20" i="2" s="1"/>
  <c r="L20" i="2" s="1"/>
  <c r="H20" i="4"/>
  <c r="J19" i="4"/>
  <c r="M19" i="4"/>
  <c r="D24" i="6"/>
  <c r="D23" i="6"/>
  <c r="N18" i="2"/>
  <c r="P18" i="2" s="1"/>
  <c r="Q18" i="2" s="1"/>
  <c r="Q29" i="2" s="1"/>
  <c r="C18" i="6"/>
  <c r="E17" i="6"/>
  <c r="G8" i="2"/>
  <c r="K8" i="2" s="1"/>
  <c r="J21" i="18" l="1"/>
  <c r="K20" i="18"/>
  <c r="E21" i="18"/>
  <c r="F20" i="18"/>
  <c r="B25" i="18"/>
  <c r="G22" i="12"/>
  <c r="O20" i="4"/>
  <c r="D9" i="2"/>
  <c r="E9" i="2" s="1"/>
  <c r="F9" i="2" s="1"/>
  <c r="G22" i="2" s="1"/>
  <c r="H8" i="2"/>
  <c r="I8" i="2" s="1"/>
  <c r="G8" i="4"/>
  <c r="H8" i="4" s="1"/>
  <c r="I8" i="4" s="1"/>
  <c r="J20" i="4"/>
  <c r="K20" i="4" s="1"/>
  <c r="M20" i="4"/>
  <c r="M20" i="2"/>
  <c r="H21" i="2"/>
  <c r="J21" i="2" s="1"/>
  <c r="L21" i="2" s="1"/>
  <c r="H21" i="4"/>
  <c r="K20" i="2"/>
  <c r="N20" i="2" s="1"/>
  <c r="P20" i="2" s="1"/>
  <c r="Q20" i="2" s="1"/>
  <c r="K19" i="4"/>
  <c r="C19" i="6"/>
  <c r="E18" i="6"/>
  <c r="K8" i="4"/>
  <c r="D9" i="4"/>
  <c r="E9" i="4" s="1"/>
  <c r="E22" i="18" l="1"/>
  <c r="F21" i="18"/>
  <c r="J22" i="18"/>
  <c r="K21" i="18"/>
  <c r="B26" i="18"/>
  <c r="G9" i="12"/>
  <c r="K9" i="12" s="1"/>
  <c r="K22" i="12" s="1"/>
  <c r="N19" i="4"/>
  <c r="P19" i="4" s="1"/>
  <c r="Q19" i="4" s="1"/>
  <c r="N20" i="4"/>
  <c r="P20" i="4" s="1"/>
  <c r="Q20" i="4" s="1"/>
  <c r="K21" i="2"/>
  <c r="J21" i="4"/>
  <c r="M21" i="4"/>
  <c r="O22" i="2"/>
  <c r="H22" i="2"/>
  <c r="J22" i="2" s="1"/>
  <c r="L22" i="2" s="1"/>
  <c r="H22" i="4"/>
  <c r="M21" i="2"/>
  <c r="N21" i="2" s="1"/>
  <c r="P21" i="2" s="1"/>
  <c r="Q21" i="2" s="1"/>
  <c r="O21" i="4"/>
  <c r="O22" i="4" s="1"/>
  <c r="C20" i="6"/>
  <c r="E19" i="6"/>
  <c r="G9" i="2"/>
  <c r="K9" i="2" s="1"/>
  <c r="K22" i="2" s="1"/>
  <c r="F9" i="4"/>
  <c r="G22" i="4" s="1"/>
  <c r="D10" i="2"/>
  <c r="E10" i="2" s="1"/>
  <c r="J23" i="18" l="1"/>
  <c r="K22" i="18"/>
  <c r="E23" i="18"/>
  <c r="F22" i="18"/>
  <c r="B27" i="18"/>
  <c r="D10" i="12"/>
  <c r="E10" i="12" s="1"/>
  <c r="F10" i="12" s="1"/>
  <c r="H9" i="12"/>
  <c r="I9" i="12" s="1"/>
  <c r="M22" i="12" s="1"/>
  <c r="N22" i="12" s="1"/>
  <c r="P22" i="12" s="1"/>
  <c r="Q22" i="12" s="1"/>
  <c r="G9" i="4"/>
  <c r="O23" i="2"/>
  <c r="K21" i="4"/>
  <c r="N21" i="4" s="1"/>
  <c r="P21" i="4" s="1"/>
  <c r="Q21" i="4" s="1"/>
  <c r="H9" i="2"/>
  <c r="I9" i="2" s="1"/>
  <c r="M22" i="2" s="1"/>
  <c r="H23" i="2"/>
  <c r="J23" i="2" s="1"/>
  <c r="L23" i="2" s="1"/>
  <c r="H23" i="4"/>
  <c r="J22" i="4"/>
  <c r="O23" i="4" s="1"/>
  <c r="N22" i="2"/>
  <c r="P22" i="2" s="1"/>
  <c r="Q22" i="2" s="1"/>
  <c r="C21" i="6"/>
  <c r="E20" i="6"/>
  <c r="K9" i="4"/>
  <c r="H9" i="4"/>
  <c r="I9" i="4" s="1"/>
  <c r="M22" i="4" s="1"/>
  <c r="D10" i="4"/>
  <c r="E10" i="4" s="1"/>
  <c r="F10" i="2"/>
  <c r="G23" i="2" s="1"/>
  <c r="G10" i="2"/>
  <c r="E24" i="18" l="1"/>
  <c r="F23" i="18"/>
  <c r="J24" i="18"/>
  <c r="K23" i="18"/>
  <c r="B28" i="18"/>
  <c r="G23" i="12"/>
  <c r="O24" i="2"/>
  <c r="J23" i="4"/>
  <c r="O24" i="4" s="1"/>
  <c r="K22" i="4"/>
  <c r="H24" i="2"/>
  <c r="J24" i="2" s="1"/>
  <c r="L24" i="2" s="1"/>
  <c r="H24" i="4"/>
  <c r="O25" i="2"/>
  <c r="C22" i="6"/>
  <c r="E21" i="6"/>
  <c r="F10" i="4"/>
  <c r="G23" i="4" s="1"/>
  <c r="D11" i="2"/>
  <c r="E11" i="2" s="1"/>
  <c r="K10" i="2"/>
  <c r="K23" i="2" s="1"/>
  <c r="H10" i="2"/>
  <c r="I10" i="2" s="1"/>
  <c r="M23" i="2" s="1"/>
  <c r="N23" i="2" s="1"/>
  <c r="P23" i="2" s="1"/>
  <c r="Q23" i="2" s="1"/>
  <c r="J25" i="18" l="1"/>
  <c r="K24" i="18"/>
  <c r="E25" i="18"/>
  <c r="F24" i="18"/>
  <c r="B29" i="18"/>
  <c r="G10" i="12"/>
  <c r="N22" i="4"/>
  <c r="P22" i="4" s="1"/>
  <c r="Q22" i="4" s="1"/>
  <c r="H25" i="2"/>
  <c r="J25" i="2" s="1"/>
  <c r="L25" i="2" s="1"/>
  <c r="H25" i="4"/>
  <c r="J24" i="4"/>
  <c r="O25" i="4" s="1"/>
  <c r="O26" i="2"/>
  <c r="C23" i="6"/>
  <c r="E22" i="6"/>
  <c r="G10" i="4"/>
  <c r="F11" i="2"/>
  <c r="G24" i="2" s="1"/>
  <c r="E26" i="18" l="1"/>
  <c r="F25" i="18"/>
  <c r="J26" i="18"/>
  <c r="K25" i="18"/>
  <c r="B30" i="18"/>
  <c r="H10" i="12"/>
  <c r="I10" i="12" s="1"/>
  <c r="M23" i="12" s="1"/>
  <c r="K10" i="12"/>
  <c r="K23" i="12" s="1"/>
  <c r="D11" i="12"/>
  <c r="G11" i="2"/>
  <c r="J25" i="4"/>
  <c r="O26" i="4" s="1"/>
  <c r="H26" i="2"/>
  <c r="J26" i="2" s="1"/>
  <c r="L26" i="2" s="1"/>
  <c r="H26" i="4"/>
  <c r="C24" i="6"/>
  <c r="E24" i="6" s="1"/>
  <c r="E23" i="6"/>
  <c r="D11" i="4"/>
  <c r="E11" i="4" s="1"/>
  <c r="H10" i="4"/>
  <c r="I10" i="4" s="1"/>
  <c r="M23" i="4" s="1"/>
  <c r="K10" i="4"/>
  <c r="K23" i="4" s="1"/>
  <c r="D12" i="2"/>
  <c r="E12" i="2" s="1"/>
  <c r="H11" i="2"/>
  <c r="I11" i="2" s="1"/>
  <c r="M24" i="2" s="1"/>
  <c r="K11" i="2"/>
  <c r="K24" i="2" s="1"/>
  <c r="J27" i="18" l="1"/>
  <c r="K26" i="18"/>
  <c r="E27" i="18"/>
  <c r="F26" i="18"/>
  <c r="E11" i="12"/>
  <c r="F11" i="12" s="1"/>
  <c r="N23" i="12"/>
  <c r="P23" i="12" s="1"/>
  <c r="Q23" i="12" s="1"/>
  <c r="O27" i="2"/>
  <c r="H27" i="2"/>
  <c r="J27" i="2" s="1"/>
  <c r="H27" i="4"/>
  <c r="J27" i="4" s="1"/>
  <c r="J26" i="4"/>
  <c r="O27" i="4" s="1"/>
  <c r="N24" i="2"/>
  <c r="P24" i="2" s="1"/>
  <c r="Q24" i="2" s="1"/>
  <c r="F11" i="4"/>
  <c r="G24" i="4" s="1"/>
  <c r="N23" i="4"/>
  <c r="P23" i="4" s="1"/>
  <c r="Q23" i="4" s="1"/>
  <c r="F12" i="2"/>
  <c r="G25" i="2" s="1"/>
  <c r="E28" i="18" l="1"/>
  <c r="F27" i="18"/>
  <c r="J28" i="18"/>
  <c r="K27" i="18"/>
  <c r="G24" i="12"/>
  <c r="G11" i="4"/>
  <c r="G12" i="2"/>
  <c r="K12" i="2" s="1"/>
  <c r="K25" i="2" s="1"/>
  <c r="D13" i="2"/>
  <c r="E13" i="2" s="1"/>
  <c r="J29" i="18" l="1"/>
  <c r="K28" i="18"/>
  <c r="E29" i="18"/>
  <c r="F28" i="18"/>
  <c r="G11" i="12"/>
  <c r="H12" i="2"/>
  <c r="I12" i="2" s="1"/>
  <c r="M25" i="2" s="1"/>
  <c r="N25" i="2" s="1"/>
  <c r="P25" i="2" s="1"/>
  <c r="Q25" i="2" s="1"/>
  <c r="H11" i="4"/>
  <c r="I11" i="4" s="1"/>
  <c r="M24" i="4" s="1"/>
  <c r="K11" i="4"/>
  <c r="K24" i="4" s="1"/>
  <c r="D12" i="4"/>
  <c r="E12" i="4" s="1"/>
  <c r="F13" i="2"/>
  <c r="G26" i="2" s="1"/>
  <c r="E30" i="18" l="1"/>
  <c r="F30" i="18" s="1"/>
  <c r="F32" i="18" s="1"/>
  <c r="F29" i="18"/>
  <c r="J30" i="18"/>
  <c r="K30" i="18" s="1"/>
  <c r="K29" i="18"/>
  <c r="H11" i="12"/>
  <c r="I11" i="12" s="1"/>
  <c r="M24" i="12" s="1"/>
  <c r="K11" i="12"/>
  <c r="K24" i="12" s="1"/>
  <c r="D12" i="12"/>
  <c r="F12" i="4"/>
  <c r="G25" i="4" s="1"/>
  <c r="N24" i="4"/>
  <c r="P24" i="4" s="1"/>
  <c r="Q24" i="4" s="1"/>
  <c r="G13" i="2"/>
  <c r="K32" i="18" l="1"/>
  <c r="N24" i="12"/>
  <c r="P24" i="12" s="1"/>
  <c r="Q24" i="12" s="1"/>
  <c r="E12" i="12"/>
  <c r="F12" i="12" s="1"/>
  <c r="G12" i="4"/>
  <c r="K12" i="4"/>
  <c r="K25" i="4" s="1"/>
  <c r="H12" i="4"/>
  <c r="I12" i="4" s="1"/>
  <c r="M25" i="4" s="1"/>
  <c r="D13" i="4"/>
  <c r="E13" i="4" s="1"/>
  <c r="D14" i="2"/>
  <c r="E14" i="2" s="1"/>
  <c r="K13" i="2"/>
  <c r="K26" i="2" s="1"/>
  <c r="H13" i="2"/>
  <c r="I13" i="2" s="1"/>
  <c r="M26" i="2" s="1"/>
  <c r="G25" i="12" l="1"/>
  <c r="G12" i="12"/>
  <c r="N25" i="4"/>
  <c r="P25" i="4" s="1"/>
  <c r="Q25" i="4" s="1"/>
  <c r="F13" i="4"/>
  <c r="G26" i="4" s="1"/>
  <c r="N26" i="2"/>
  <c r="P26" i="2" s="1"/>
  <c r="Q26" i="2" s="1"/>
  <c r="F14" i="2"/>
  <c r="G27" i="2" s="1"/>
  <c r="D13" i="12" l="1"/>
  <c r="K12" i="12"/>
  <c r="K25" i="12" s="1"/>
  <c r="H12" i="12"/>
  <c r="I12" i="12" s="1"/>
  <c r="M25" i="12" s="1"/>
  <c r="G14" i="2"/>
  <c r="K14" i="2" s="1"/>
  <c r="K27" i="2" s="1"/>
  <c r="G13" i="4"/>
  <c r="N25" i="12" l="1"/>
  <c r="P25" i="12" s="1"/>
  <c r="Q25" i="12" s="1"/>
  <c r="E13" i="12"/>
  <c r="F13" i="12" s="1"/>
  <c r="H14" i="2"/>
  <c r="I14" i="2" s="1"/>
  <c r="M27" i="2" s="1"/>
  <c r="N27" i="2" s="1"/>
  <c r="P27" i="2" s="1"/>
  <c r="Q27" i="2" s="1"/>
  <c r="K13" i="4"/>
  <c r="K26" i="4" s="1"/>
  <c r="H13" i="4"/>
  <c r="I13" i="4" s="1"/>
  <c r="M26" i="4" s="1"/>
  <c r="D14" i="4"/>
  <c r="E14" i="4" s="1"/>
  <c r="G26" i="12" l="1"/>
  <c r="F14" i="4"/>
  <c r="G27" i="4" s="1"/>
  <c r="G14" i="4"/>
  <c r="N26" i="4"/>
  <c r="P26" i="4" s="1"/>
  <c r="Q26" i="4" s="1"/>
  <c r="G13" i="12" l="1"/>
  <c r="K13" i="12" s="1"/>
  <c r="K26" i="12" s="1"/>
  <c r="H14" i="4"/>
  <c r="I14" i="4" s="1"/>
  <c r="M27" i="4" s="1"/>
  <c r="K14" i="4"/>
  <c r="K27" i="4" s="1"/>
  <c r="D14" i="12" l="1"/>
  <c r="E14" i="12" s="1"/>
  <c r="F14" i="12" s="1"/>
  <c r="H13" i="12"/>
  <c r="I13" i="12" s="1"/>
  <c r="M26" i="12" s="1"/>
  <c r="N26" i="12" s="1"/>
  <c r="P26" i="12" s="1"/>
  <c r="Q26" i="12" s="1"/>
  <c r="N27" i="4"/>
  <c r="P27" i="4" s="1"/>
  <c r="Q27" i="4" s="1"/>
  <c r="Q29" i="4" s="1"/>
  <c r="G27" i="12" l="1"/>
  <c r="G14" i="12" l="1"/>
  <c r="H14" i="12" l="1"/>
  <c r="I14" i="12" s="1"/>
  <c r="M27" i="12" s="1"/>
  <c r="K14" i="12"/>
  <c r="K27" i="12" s="1"/>
  <c r="N27" i="12" l="1"/>
  <c r="P27" i="12" s="1"/>
  <c r="Q27" i="12" s="1"/>
  <c r="Q29" i="12" s="1"/>
  <c r="Q31" i="12" s="1"/>
</calcChain>
</file>

<file path=xl/sharedStrings.xml><?xml version="1.0" encoding="utf-8"?>
<sst xmlns="http://schemas.openxmlformats.org/spreadsheetml/2006/main" count="271" uniqueCount="124">
  <si>
    <t>Age</t>
  </si>
  <si>
    <r>
      <t>q</t>
    </r>
    <r>
      <rPr>
        <vertAlign val="subscript"/>
        <sz val="10"/>
        <color theme="1"/>
        <rFont val="Arial"/>
        <family val="2"/>
        <scheme val="minor"/>
      </rPr>
      <t>x</t>
    </r>
  </si>
  <si>
    <t>Mortality rate</t>
  </si>
  <si>
    <t>Year</t>
  </si>
  <si>
    <t>Premium less allocation</t>
  </si>
  <si>
    <t>Policy fee</t>
  </si>
  <si>
    <t>Fund at BOY</t>
  </si>
  <si>
    <t>Fund at EOY wo deducting policy fee</t>
  </si>
  <si>
    <t>Fund at EOY after deducting policy fee</t>
  </si>
  <si>
    <t>Surrender penalty</t>
  </si>
  <si>
    <t>Surrender penalty (pc)</t>
  </si>
  <si>
    <t>Non Unit Cashflows</t>
  </si>
  <si>
    <t>Expenses (Initial &amp; Renewal)</t>
  </si>
  <si>
    <t>Interest</t>
  </si>
  <si>
    <t>Because surrenders take place at the end of each year, the dependent probability of dying is the same as
the independent probability.</t>
  </si>
  <si>
    <t>Expected Surrender profit</t>
  </si>
  <si>
    <t>Allocation profit</t>
  </si>
  <si>
    <t>Commission (Initial &amp; Renewal)</t>
  </si>
  <si>
    <t>Unit Cashflows</t>
  </si>
  <si>
    <t>Expected death cost</t>
  </si>
  <si>
    <t>Cashflow</t>
  </si>
  <si>
    <t>Probability in force</t>
  </si>
  <si>
    <t>Profit signature</t>
  </si>
  <si>
    <t>NPV of profit</t>
  </si>
  <si>
    <t>Total</t>
  </si>
  <si>
    <t>Parameters</t>
  </si>
  <si>
    <t>Premium p.a.</t>
  </si>
  <si>
    <t>Allocation rate</t>
  </si>
  <si>
    <t>Bonus rate</t>
  </si>
  <si>
    <t>Commission rate</t>
  </si>
  <si>
    <t>Non Unit Interest</t>
  </si>
  <si>
    <t>Expected claim expense in INR</t>
  </si>
  <si>
    <t>Expected Claim expenses*</t>
  </si>
  <si>
    <t>*Year 10 expected claim expense is 50 since it is a definite maturity year</t>
  </si>
  <si>
    <t>Maximum death benefit</t>
  </si>
  <si>
    <t>Terminal Bonus rate</t>
  </si>
  <si>
    <t>Unit fund plus TB at the end of year</t>
  </si>
  <si>
    <t>Terminal Bonus (TB)</t>
  </si>
  <si>
    <t>Mortality Rate</t>
  </si>
  <si>
    <t>Independent Surrender Rate</t>
  </si>
  <si>
    <t>Dependent Surrender rate</t>
  </si>
  <si>
    <t>New Independent Surrender Rate</t>
  </si>
  <si>
    <t>Since surrender probability is higher in the first few years than the previous assessment and so is the surrender penalty, the NPV of profit is higher</t>
  </si>
  <si>
    <t>Also since the overall probability in force has increased under the new surrender assumption, the expected claim expenses are lower leading to higher NPV of profit.</t>
  </si>
  <si>
    <t>Explain your results (2 marks - 2 relevant points)</t>
  </si>
  <si>
    <t>1)</t>
  </si>
  <si>
    <t>2)</t>
  </si>
  <si>
    <t>lx</t>
  </si>
  <si>
    <t>dx</t>
  </si>
  <si>
    <t>Mortality Data</t>
  </si>
  <si>
    <t>Lives aged 40 years exact</t>
  </si>
  <si>
    <t>Marks 2</t>
  </si>
  <si>
    <t xml:space="preserve"> = Marks 4</t>
  </si>
  <si>
    <t>+</t>
  </si>
  <si>
    <t>Comment:</t>
  </si>
  <si>
    <t>As expected, the mortality increases smoothly with age.</t>
  </si>
  <si>
    <t>Marks 2 - for graph</t>
  </si>
  <si>
    <t>(ensure all axes have been labelled)</t>
  </si>
  <si>
    <t>Marks 1 for comment</t>
  </si>
  <si>
    <t>qx</t>
  </si>
  <si>
    <t>End of policy year</t>
  </si>
  <si>
    <t>Number of surviving policyholders at end of year</t>
  </si>
  <si>
    <t>Expected cash flows on death</t>
  </si>
  <si>
    <t>Expected cash flows on survival</t>
  </si>
  <si>
    <t>Total expected cash flow</t>
  </si>
  <si>
    <t>Expectation:</t>
  </si>
  <si>
    <t>Variance</t>
  </si>
  <si>
    <t>Standard deviation</t>
  </si>
  <si>
    <t>Marks 1</t>
  </si>
  <si>
    <t xml:space="preserve">Ax:n </t>
  </si>
  <si>
    <t>Ax:n ^2</t>
  </si>
  <si>
    <t>Interest used:</t>
  </si>
  <si>
    <t>Calculated value:</t>
  </si>
  <si>
    <t>Answers:</t>
  </si>
  <si>
    <t>Marks 0.5</t>
  </si>
  <si>
    <t xml:space="preserve">ax:n </t>
  </si>
  <si>
    <t>Number of policyholders to which annuity payment is made</t>
  </si>
  <si>
    <t>d</t>
  </si>
  <si>
    <t>Total marks:  5</t>
  </si>
  <si>
    <t>Marks 1.5</t>
  </si>
  <si>
    <t>Premium paid</t>
  </si>
  <si>
    <t>Benefit received upon surival to maturity</t>
  </si>
  <si>
    <t>IRR for policyholder</t>
  </si>
  <si>
    <t>Net Cash flow for policyholder</t>
  </si>
  <si>
    <t>Method 1:</t>
  </si>
  <si>
    <t>Method 2:</t>
  </si>
  <si>
    <t>Marks 2 or</t>
  </si>
  <si>
    <t>Value of bond</t>
  </si>
  <si>
    <t>Cash flows from bond</t>
  </si>
  <si>
    <t>Time line</t>
  </si>
  <si>
    <t>IRR - semi annual</t>
  </si>
  <si>
    <t>Annual IRR</t>
  </si>
  <si>
    <t>Marks 2 - for cash flows</t>
  </si>
  <si>
    <t>Marks 1 - IRR</t>
  </si>
  <si>
    <t>Comparison:</t>
  </si>
  <si>
    <t>The guaranteed IRR on the fixed interest bond is higher than insurance product</t>
  </si>
  <si>
    <t>There is still a potential to higher returns on the insurance contract, as bonus will reflect investment performance which can be higher than assumed basis</t>
  </si>
  <si>
    <t>The insurance product provides a higher value on death of policyholder.  Although return on investment is lower, a protection benefit is offered.</t>
  </si>
  <si>
    <t>The terms of early surrender for insurance policy are known; however on sales of bond earlier than anticipated could result in unexpected losses (or gains)</t>
  </si>
  <si>
    <t>1 Mark for each relevant point (maximum 4 marks)</t>
  </si>
  <si>
    <t>Revised bonus rate</t>
  </si>
  <si>
    <t>Revised Bonus Rate</t>
  </si>
  <si>
    <t>Difference in NPV from part d</t>
  </si>
  <si>
    <t>Marks 2 - all other calcs are correctly copied</t>
  </si>
  <si>
    <t>Spot rates</t>
  </si>
  <si>
    <t>Investment</t>
  </si>
  <si>
    <t>Costs</t>
  </si>
  <si>
    <t>Annual income</t>
  </si>
  <si>
    <t>Net cash flow</t>
  </si>
  <si>
    <t>Forward rates</t>
  </si>
  <si>
    <t>Forward rate for half year</t>
  </si>
  <si>
    <t>Annualised forward rate</t>
  </si>
  <si>
    <t>NPV</t>
  </si>
  <si>
    <t>Cumulative cash flow</t>
  </si>
  <si>
    <t>Payback period</t>
  </si>
  <si>
    <t>Years in which cash flow is positive</t>
  </si>
  <si>
    <t>Spot rate</t>
  </si>
  <si>
    <t>PV of each cash flow at t = 0</t>
  </si>
  <si>
    <t>Cumulative PV of CF</t>
  </si>
  <si>
    <t>Years in which PV cash flow is positive</t>
  </si>
  <si>
    <t>DPP</t>
  </si>
  <si>
    <t>Answer</t>
  </si>
  <si>
    <t>Marks 3 - for graph</t>
  </si>
  <si>
    <t>Marks 4 - for correctly copying over all calculations from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</si>
</sst>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_(* #,##0.0000_);_(* \(#,##0.0000\);_(* &quot;-&quot;??_);_(@_)"/>
    <numFmt numFmtId="169" formatCode="0.0%"/>
    <numFmt numFmtId="170" formatCode="_-* #,##0.0000_-;\-* #,##0.0000_-;_-* &quot;-&quot;????_-;_-@_-"/>
    <numFmt numFmtId="171" formatCode="_(* #,##0.00000_);_(* \(#,##0.00000\);_(* &quot;-&quot;??_);_(@_)"/>
    <numFmt numFmtId="172" formatCode="_-* #,##0_-;\-* #,##0_-;_-* &quot;-&quot;??_-;_-@_-"/>
    <numFmt numFmtId="173" formatCode="_-* #,##0.000_-;\-* #,##0.000_-;_-* &quot;-&quot;??_-;_-@_-"/>
  </numFmts>
  <fonts count="12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vertAlign val="subscript"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5">
    <xf numFmtId="0" fontId="0" fillId="0" borderId="0" xfId="0"/>
    <xf numFmtId="0" fontId="0" fillId="0" borderId="7" xfId="0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right"/>
    </xf>
    <xf numFmtId="0" fontId="0" fillId="0" borderId="0" xfId="0" applyAlignment="1"/>
    <xf numFmtId="0" fontId="4" fillId="0" borderId="0" xfId="0" applyFont="1"/>
    <xf numFmtId="0" fontId="5" fillId="0" borderId="0" xfId="0" applyFont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9" fontId="2" fillId="0" borderId="13" xfId="0" applyNumberFormat="1" applyFont="1" applyBorder="1"/>
    <xf numFmtId="166" fontId="2" fillId="0" borderId="12" xfId="0" applyNumberFormat="1" applyFont="1" applyBorder="1"/>
    <xf numFmtId="166" fontId="2" fillId="0" borderId="13" xfId="0" applyNumberFormat="1" applyFont="1" applyBorder="1"/>
    <xf numFmtId="166" fontId="2" fillId="0" borderId="14" xfId="0" applyNumberFormat="1" applyFont="1" applyBorder="1"/>
    <xf numFmtId="9" fontId="2" fillId="0" borderId="15" xfId="0" applyNumberFormat="1" applyFont="1" applyBorder="1"/>
    <xf numFmtId="9" fontId="2" fillId="0" borderId="4" xfId="0" applyNumberFormat="1" applyFont="1" applyBorder="1"/>
    <xf numFmtId="9" fontId="2" fillId="0" borderId="16" xfId="0" applyNumberFormat="1" applyFont="1" applyBorder="1"/>
    <xf numFmtId="9" fontId="2" fillId="0" borderId="6" xfId="0" applyNumberFormat="1" applyFont="1" applyBorder="1"/>
    <xf numFmtId="0" fontId="6" fillId="0" borderId="17" xfId="0" applyFont="1" applyBorder="1" applyAlignment="1">
      <alignment horizontal="right"/>
    </xf>
    <xf numFmtId="0" fontId="6" fillId="0" borderId="18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0" fillId="0" borderId="3" xfId="0" applyBorder="1" applyAlignment="1">
      <alignment horizontal="right"/>
    </xf>
    <xf numFmtId="166" fontId="0" fillId="0" borderId="15" xfId="0" applyNumberFormat="1" applyBorder="1"/>
    <xf numFmtId="166" fontId="0" fillId="0" borderId="15" xfId="0" applyNumberFormat="1" applyFont="1" applyBorder="1"/>
    <xf numFmtId="0" fontId="0" fillId="0" borderId="15" xfId="0" applyFont="1" applyBorder="1"/>
    <xf numFmtId="165" fontId="0" fillId="0" borderId="15" xfId="0" applyNumberFormat="1" applyBorder="1"/>
    <xf numFmtId="10" fontId="0" fillId="0" borderId="15" xfId="0" applyNumberFormat="1" applyFont="1" applyBorder="1"/>
    <xf numFmtId="167" fontId="0" fillId="0" borderId="15" xfId="0" applyNumberFormat="1" applyFont="1" applyBorder="1"/>
    <xf numFmtId="0" fontId="0" fillId="0" borderId="4" xfId="0" applyFont="1" applyBorder="1"/>
    <xf numFmtId="0" fontId="0" fillId="0" borderId="5" xfId="0" applyBorder="1" applyAlignment="1">
      <alignment horizontal="right"/>
    </xf>
    <xf numFmtId="166" fontId="0" fillId="0" borderId="16" xfId="0" applyNumberFormat="1" applyBorder="1"/>
    <xf numFmtId="166" fontId="0" fillId="0" borderId="16" xfId="0" applyNumberFormat="1" applyFont="1" applyBorder="1"/>
    <xf numFmtId="0" fontId="0" fillId="0" borderId="16" xfId="0" applyFont="1" applyBorder="1"/>
    <xf numFmtId="165" fontId="0" fillId="0" borderId="16" xfId="0" applyNumberFormat="1" applyBorder="1"/>
    <xf numFmtId="10" fontId="0" fillId="0" borderId="16" xfId="0" applyNumberFormat="1" applyFont="1" applyBorder="1"/>
    <xf numFmtId="167" fontId="0" fillId="0" borderId="16" xfId="0" applyNumberFormat="1" applyFont="1" applyBorder="1"/>
    <xf numFmtId="0" fontId="0" fillId="0" borderId="6" xfId="0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9" fontId="0" fillId="0" borderId="15" xfId="0" applyNumberFormat="1" applyBorder="1"/>
    <xf numFmtId="165" fontId="0" fillId="0" borderId="4" xfId="0" applyNumberFormat="1" applyBorder="1"/>
    <xf numFmtId="9" fontId="0" fillId="0" borderId="16" xfId="0" applyNumberFormat="1" applyBorder="1"/>
    <xf numFmtId="165" fontId="0" fillId="0" borderId="6" xfId="0" applyNumberFormat="1" applyBorder="1"/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165" fontId="4" fillId="0" borderId="0" xfId="0" applyNumberFormat="1" applyFont="1"/>
    <xf numFmtId="0" fontId="4" fillId="2" borderId="18" xfId="0" applyFont="1" applyFill="1" applyBorder="1" applyAlignment="1">
      <alignment horizontal="center" vertical="center" wrapText="1"/>
    </xf>
    <xf numFmtId="10" fontId="0" fillId="2" borderId="15" xfId="0" applyNumberFormat="1" applyFont="1" applyFill="1" applyBorder="1"/>
    <xf numFmtId="10" fontId="0" fillId="2" borderId="16" xfId="0" applyNumberFormat="1" applyFont="1" applyFill="1" applyBorder="1"/>
    <xf numFmtId="0" fontId="2" fillId="0" borderId="0" xfId="0" applyFont="1" applyAlignment="1">
      <alignment horizontal="left"/>
    </xf>
    <xf numFmtId="0" fontId="2" fillId="0" borderId="2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67" fontId="2" fillId="0" borderId="4" xfId="0" applyNumberFormat="1" applyFont="1" applyBorder="1" applyAlignment="1">
      <alignment horizontal="right"/>
    </xf>
    <xf numFmtId="167" fontId="2" fillId="0" borderId="4" xfId="0" applyNumberFormat="1" applyFont="1" applyBorder="1"/>
    <xf numFmtId="167" fontId="2" fillId="0" borderId="6" xfId="0" applyNumberFormat="1" applyFont="1" applyBorder="1"/>
    <xf numFmtId="0" fontId="2" fillId="0" borderId="15" xfId="0" applyFont="1" applyBorder="1" applyAlignment="1">
      <alignment horizontal="right"/>
    </xf>
    <xf numFmtId="0" fontId="2" fillId="0" borderId="15" xfId="0" applyFont="1" applyBorder="1"/>
    <xf numFmtId="0" fontId="2" fillId="0" borderId="16" xfId="0" applyFont="1" applyBorder="1"/>
    <xf numFmtId="168" fontId="2" fillId="0" borderId="4" xfId="0" applyNumberFormat="1" applyFont="1" applyBorder="1" applyAlignment="1">
      <alignment horizontal="right"/>
    </xf>
    <xf numFmtId="168" fontId="2" fillId="0" borderId="4" xfId="0" applyNumberFormat="1" applyFont="1" applyBorder="1"/>
    <xf numFmtId="168" fontId="2" fillId="0" borderId="6" xfId="0" applyNumberFormat="1" applyFont="1" applyBorder="1"/>
    <xf numFmtId="165" fontId="2" fillId="0" borderId="15" xfId="0" applyNumberFormat="1" applyFont="1" applyBorder="1" applyAlignment="1">
      <alignment horizontal="right"/>
    </xf>
    <xf numFmtId="165" fontId="2" fillId="0" borderId="15" xfId="0" applyNumberFormat="1" applyFont="1" applyBorder="1"/>
    <xf numFmtId="165" fontId="2" fillId="0" borderId="16" xfId="0" applyNumberFormat="1" applyFont="1" applyBorder="1"/>
    <xf numFmtId="0" fontId="6" fillId="0" borderId="7" xfId="0" applyFont="1" applyBorder="1"/>
    <xf numFmtId="166" fontId="2" fillId="0" borderId="22" xfId="0" applyNumberFormat="1" applyFont="1" applyBorder="1"/>
    <xf numFmtId="0" fontId="7" fillId="0" borderId="0" xfId="0" applyFont="1"/>
    <xf numFmtId="0" fontId="2" fillId="0" borderId="0" xfId="0" quotePrefix="1" applyFont="1"/>
    <xf numFmtId="0" fontId="7" fillId="0" borderId="0" xfId="0" applyFont="1" applyAlignment="1">
      <alignment horizontal="center"/>
    </xf>
    <xf numFmtId="0" fontId="8" fillId="0" borderId="0" xfId="0" applyFont="1"/>
    <xf numFmtId="168" fontId="0" fillId="0" borderId="0" xfId="0" applyNumberFormat="1" applyFont="1"/>
    <xf numFmtId="169" fontId="0" fillId="0" borderId="0" xfId="0" applyNumberFormat="1" applyFont="1"/>
    <xf numFmtId="10" fontId="0" fillId="0" borderId="0" xfId="0" applyNumberFormat="1" applyFont="1"/>
    <xf numFmtId="170" fontId="0" fillId="0" borderId="0" xfId="0" applyNumberFormat="1"/>
    <xf numFmtId="164" fontId="0" fillId="0" borderId="0" xfId="0" applyNumberFormat="1"/>
    <xf numFmtId="171" fontId="0" fillId="0" borderId="0" xfId="0" applyNumberFormat="1" applyFont="1"/>
    <xf numFmtId="9" fontId="0" fillId="0" borderId="23" xfId="0" applyNumberFormat="1" applyBorder="1"/>
    <xf numFmtId="10" fontId="0" fillId="0" borderId="23" xfId="0" applyNumberFormat="1" applyFont="1" applyBorder="1"/>
    <xf numFmtId="168" fontId="0" fillId="0" borderId="23" xfId="0" applyNumberFormat="1" applyFont="1" applyBorder="1"/>
    <xf numFmtId="0" fontId="4" fillId="0" borderId="23" xfId="0" applyFont="1" applyBorder="1"/>
    <xf numFmtId="0" fontId="4" fillId="0" borderId="23" xfId="0" applyFont="1" applyBorder="1" applyAlignment="1">
      <alignment wrapText="1"/>
    </xf>
    <xf numFmtId="171" fontId="0" fillId="2" borderId="0" xfId="0" applyNumberFormat="1" applyFont="1" applyFill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10" fontId="0" fillId="0" borderId="15" xfId="0" applyNumberFormat="1" applyFont="1" applyFill="1" applyBorder="1"/>
    <xf numFmtId="166" fontId="0" fillId="0" borderId="0" xfId="0" applyNumberFormat="1" applyFont="1"/>
    <xf numFmtId="9" fontId="4" fillId="0" borderId="0" xfId="0" applyNumberFormat="1" applyFont="1"/>
    <xf numFmtId="10" fontId="4" fillId="0" borderId="15" xfId="0" applyNumberFormat="1" applyFont="1" applyBorder="1"/>
    <xf numFmtId="167" fontId="0" fillId="0" borderId="26" xfId="0" applyNumberFormat="1" applyFont="1" applyBorder="1"/>
    <xf numFmtId="166" fontId="0" fillId="0" borderId="28" xfId="0" applyNumberFormat="1" applyFont="1" applyBorder="1"/>
    <xf numFmtId="166" fontId="0" fillId="0" borderId="29" xfId="0" applyNumberFormat="1" applyFont="1" applyBorder="1"/>
    <xf numFmtId="166" fontId="0" fillId="0" borderId="30" xfId="0" applyNumberFormat="1" applyFont="1" applyBorder="1"/>
    <xf numFmtId="166" fontId="0" fillId="0" borderId="31" xfId="0" applyNumberFormat="1" applyFont="1" applyBorder="1"/>
    <xf numFmtId="10" fontId="4" fillId="0" borderId="27" xfId="0" applyNumberFormat="1" applyFont="1" applyBorder="1"/>
    <xf numFmtId="0" fontId="4" fillId="2" borderId="18" xfId="0" applyFont="1" applyFill="1" applyBorder="1" applyAlignment="1">
      <alignment horizontal="center" wrapText="1"/>
    </xf>
    <xf numFmtId="165" fontId="0" fillId="2" borderId="15" xfId="0" applyNumberFormat="1" applyFill="1" applyBorder="1"/>
    <xf numFmtId="165" fontId="0" fillId="2" borderId="16" xfId="0" applyNumberFormat="1" applyFill="1" applyBorder="1"/>
    <xf numFmtId="166" fontId="0" fillId="2" borderId="15" xfId="0" applyNumberFormat="1" applyFont="1" applyFill="1" applyBorder="1"/>
    <xf numFmtId="166" fontId="0" fillId="2" borderId="16" xfId="0" applyNumberFormat="1" applyFont="1" applyFill="1" applyBorder="1"/>
    <xf numFmtId="0" fontId="0" fillId="2" borderId="15" xfId="0" applyFont="1" applyFill="1" applyBorder="1"/>
    <xf numFmtId="0" fontId="0" fillId="2" borderId="16" xfId="0" applyFont="1" applyFill="1" applyBorder="1"/>
    <xf numFmtId="166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9" fontId="1" fillId="0" borderId="35" xfId="0" applyNumberFormat="1" applyFont="1" applyBorder="1"/>
    <xf numFmtId="169" fontId="1" fillId="0" borderId="36" xfId="0" applyNumberFormat="1" applyFont="1" applyBorder="1"/>
    <xf numFmtId="169" fontId="1" fillId="0" borderId="37" xfId="0" applyNumberFormat="1" applyFont="1" applyBorder="1"/>
    <xf numFmtId="169" fontId="1" fillId="0" borderId="38" xfId="0" applyNumberFormat="1" applyFont="1" applyBorder="1"/>
    <xf numFmtId="0" fontId="1" fillId="0" borderId="0" xfId="0" applyFont="1"/>
    <xf numFmtId="0" fontId="11" fillId="0" borderId="0" xfId="0" applyFont="1"/>
    <xf numFmtId="0" fontId="1" fillId="0" borderId="9" xfId="0" applyFont="1" applyBorder="1"/>
    <xf numFmtId="0" fontId="1" fillId="0" borderId="32" xfId="0" applyFont="1" applyBorder="1"/>
    <xf numFmtId="0" fontId="1" fillId="0" borderId="10" xfId="0" applyFont="1" applyBorder="1"/>
    <xf numFmtId="10" fontId="1" fillId="0" borderId="33" xfId="0" applyNumberFormat="1" applyFont="1" applyBorder="1"/>
    <xf numFmtId="0" fontId="1" fillId="0" borderId="11" xfId="0" applyFont="1" applyBorder="1"/>
    <xf numFmtId="10" fontId="1" fillId="0" borderId="34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0" fontId="0" fillId="0" borderId="0" xfId="0" applyNumberFormat="1"/>
    <xf numFmtId="164" fontId="0" fillId="0" borderId="0" xfId="1" applyFont="1"/>
    <xf numFmtId="172" fontId="0" fillId="0" borderId="0" xfId="1" applyNumberFormat="1" applyFont="1"/>
    <xf numFmtId="173" fontId="0" fillId="0" borderId="0" xfId="1" applyNumberFormat="1" applyFont="1"/>
    <xf numFmtId="173" fontId="0" fillId="0" borderId="8" xfId="1" applyNumberFormat="1" applyFont="1" applyBorder="1"/>
    <xf numFmtId="166" fontId="0" fillId="0" borderId="22" xfId="0" applyNumberFormat="1" applyFont="1" applyBorder="1"/>
    <xf numFmtId="0" fontId="6" fillId="0" borderId="0" xfId="0" applyFont="1"/>
    <xf numFmtId="0" fontId="4" fillId="0" borderId="7" xfId="0" applyFont="1" applyBorder="1"/>
    <xf numFmtId="165" fontId="4" fillId="0" borderId="8" xfId="0" applyNumberFormat="1" applyFont="1" applyBorder="1"/>
    <xf numFmtId="10" fontId="6" fillId="0" borderId="8" xfId="0" applyNumberFormat="1" applyFont="1" applyBorder="1"/>
    <xf numFmtId="164" fontId="0" fillId="0" borderId="15" xfId="1" applyFont="1" applyBorder="1"/>
    <xf numFmtId="164" fontId="0" fillId="2" borderId="15" xfId="1" applyFont="1" applyFill="1" applyBorder="1"/>
    <xf numFmtId="164" fontId="0" fillId="2" borderId="16" xfId="1" applyFont="1" applyFill="1" applyBorder="1"/>
    <xf numFmtId="168" fontId="0" fillId="3" borderId="0" xfId="0" applyNumberFormat="1" applyFont="1" applyFill="1"/>
    <xf numFmtId="166" fontId="0" fillId="3" borderId="0" xfId="0" applyNumberFormat="1" applyFont="1" applyFill="1"/>
    <xf numFmtId="166" fontId="0" fillId="3" borderId="0" xfId="0" applyNumberFormat="1" applyFill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</cellXfs>
  <cellStyles count="2">
    <cellStyle name="Comma" xfId="1" builtinId="3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Progression of mortality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'Q.1)(i)'!$E$3</c:f>
              <c:strCache>
                <c:ptCount val="1"/>
                <c:pt idx="0">
                  <c:v>qx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'Q.1)(i)'!$B$4:$B$24</c:f>
              <c:numCache>
                <c:formatCode>General</c:formatCode>
                <c:ptCount val="21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53</c:v>
                </c:pt>
                <c:pt idx="14">
                  <c:v>54</c:v>
                </c:pt>
                <c:pt idx="15">
                  <c:v>55</c:v>
                </c:pt>
                <c:pt idx="16">
                  <c:v>56</c:v>
                </c:pt>
                <c:pt idx="17">
                  <c:v>57</c:v>
                </c:pt>
                <c:pt idx="18">
                  <c:v>58</c:v>
                </c:pt>
                <c:pt idx="19">
                  <c:v>59</c:v>
                </c:pt>
                <c:pt idx="20">
                  <c:v>60</c:v>
                </c:pt>
              </c:numCache>
            </c:numRef>
          </c:cat>
          <c:val>
            <c:numRef>
              <c:f>'Q.1)(i)'!$E$4:$E$24</c:f>
              <c:numCache>
                <c:formatCode>_(* #,##0.0000_);_(* \(#,##0.0000\);_(* "-"??_);_(@_)</c:formatCode>
                <c:ptCount val="21"/>
                <c:pt idx="0">
                  <c:v>1.2666666666666666E-3</c:v>
                </c:pt>
                <c:pt idx="1">
                  <c:v>1.319004071824311E-3</c:v>
                </c:pt>
                <c:pt idx="2">
                  <c:v>1.3867834484307454E-3</c:v>
                </c:pt>
                <c:pt idx="3">
                  <c:v>1.4720398765984417E-3</c:v>
                </c:pt>
                <c:pt idx="4">
                  <c:v>1.5773704847920696E-3</c:v>
                </c:pt>
                <c:pt idx="5">
                  <c:v>1.7379024740370359E-3</c:v>
                </c:pt>
                <c:pt idx="6">
                  <c:v>1.9149804887067334E-3</c:v>
                </c:pt>
                <c:pt idx="7">
                  <c:v>2.1105605720844176E-3</c:v>
                </c:pt>
                <c:pt idx="8">
                  <c:v>2.3265134002080456E-3</c:v>
                </c:pt>
                <c:pt idx="9">
                  <c:v>2.5651054824248083E-3</c:v>
                </c:pt>
                <c:pt idx="10">
                  <c:v>2.828879172408478E-3</c:v>
                </c:pt>
                <c:pt idx="11">
                  <c:v>3.1206016804213453E-3</c:v>
                </c:pt>
                <c:pt idx="12">
                  <c:v>3.4434210036803606E-3</c:v>
                </c:pt>
                <c:pt idx="13">
                  <c:v>3.800823635084217E-3</c:v>
                </c:pt>
                <c:pt idx="14">
                  <c:v>4.1968712657166098E-3</c:v>
                </c:pt>
                <c:pt idx="15">
                  <c:v>4.6360358658389606E-3</c:v>
                </c:pt>
                <c:pt idx="16">
                  <c:v>5.1233847429202721E-3</c:v>
                </c:pt>
                <c:pt idx="17">
                  <c:v>5.6647110258258963E-3</c:v>
                </c:pt>
                <c:pt idx="18">
                  <c:v>6.2666810657369008E-3</c:v>
                </c:pt>
                <c:pt idx="19">
                  <c:v>6.9368623514693886E-3</c:v>
                </c:pt>
                <c:pt idx="20">
                  <c:v>7.6838432931142751E-3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7FF-4B18-8294-12D53A1C1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1505376"/>
        <c:axId val="106151625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'Q.1)(i)'!$C$3</c15:sqref>
                        </c15:formulaRef>
                      </c:ext>
                    </c:extLst>
                    <c:strCache>
                      <c:ptCount val="1"/>
                      <c:pt idx="0">
                        <c:v>lx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'Q.1)(i)'!$B$4:$B$24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40</c:v>
                      </c:pt>
                      <c:pt idx="1">
                        <c:v>41</c:v>
                      </c:pt>
                      <c:pt idx="2">
                        <c:v>42</c:v>
                      </c:pt>
                      <c:pt idx="3">
                        <c:v>43</c:v>
                      </c:pt>
                      <c:pt idx="4">
                        <c:v>44</c:v>
                      </c:pt>
                      <c:pt idx="5">
                        <c:v>45</c:v>
                      </c:pt>
                      <c:pt idx="6">
                        <c:v>46</c:v>
                      </c:pt>
                      <c:pt idx="7">
                        <c:v>47</c:v>
                      </c:pt>
                      <c:pt idx="8">
                        <c:v>48</c:v>
                      </c:pt>
                      <c:pt idx="9">
                        <c:v>49</c:v>
                      </c:pt>
                      <c:pt idx="10">
                        <c:v>50</c:v>
                      </c:pt>
                      <c:pt idx="11">
                        <c:v>51</c:v>
                      </c:pt>
                      <c:pt idx="12">
                        <c:v>52</c:v>
                      </c:pt>
                      <c:pt idx="13">
                        <c:v>53</c:v>
                      </c:pt>
                      <c:pt idx="14">
                        <c:v>54</c:v>
                      </c:pt>
                      <c:pt idx="15">
                        <c:v>55</c:v>
                      </c:pt>
                      <c:pt idx="16">
                        <c:v>56</c:v>
                      </c:pt>
                      <c:pt idx="17">
                        <c:v>57</c:v>
                      </c:pt>
                      <c:pt idx="18">
                        <c:v>58</c:v>
                      </c:pt>
                      <c:pt idx="19">
                        <c:v>59</c:v>
                      </c:pt>
                      <c:pt idx="20">
                        <c:v>60</c:v>
                      </c:pt>
                    </c:numCache>
                  </c:num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'Q.1)(i)'!$C$4:$C$24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21"/>
                      <c:pt idx="0">
                        <c:v>1500</c:v>
                      </c:pt>
                      <c:pt idx="1">
                        <c:v>1498.1</c:v>
                      </c:pt>
                      <c:pt idx="2">
                        <c:v>1496.1239999999998</c:v>
                      </c:pt>
                      <c:pt idx="3">
                        <c:v>1494.0491999999997</c:v>
                      </c:pt>
                      <c:pt idx="4">
                        <c:v>1491.8498999999997</c:v>
                      </c:pt>
                      <c:pt idx="5">
                        <c:v>1489.4966999999997</c:v>
                      </c:pt>
                      <c:pt idx="6">
                        <c:v>1486.9080999999996</c:v>
                      </c:pt>
                      <c:pt idx="7">
                        <c:v>1484.0606999999995</c:v>
                      </c:pt>
                      <c:pt idx="8">
                        <c:v>1480.9284999999995</c:v>
                      </c:pt>
                      <c:pt idx="9">
                        <c:v>1477.4830999999995</c:v>
                      </c:pt>
                      <c:pt idx="10">
                        <c:v>1473.6931999999995</c:v>
                      </c:pt>
                      <c:pt idx="11">
                        <c:v>1469.5242999999996</c:v>
                      </c:pt>
                      <c:pt idx="12">
                        <c:v>1464.9384999999995</c:v>
                      </c:pt>
                      <c:pt idx="13">
                        <c:v>1459.8940999999995</c:v>
                      </c:pt>
                      <c:pt idx="14">
                        <c:v>1454.3452999999995</c:v>
                      </c:pt>
                      <c:pt idx="15">
                        <c:v>1448.2415999999996</c:v>
                      </c:pt>
                      <c:pt idx="16">
                        <c:v>1441.5274999999997</c:v>
                      </c:pt>
                      <c:pt idx="17">
                        <c:v>1434.1419999999996</c:v>
                      </c:pt>
                      <c:pt idx="18">
                        <c:v>1426.0179999999996</c:v>
                      </c:pt>
                      <c:pt idx="19">
                        <c:v>1417.0815999999995</c:v>
                      </c:pt>
                      <c:pt idx="20">
                        <c:v>1407.2514999999996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07FF-4B18-8294-12D53A1C151B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'Q.1)(i)'!$D$3</c15:sqref>
                        </c15:formulaRef>
                      </c:ext>
                    </c:extLst>
                    <c:strCache>
                      <c:ptCount val="1"/>
                      <c:pt idx="0">
                        <c:v>dx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'Q.1)(i)'!$B$4:$B$24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40</c:v>
                      </c:pt>
                      <c:pt idx="1">
                        <c:v>41</c:v>
                      </c:pt>
                      <c:pt idx="2">
                        <c:v>42</c:v>
                      </c:pt>
                      <c:pt idx="3">
                        <c:v>43</c:v>
                      </c:pt>
                      <c:pt idx="4">
                        <c:v>44</c:v>
                      </c:pt>
                      <c:pt idx="5">
                        <c:v>45</c:v>
                      </c:pt>
                      <c:pt idx="6">
                        <c:v>46</c:v>
                      </c:pt>
                      <c:pt idx="7">
                        <c:v>47</c:v>
                      </c:pt>
                      <c:pt idx="8">
                        <c:v>48</c:v>
                      </c:pt>
                      <c:pt idx="9">
                        <c:v>49</c:v>
                      </c:pt>
                      <c:pt idx="10">
                        <c:v>50</c:v>
                      </c:pt>
                      <c:pt idx="11">
                        <c:v>51</c:v>
                      </c:pt>
                      <c:pt idx="12">
                        <c:v>52</c:v>
                      </c:pt>
                      <c:pt idx="13">
                        <c:v>53</c:v>
                      </c:pt>
                      <c:pt idx="14">
                        <c:v>54</c:v>
                      </c:pt>
                      <c:pt idx="15">
                        <c:v>55</c:v>
                      </c:pt>
                      <c:pt idx="16">
                        <c:v>56</c:v>
                      </c:pt>
                      <c:pt idx="17">
                        <c:v>57</c:v>
                      </c:pt>
                      <c:pt idx="18">
                        <c:v>58</c:v>
                      </c:pt>
                      <c:pt idx="19">
                        <c:v>59</c:v>
                      </c:pt>
                      <c:pt idx="20">
                        <c:v>60</c:v>
                      </c:pt>
                    </c:numCache>
                  </c:num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'Q.1)(i)'!$D$4:$D$24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1.9</c:v>
                      </c:pt>
                      <c:pt idx="1">
                        <c:v>1.976</c:v>
                      </c:pt>
                      <c:pt idx="2">
                        <c:v>2.0748000000000002</c:v>
                      </c:pt>
                      <c:pt idx="3">
                        <c:v>2.1993</c:v>
                      </c:pt>
                      <c:pt idx="4">
                        <c:v>2.3532000000000002</c:v>
                      </c:pt>
                      <c:pt idx="5">
                        <c:v>2.5886</c:v>
                      </c:pt>
                      <c:pt idx="6">
                        <c:v>2.8473999999999999</c:v>
                      </c:pt>
                      <c:pt idx="7">
                        <c:v>3.1322000000000001</c:v>
                      </c:pt>
                      <c:pt idx="8">
                        <c:v>3.4453999999999998</c:v>
                      </c:pt>
                      <c:pt idx="9">
                        <c:v>3.7898999999999998</c:v>
                      </c:pt>
                      <c:pt idx="10">
                        <c:v>4.1688999999999998</c:v>
                      </c:pt>
                      <c:pt idx="11">
                        <c:v>4.5857999999999999</c:v>
                      </c:pt>
                      <c:pt idx="12">
                        <c:v>5.0444000000000004</c:v>
                      </c:pt>
                      <c:pt idx="13">
                        <c:v>5.5488</c:v>
                      </c:pt>
                      <c:pt idx="14">
                        <c:v>6.1036999999999999</c:v>
                      </c:pt>
                      <c:pt idx="15">
                        <c:v>6.7141000000000002</c:v>
                      </c:pt>
                      <c:pt idx="16">
                        <c:v>7.3855000000000004</c:v>
                      </c:pt>
                      <c:pt idx="17">
                        <c:v>8.1240000000000006</c:v>
                      </c:pt>
                      <c:pt idx="18">
                        <c:v>8.9364000000000008</c:v>
                      </c:pt>
                      <c:pt idx="19">
                        <c:v>9.8300999999999998</c:v>
                      </c:pt>
                      <c:pt idx="20">
                        <c:v>10.8131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2-07FF-4B18-8294-12D53A1C151B}"/>
                  </c:ext>
                </c:extLst>
              </c15:ser>
            </c15:filteredLineSeries>
          </c:ext>
        </c:extLst>
      </c:lineChart>
      <c:catAx>
        <c:axId val="10615053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age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1516256"/>
        <c:crosses val="autoZero"/>
        <c:auto val="1"/>
        <c:lblAlgn val="ctr"/>
        <c:lblOffset val="100"/>
        <c:noMultiLvlLbl val="0"/>
      </c:catAx>
      <c:valAx>
        <c:axId val="106151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mortality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.0000_);_(* \(#,##0.00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150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'Q.2)(i)'!$E$4</c:f>
              <c:strCache>
                <c:ptCount val="1"/>
                <c:pt idx="0">
                  <c:v>Annualised forward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'Q.2)(i)'!$B$5:$B$28</c:f>
              <c:numCache>
                <c:formatCode>General</c:formatCode>
                <c:ptCount val="24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</c:numCache>
            </c:numRef>
          </c:cat>
          <c:val>
            <c:numRef>
              <c:f>'Q.2)(i)'!$E$5:$E$28</c:f>
              <c:numCache>
                <c:formatCode>0.0%</c:formatCode>
                <c:ptCount val="24"/>
                <c:pt idx="0">
                  <c:v>5.3600000000000002E-2</c:v>
                </c:pt>
                <c:pt idx="1">
                  <c:v>5.7804185649202866E-2</c:v>
                </c:pt>
                <c:pt idx="2">
                  <c:v>6.0808216968631257E-2</c:v>
                </c:pt>
                <c:pt idx="3">
                  <c:v>6.2609597421511065E-2</c:v>
                </c:pt>
                <c:pt idx="4">
                  <c:v>6.4211440992307134E-2</c:v>
                </c:pt>
                <c:pt idx="5">
                  <c:v>6.6417149591911029E-2</c:v>
                </c:pt>
                <c:pt idx="6">
                  <c:v>6.9328557896811915E-2</c:v>
                </c:pt>
                <c:pt idx="7">
                  <c:v>7.4159484289472388E-2</c:v>
                </c:pt>
                <c:pt idx="8">
                  <c:v>7.808695394987053E-2</c:v>
                </c:pt>
                <c:pt idx="9">
                  <c:v>8.0295410391322708E-2</c:v>
                </c:pt>
                <c:pt idx="10">
                  <c:v>7.4425314639403384E-2</c:v>
                </c:pt>
                <c:pt idx="11">
                  <c:v>6.2609880850837962E-2</c:v>
                </c:pt>
                <c:pt idx="12">
                  <c:v>7.0906585981445724E-2</c:v>
                </c:pt>
                <c:pt idx="13">
                  <c:v>0.10139555319663995</c:v>
                </c:pt>
                <c:pt idx="14">
                  <c:v>9.8557093673597329E-2</c:v>
                </c:pt>
                <c:pt idx="15">
                  <c:v>6.2040208405363284E-2</c:v>
                </c:pt>
                <c:pt idx="16">
                  <c:v>2.2753614049540349E-2</c:v>
                </c:pt>
                <c:pt idx="17">
                  <c:v>8.5281322475161403E-3</c:v>
                </c:pt>
                <c:pt idx="18">
                  <c:v>4.3993203368897449E-2</c:v>
                </c:pt>
                <c:pt idx="19">
                  <c:v>0.14652375607120427</c:v>
                </c:pt>
                <c:pt idx="20">
                  <c:v>0.23425941002040984</c:v>
                </c:pt>
                <c:pt idx="21">
                  <c:v>0.10171174757123591</c:v>
                </c:pt>
                <c:pt idx="22">
                  <c:v>2.0145673160559152E-2</c:v>
                </c:pt>
                <c:pt idx="23">
                  <c:v>4.2930590201214702E-2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BDF-4E78-A222-FD464E8A4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1513536"/>
        <c:axId val="1061516800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'Q.2)(i)'!$C$4</c15:sqref>
                        </c15:formulaRef>
                      </c:ext>
                    </c:extLst>
                    <c:strCache>
                      <c:ptCount val="1"/>
                      <c:pt idx="0">
                        <c:v>Spot rates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'Q.2)(i)'!$B$5:$B$28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0.5</c:v>
                      </c:pt>
                      <c:pt idx="1">
                        <c:v>1</c:v>
                      </c:pt>
                      <c:pt idx="2">
                        <c:v>1.5</c:v>
                      </c:pt>
                      <c:pt idx="3">
                        <c:v>2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5</c:v>
                      </c:pt>
                      <c:pt idx="10">
                        <c:v>5.5</c:v>
                      </c:pt>
                      <c:pt idx="11">
                        <c:v>6</c:v>
                      </c:pt>
                      <c:pt idx="12">
                        <c:v>6.5</c:v>
                      </c:pt>
                      <c:pt idx="13">
                        <c:v>7</c:v>
                      </c:pt>
                      <c:pt idx="14">
                        <c:v>7.5</c:v>
                      </c:pt>
                      <c:pt idx="15">
                        <c:v>8</c:v>
                      </c:pt>
                      <c:pt idx="16">
                        <c:v>8.5</c:v>
                      </c:pt>
                      <c:pt idx="17">
                        <c:v>9</c:v>
                      </c:pt>
                      <c:pt idx="18">
                        <c:v>9.5</c:v>
                      </c:pt>
                      <c:pt idx="19">
                        <c:v>10</c:v>
                      </c:pt>
                      <c:pt idx="20">
                        <c:v>10.5</c:v>
                      </c:pt>
                      <c:pt idx="21">
                        <c:v>11</c:v>
                      </c:pt>
                      <c:pt idx="22">
                        <c:v>11.5</c:v>
                      </c:pt>
                      <c:pt idx="23">
                        <c:v>12</c:v>
                      </c:pt>
                    </c:numCache>
                  </c:num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'Q.2)(i)'!$C$5:$C$28</c15:sqref>
                        </c15:formulaRef>
                      </c:ext>
                    </c:extLst>
                    <c:numCache>
                      <c:formatCode>0.00%</c:formatCode>
                      <c:ptCount val="24"/>
                      <c:pt idx="0">
                        <c:v>5.3600000000000002E-2</c:v>
                      </c:pt>
                      <c:pt idx="1">
                        <c:v>5.57E-2</c:v>
                      </c:pt>
                      <c:pt idx="2">
                        <c:v>5.74E-2</c:v>
                      </c:pt>
                      <c:pt idx="3">
                        <c:v>5.8700000000000002E-2</c:v>
                      </c:pt>
                      <c:pt idx="4">
                        <c:v>5.9799999999999999E-2</c:v>
                      </c:pt>
                      <c:pt idx="5">
                        <c:v>6.0900000000000003E-2</c:v>
                      </c:pt>
                      <c:pt idx="6">
                        <c:v>6.2100000000000002E-2</c:v>
                      </c:pt>
                      <c:pt idx="7">
                        <c:v>6.3600000000000004E-2</c:v>
                      </c:pt>
                      <c:pt idx="8">
                        <c:v>6.5199999999999994E-2</c:v>
                      </c:pt>
                      <c:pt idx="9">
                        <c:v>6.6699999999999995E-2</c:v>
                      </c:pt>
                      <c:pt idx="10">
                        <c:v>6.7400000000000002E-2</c:v>
                      </c:pt>
                      <c:pt idx="11">
                        <c:v>6.7000000000000004E-2</c:v>
                      </c:pt>
                      <c:pt idx="12">
                        <c:v>6.7299999999999999E-2</c:v>
                      </c:pt>
                      <c:pt idx="13">
                        <c:v>6.9699999999999998E-2</c:v>
                      </c:pt>
                      <c:pt idx="14">
                        <c:v>7.1599999999999997E-2</c:v>
                      </c:pt>
                      <c:pt idx="15">
                        <c:v>7.0999999999999994E-2</c:v>
                      </c:pt>
                      <c:pt idx="16">
                        <c:v>6.8099999999999994E-2</c:v>
                      </c:pt>
                      <c:pt idx="17">
                        <c:v>6.4699999999999994E-2</c:v>
                      </c:pt>
                      <c:pt idx="18">
                        <c:v>6.3600000000000004E-2</c:v>
                      </c:pt>
                      <c:pt idx="19">
                        <c:v>6.7599999999999993E-2</c:v>
                      </c:pt>
                      <c:pt idx="20">
                        <c:v>7.4999999999999997E-2</c:v>
                      </c:pt>
                      <c:pt idx="21">
                        <c:v>7.6200000000000004E-2</c:v>
                      </c:pt>
                      <c:pt idx="22">
                        <c:v>7.3700000000000002E-2</c:v>
                      </c:pt>
                      <c:pt idx="23">
                        <c:v>7.2400000000000006E-2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0BDF-4E78-A222-FD464E8A4DA1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'Q.2)(i)'!$D$4</c15:sqref>
                        </c15:formulaRef>
                      </c:ext>
                    </c:extLst>
                    <c:strCache>
                      <c:ptCount val="1"/>
                      <c:pt idx="0">
                        <c:v>Forward rate for half year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'Q.2)(i)'!$B$5:$B$28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0.5</c:v>
                      </c:pt>
                      <c:pt idx="1">
                        <c:v>1</c:v>
                      </c:pt>
                      <c:pt idx="2">
                        <c:v>1.5</c:v>
                      </c:pt>
                      <c:pt idx="3">
                        <c:v>2</c:v>
                      </c:pt>
                      <c:pt idx="4">
                        <c:v>2.5</c:v>
                      </c:pt>
                      <c:pt idx="5">
                        <c:v>3</c:v>
                      </c:pt>
                      <c:pt idx="6">
                        <c:v>3.5</c:v>
                      </c:pt>
                      <c:pt idx="7">
                        <c:v>4</c:v>
                      </c:pt>
                      <c:pt idx="8">
                        <c:v>4.5</c:v>
                      </c:pt>
                      <c:pt idx="9">
                        <c:v>5</c:v>
                      </c:pt>
                      <c:pt idx="10">
                        <c:v>5.5</c:v>
                      </c:pt>
                      <c:pt idx="11">
                        <c:v>6</c:v>
                      </c:pt>
                      <c:pt idx="12">
                        <c:v>6.5</c:v>
                      </c:pt>
                      <c:pt idx="13">
                        <c:v>7</c:v>
                      </c:pt>
                      <c:pt idx="14">
                        <c:v>7.5</c:v>
                      </c:pt>
                      <c:pt idx="15">
                        <c:v>8</c:v>
                      </c:pt>
                      <c:pt idx="16">
                        <c:v>8.5</c:v>
                      </c:pt>
                      <c:pt idx="17">
                        <c:v>9</c:v>
                      </c:pt>
                      <c:pt idx="18">
                        <c:v>9.5</c:v>
                      </c:pt>
                      <c:pt idx="19">
                        <c:v>10</c:v>
                      </c:pt>
                      <c:pt idx="20">
                        <c:v>10.5</c:v>
                      </c:pt>
                      <c:pt idx="21">
                        <c:v>11</c:v>
                      </c:pt>
                      <c:pt idx="22">
                        <c:v>11.5</c:v>
                      </c:pt>
                      <c:pt idx="23">
                        <c:v>12</c:v>
                      </c:pt>
                    </c:numCache>
                  </c:num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'Q.2)(i)'!$D$5:$D$28</c15:sqref>
                        </c15:formulaRef>
                      </c:ext>
                    </c:extLst>
                    <c:numCache>
                      <c:formatCode>0.0%</c:formatCode>
                      <c:ptCount val="24"/>
                      <c:pt idx="1">
                        <c:v>2.8496079549748643E-2</c:v>
                      </c:pt>
                      <c:pt idx="2">
                        <c:v>2.9955444166703371E-2</c:v>
                      </c:pt>
                      <c:pt idx="3">
                        <c:v>3.0829567591806661E-2</c:v>
                      </c:pt>
                      <c:pt idx="4">
                        <c:v>3.1606243191803829E-2</c:v>
                      </c:pt>
                      <c:pt idx="5">
                        <c:v>3.2674754989154842E-2</c:v>
                      </c:pt>
                      <c:pt idx="6">
                        <c:v>3.4083438556488987E-2</c:v>
                      </c:pt>
                      <c:pt idx="7">
                        <c:v>3.6416655737195436E-2</c:v>
                      </c:pt>
                      <c:pt idx="8">
                        <c:v>3.8309661878319634E-2</c:v>
                      </c:pt>
                      <c:pt idx="9">
                        <c:v>3.9372604214351403E-2</c:v>
                      </c:pt>
                      <c:pt idx="10">
                        <c:v>3.6544892727470524E-2</c:v>
                      </c:pt>
                      <c:pt idx="11">
                        <c:v>3.0829705068125213E-2</c:v>
                      </c:pt>
                      <c:pt idx="12">
                        <c:v>3.4846165370218563E-2</c:v>
                      </c:pt>
                      <c:pt idx="13">
                        <c:v>4.9473941170832481E-2</c:v>
                      </c:pt>
                      <c:pt idx="14">
                        <c:v>4.812074384280618E-2</c:v>
                      </c:pt>
                      <c:pt idx="15">
                        <c:v>3.0553350586646433E-2</c:v>
                      </c:pt>
                      <c:pt idx="16">
                        <c:v>1.1312817109295992E-2</c:v>
                      </c:pt>
                      <c:pt idx="17">
                        <c:v>4.2550135535874833E-3</c:v>
                      </c:pt>
                      <c:pt idx="18">
                        <c:v>2.1759856017497636E-2</c:v>
                      </c:pt>
                      <c:pt idx="19">
                        <c:v>7.0758495680143696E-2</c:v>
                      </c:pt>
                      <c:pt idx="20">
                        <c:v>0.110972281391579</c:v>
                      </c:pt>
                      <c:pt idx="21">
                        <c:v>4.9624574584282488E-2</c:v>
                      </c:pt>
                      <c:pt idx="22">
                        <c:v>1.0022610222444106E-2</c:v>
                      </c:pt>
                      <c:pt idx="23">
                        <c:v>2.1239731993039301E-2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1-0BDF-4E78-A222-FD464E8A4DA1}"/>
                  </c:ext>
                </c:extLst>
              </c15:ser>
            </c15:filteredLineSeries>
          </c:ext>
        </c:extLst>
      </c:lineChart>
      <c:catAx>
        <c:axId val="10615135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Tenor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1516800"/>
        <c:crosses val="autoZero"/>
        <c:auto val="1"/>
        <c:lblAlgn val="ctr"/>
        <c:lblOffset val="100"/>
        <c:noMultiLvlLbl val="0"/>
      </c:catAx>
      <c:valAx>
        <c:axId val="10615168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Forward rate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1513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22860</xdr:rowOff>
    </xdr:from>
    <xdr:to>
      <xdr:col>8</xdr:col>
      <xdr:colOff>322580</xdr:colOff>
      <xdr:row>17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FC722F0F-78A9-4217-A5E0-175C33DC80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8965</xdr:colOff>
      <xdr:row>2</xdr:row>
      <xdr:rowOff>168984</xdr:rowOff>
    </xdr:from>
    <xdr:to>
      <xdr:col>12</xdr:col>
      <xdr:colOff>135741</xdr:colOff>
      <xdr:row>9</xdr:row>
      <xdr:rowOff>5080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6D5648D-6F15-44BD-B533-CA3CC3B93E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121" t="41634" r="61093" b="42270"/>
        <a:stretch/>
      </xdr:blipFill>
      <xdr:spPr>
        <a:xfrm>
          <a:off x="7019365" y="527572"/>
          <a:ext cx="2558826" cy="183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115272</xdr:colOff>
      <xdr:row>17</xdr:row>
      <xdr:rowOff>77994</xdr:rowOff>
    </xdr:from>
    <xdr:to>
      <xdr:col>21</xdr:col>
      <xdr:colOff>62828</xdr:colOff>
      <xdr:row>28</xdr:row>
      <xdr:rowOff>112677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B667F26-777D-4417-A21E-16CD8C761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873" t="41787" r="62415" b="42659"/>
        <a:stretch/>
      </xdr:blipFill>
      <xdr:spPr>
        <a:xfrm>
          <a:off x="17901248" y="3923853"/>
          <a:ext cx="2384686" cy="17661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321310</xdr:colOff>
      <xdr:row>9</xdr:row>
      <xdr:rowOff>50800</xdr:rowOff>
    </xdr:from>
    <xdr:to>
      <xdr:col>14</xdr:col>
      <xdr:colOff>16510</xdr:colOff>
      <xdr:row>26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A2629B31-3254-4320-B06C-0C9B173E34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63666A"/>
      </a:dk2>
      <a:lt2>
        <a:srgbClr val="EEECE1"/>
      </a:lt2>
      <a:accent1>
        <a:srgbClr val="702082"/>
      </a:accent1>
      <a:accent2>
        <a:srgbClr val="FFB81C"/>
      </a:accent2>
      <a:accent3>
        <a:srgbClr val="00A0D2"/>
      </a:accent3>
      <a:accent4>
        <a:srgbClr val="C110A0"/>
      </a:accent4>
      <a:accent5>
        <a:srgbClr val="00C389"/>
      </a:accent5>
      <a:accent6>
        <a:srgbClr val="63666A"/>
      </a:accent6>
      <a:hlink>
        <a:srgbClr val="00A0D2"/>
      </a:hlink>
      <a:folHlink>
        <a:srgbClr val="63666A"/>
      </a:folHlink>
    </a:clrScheme>
    <a:fontScheme name="Office">
      <a:majorFont>
        <a:latin typeface="Arial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workbookViewId="0"/>
  </sheetViews>
  <sheetFormatPr defaultColWidth="9.28515625" defaultRowHeight="12.75" x14ac:dyDescent="0.2"/>
  <cols>
    <col min="1" max="1" width="28.5703125" style="2" customWidth="1"/>
    <col min="2" max="2" width="10.5703125" style="2" customWidth="1"/>
    <col min="3" max="3" width="9.28515625" style="2"/>
    <col min="4" max="4" width="4.42578125" style="2" customWidth="1"/>
    <col min="5" max="5" width="12.7109375" style="2" customWidth="1"/>
    <col min="6" max="6" width="14.42578125" style="2" customWidth="1"/>
    <col min="7" max="16384" width="9.28515625" style="2"/>
  </cols>
  <sheetData>
    <row r="1" spans="1:10" ht="13.5" thickBot="1" x14ac:dyDescent="0.25"/>
    <row r="2" spans="1:10" ht="13.5" thickBot="1" x14ac:dyDescent="0.25">
      <c r="A2" s="10" t="s">
        <v>26</v>
      </c>
      <c r="B2" s="14">
        <v>4000</v>
      </c>
      <c r="D2" s="21" t="s">
        <v>3</v>
      </c>
      <c r="E2" s="22" t="s">
        <v>27</v>
      </c>
      <c r="F2" s="22" t="s">
        <v>29</v>
      </c>
      <c r="G2" s="23" t="s">
        <v>35</v>
      </c>
      <c r="I2" s="140" t="s">
        <v>49</v>
      </c>
      <c r="J2" s="141"/>
    </row>
    <row r="3" spans="1:10" x14ac:dyDescent="0.2">
      <c r="A3" s="11" t="s">
        <v>28</v>
      </c>
      <c r="B3" s="13">
        <v>0.04</v>
      </c>
      <c r="D3" s="4">
        <v>1</v>
      </c>
      <c r="E3" s="17">
        <v>0.9</v>
      </c>
      <c r="F3" s="17">
        <v>0.03</v>
      </c>
      <c r="G3" s="18">
        <v>0.02</v>
      </c>
      <c r="I3" s="6" t="s">
        <v>0</v>
      </c>
      <c r="J3" s="3" t="s">
        <v>48</v>
      </c>
    </row>
    <row r="4" spans="1:10" x14ac:dyDescent="0.2">
      <c r="A4" s="11" t="s">
        <v>5</v>
      </c>
      <c r="B4" s="13">
        <v>0.01</v>
      </c>
      <c r="D4" s="4">
        <v>2</v>
      </c>
      <c r="E4" s="17">
        <v>0.95</v>
      </c>
      <c r="F4" s="17">
        <v>0.01</v>
      </c>
      <c r="G4" s="18">
        <v>0.02</v>
      </c>
      <c r="I4" s="56">
        <v>40</v>
      </c>
      <c r="J4" s="57">
        <v>1.9</v>
      </c>
    </row>
    <row r="5" spans="1:10" x14ac:dyDescent="0.2">
      <c r="A5" s="11" t="s">
        <v>30</v>
      </c>
      <c r="B5" s="13">
        <v>0.02</v>
      </c>
      <c r="D5" s="4">
        <v>3</v>
      </c>
      <c r="E5" s="17">
        <v>1</v>
      </c>
      <c r="F5" s="17">
        <v>0.01</v>
      </c>
      <c r="G5" s="18">
        <v>0.02</v>
      </c>
      <c r="I5" s="56">
        <f>I4+1</f>
        <v>41</v>
      </c>
      <c r="J5" s="57">
        <v>1.976</v>
      </c>
    </row>
    <row r="6" spans="1:10" x14ac:dyDescent="0.2">
      <c r="A6" s="11" t="s">
        <v>31</v>
      </c>
      <c r="B6" s="15">
        <v>50</v>
      </c>
      <c r="D6" s="4">
        <v>4</v>
      </c>
      <c r="E6" s="17">
        <v>1</v>
      </c>
      <c r="F6" s="17">
        <v>0.01</v>
      </c>
      <c r="G6" s="18">
        <v>0.05</v>
      </c>
      <c r="I6" s="56">
        <f t="shared" ref="I6:I24" si="0">I5+1</f>
        <v>42</v>
      </c>
      <c r="J6" s="57">
        <v>2.0748000000000002</v>
      </c>
    </row>
    <row r="7" spans="1:10" ht="13.5" thickBot="1" x14ac:dyDescent="0.25">
      <c r="A7" s="12" t="s">
        <v>34</v>
      </c>
      <c r="B7" s="16">
        <v>20000</v>
      </c>
      <c r="D7" s="4">
        <v>5</v>
      </c>
      <c r="E7" s="17">
        <v>1</v>
      </c>
      <c r="F7" s="17">
        <v>0.01</v>
      </c>
      <c r="G7" s="18">
        <v>0.05</v>
      </c>
      <c r="I7" s="56">
        <f t="shared" si="0"/>
        <v>43</v>
      </c>
      <c r="J7" s="57">
        <v>2.1993</v>
      </c>
    </row>
    <row r="8" spans="1:10" ht="13.5" thickBot="1" x14ac:dyDescent="0.25">
      <c r="D8" s="4">
        <v>6</v>
      </c>
      <c r="E8" s="17">
        <v>1</v>
      </c>
      <c r="F8" s="17">
        <v>0.01</v>
      </c>
      <c r="G8" s="18">
        <v>0.05</v>
      </c>
      <c r="I8" s="56">
        <f t="shared" si="0"/>
        <v>44</v>
      </c>
      <c r="J8" s="57">
        <v>2.3532000000000002</v>
      </c>
    </row>
    <row r="9" spans="1:10" ht="13.5" thickBot="1" x14ac:dyDescent="0.25">
      <c r="A9" s="69" t="s">
        <v>50</v>
      </c>
      <c r="B9" s="70">
        <v>1500</v>
      </c>
      <c r="D9" s="4">
        <v>7</v>
      </c>
      <c r="E9" s="17">
        <v>1</v>
      </c>
      <c r="F9" s="17">
        <v>0.01</v>
      </c>
      <c r="G9" s="18">
        <v>0.08</v>
      </c>
      <c r="I9" s="56">
        <f t="shared" si="0"/>
        <v>45</v>
      </c>
      <c r="J9" s="57">
        <v>2.5886</v>
      </c>
    </row>
    <row r="10" spans="1:10" x14ac:dyDescent="0.2">
      <c r="D10" s="4">
        <v>8</v>
      </c>
      <c r="E10" s="17">
        <v>1</v>
      </c>
      <c r="F10" s="17">
        <v>0.01</v>
      </c>
      <c r="G10" s="18">
        <v>0.08</v>
      </c>
      <c r="I10" s="56">
        <f t="shared" si="0"/>
        <v>46</v>
      </c>
      <c r="J10" s="57">
        <v>2.8473999999999999</v>
      </c>
    </row>
    <row r="11" spans="1:10" x14ac:dyDescent="0.2">
      <c r="D11" s="4">
        <v>9</v>
      </c>
      <c r="E11" s="17">
        <v>1</v>
      </c>
      <c r="F11" s="17">
        <v>0.01</v>
      </c>
      <c r="G11" s="18">
        <v>0.08</v>
      </c>
      <c r="I11" s="56">
        <f t="shared" si="0"/>
        <v>47</v>
      </c>
      <c r="J11" s="57">
        <v>3.1322000000000001</v>
      </c>
    </row>
    <row r="12" spans="1:10" ht="13.5" thickBot="1" x14ac:dyDescent="0.25">
      <c r="D12" s="5">
        <v>10</v>
      </c>
      <c r="E12" s="19">
        <v>1</v>
      </c>
      <c r="F12" s="19">
        <v>0.01</v>
      </c>
      <c r="G12" s="20">
        <v>0.08</v>
      </c>
      <c r="I12" s="56">
        <f t="shared" si="0"/>
        <v>48</v>
      </c>
      <c r="J12" s="57">
        <v>3.4453999999999998</v>
      </c>
    </row>
    <row r="13" spans="1:10" x14ac:dyDescent="0.2">
      <c r="I13" s="4">
        <f t="shared" si="0"/>
        <v>49</v>
      </c>
      <c r="J13" s="58">
        <v>3.7898999999999998</v>
      </c>
    </row>
    <row r="14" spans="1:10" x14ac:dyDescent="0.2">
      <c r="I14" s="4">
        <f t="shared" si="0"/>
        <v>50</v>
      </c>
      <c r="J14" s="58">
        <v>4.1688999999999998</v>
      </c>
    </row>
    <row r="15" spans="1:10" x14ac:dyDescent="0.2">
      <c r="I15" s="4">
        <f t="shared" si="0"/>
        <v>51</v>
      </c>
      <c r="J15" s="58">
        <v>4.5857999999999999</v>
      </c>
    </row>
    <row r="16" spans="1:10" x14ac:dyDescent="0.2">
      <c r="I16" s="4">
        <f t="shared" si="0"/>
        <v>52</v>
      </c>
      <c r="J16" s="58">
        <v>5.0444000000000004</v>
      </c>
    </row>
    <row r="17" spans="9:10" x14ac:dyDescent="0.2">
      <c r="I17" s="4">
        <f t="shared" si="0"/>
        <v>53</v>
      </c>
      <c r="J17" s="58">
        <v>5.5488</v>
      </c>
    </row>
    <row r="18" spans="9:10" x14ac:dyDescent="0.2">
      <c r="I18" s="4">
        <f t="shared" si="0"/>
        <v>54</v>
      </c>
      <c r="J18" s="58">
        <v>6.1036999999999999</v>
      </c>
    </row>
    <row r="19" spans="9:10" x14ac:dyDescent="0.2">
      <c r="I19" s="4">
        <f t="shared" si="0"/>
        <v>55</v>
      </c>
      <c r="J19" s="58">
        <v>6.7141000000000002</v>
      </c>
    </row>
    <row r="20" spans="9:10" x14ac:dyDescent="0.2">
      <c r="I20" s="4">
        <f t="shared" si="0"/>
        <v>56</v>
      </c>
      <c r="J20" s="58">
        <v>7.3855000000000004</v>
      </c>
    </row>
    <row r="21" spans="9:10" x14ac:dyDescent="0.2">
      <c r="I21" s="4">
        <f t="shared" si="0"/>
        <v>57</v>
      </c>
      <c r="J21" s="58">
        <v>8.1240000000000006</v>
      </c>
    </row>
    <row r="22" spans="9:10" x14ac:dyDescent="0.2">
      <c r="I22" s="4">
        <f t="shared" si="0"/>
        <v>58</v>
      </c>
      <c r="J22" s="58">
        <v>8.9364000000000008</v>
      </c>
    </row>
    <row r="23" spans="9:10" x14ac:dyDescent="0.2">
      <c r="I23" s="4">
        <f t="shared" si="0"/>
        <v>59</v>
      </c>
      <c r="J23" s="58">
        <v>9.8300999999999998</v>
      </c>
    </row>
    <row r="24" spans="9:10" ht="13.5" thickBot="1" x14ac:dyDescent="0.25">
      <c r="I24" s="5">
        <f t="shared" si="0"/>
        <v>60</v>
      </c>
      <c r="J24" s="59">
        <v>10.8131</v>
      </c>
    </row>
  </sheetData>
  <mergeCells count="1">
    <mergeCell ref="I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"/>
  <sheetViews>
    <sheetView showGridLines="0" workbookViewId="0">
      <selection activeCell="G14" sqref="G14"/>
    </sheetView>
  </sheetViews>
  <sheetFormatPr defaultColWidth="9.28515625" defaultRowHeight="12.75" x14ac:dyDescent="0.2"/>
  <cols>
    <col min="1" max="1" width="1.5703125" style="2" customWidth="1"/>
    <col min="2" max="16384" width="9.28515625" style="2"/>
  </cols>
  <sheetData>
    <row r="1" spans="2:6" ht="13.5" thickBot="1" x14ac:dyDescent="0.25">
      <c r="C1" s="71" t="s">
        <v>51</v>
      </c>
      <c r="D1" s="73" t="s">
        <v>53</v>
      </c>
      <c r="E1" s="71" t="s">
        <v>51</v>
      </c>
      <c r="F1" s="72" t="s">
        <v>52</v>
      </c>
    </row>
    <row r="2" spans="2:6" ht="13.5" thickBot="1" x14ac:dyDescent="0.25">
      <c r="B2" s="140" t="s">
        <v>2</v>
      </c>
      <c r="C2" s="142"/>
      <c r="D2" s="142"/>
      <c r="E2" s="141"/>
    </row>
    <row r="3" spans="2:6" ht="15.75" x14ac:dyDescent="0.3">
      <c r="B3" s="6" t="s">
        <v>0</v>
      </c>
      <c r="C3" s="55" t="s">
        <v>47</v>
      </c>
      <c r="D3" s="55" t="s">
        <v>48</v>
      </c>
      <c r="E3" s="3" t="s">
        <v>1</v>
      </c>
    </row>
    <row r="4" spans="2:6" x14ac:dyDescent="0.2">
      <c r="B4" s="56">
        <v>40</v>
      </c>
      <c r="C4" s="66">
        <f>Parameters!B9</f>
        <v>1500</v>
      </c>
      <c r="D4" s="60">
        <f>Parameters!J4</f>
        <v>1.9</v>
      </c>
      <c r="E4" s="63">
        <f t="shared" ref="E4:E9" si="0">D4/C4</f>
        <v>1.2666666666666666E-3</v>
      </c>
    </row>
    <row r="5" spans="2:6" x14ac:dyDescent="0.2">
      <c r="B5" s="56">
        <f>B4+1</f>
        <v>41</v>
      </c>
      <c r="C5" s="66">
        <f>C4-D4</f>
        <v>1498.1</v>
      </c>
      <c r="D5" s="60">
        <f>Parameters!J5</f>
        <v>1.976</v>
      </c>
      <c r="E5" s="63">
        <f t="shared" si="0"/>
        <v>1.319004071824311E-3</v>
      </c>
    </row>
    <row r="6" spans="2:6" x14ac:dyDescent="0.2">
      <c r="B6" s="56">
        <f t="shared" ref="B6:B24" si="1">B5+1</f>
        <v>42</v>
      </c>
      <c r="C6" s="66">
        <f t="shared" ref="C6:C24" si="2">C5-D5</f>
        <v>1496.1239999999998</v>
      </c>
      <c r="D6" s="60">
        <f>Parameters!J6</f>
        <v>2.0748000000000002</v>
      </c>
      <c r="E6" s="63">
        <f t="shared" si="0"/>
        <v>1.3867834484307454E-3</v>
      </c>
    </row>
    <row r="7" spans="2:6" x14ac:dyDescent="0.2">
      <c r="B7" s="56">
        <f t="shared" si="1"/>
        <v>43</v>
      </c>
      <c r="C7" s="66">
        <f t="shared" si="2"/>
        <v>1494.0491999999997</v>
      </c>
      <c r="D7" s="60">
        <f>Parameters!J7</f>
        <v>2.1993</v>
      </c>
      <c r="E7" s="63">
        <f t="shared" si="0"/>
        <v>1.4720398765984417E-3</v>
      </c>
    </row>
    <row r="8" spans="2:6" x14ac:dyDescent="0.2">
      <c r="B8" s="56">
        <f t="shared" si="1"/>
        <v>44</v>
      </c>
      <c r="C8" s="66">
        <f t="shared" si="2"/>
        <v>1491.8498999999997</v>
      </c>
      <c r="D8" s="60">
        <f>Parameters!J8</f>
        <v>2.3532000000000002</v>
      </c>
      <c r="E8" s="63">
        <f t="shared" si="0"/>
        <v>1.5773704847920696E-3</v>
      </c>
    </row>
    <row r="9" spans="2:6" x14ac:dyDescent="0.2">
      <c r="B9" s="56">
        <f t="shared" si="1"/>
        <v>45</v>
      </c>
      <c r="C9" s="66">
        <f t="shared" si="2"/>
        <v>1489.4966999999997</v>
      </c>
      <c r="D9" s="60">
        <f>Parameters!J9</f>
        <v>2.5886</v>
      </c>
      <c r="E9" s="63">
        <f t="shared" si="0"/>
        <v>1.7379024740370359E-3</v>
      </c>
    </row>
    <row r="10" spans="2:6" x14ac:dyDescent="0.2">
      <c r="B10" s="4">
        <f t="shared" si="1"/>
        <v>46</v>
      </c>
      <c r="C10" s="67">
        <f t="shared" si="2"/>
        <v>1486.9080999999996</v>
      </c>
      <c r="D10" s="61">
        <f>Parameters!J10</f>
        <v>2.8473999999999999</v>
      </c>
      <c r="E10" s="64">
        <f>D10/C10</f>
        <v>1.9149804887067334E-3</v>
      </c>
    </row>
    <row r="11" spans="2:6" x14ac:dyDescent="0.2">
      <c r="B11" s="4">
        <f t="shared" si="1"/>
        <v>47</v>
      </c>
      <c r="C11" s="67">
        <f t="shared" si="2"/>
        <v>1484.0606999999995</v>
      </c>
      <c r="D11" s="61">
        <f>Parameters!J11</f>
        <v>3.1322000000000001</v>
      </c>
      <c r="E11" s="64">
        <f t="shared" ref="E11:E24" si="3">D11/C11</f>
        <v>2.1105605720844176E-3</v>
      </c>
    </row>
    <row r="12" spans="2:6" x14ac:dyDescent="0.2">
      <c r="B12" s="4">
        <f t="shared" si="1"/>
        <v>48</v>
      </c>
      <c r="C12" s="67">
        <f t="shared" si="2"/>
        <v>1480.9284999999995</v>
      </c>
      <c r="D12" s="61">
        <f>Parameters!J12</f>
        <v>3.4453999999999998</v>
      </c>
      <c r="E12" s="64">
        <f t="shared" si="3"/>
        <v>2.3265134002080456E-3</v>
      </c>
    </row>
    <row r="13" spans="2:6" x14ac:dyDescent="0.2">
      <c r="B13" s="4">
        <f t="shared" si="1"/>
        <v>49</v>
      </c>
      <c r="C13" s="67">
        <f t="shared" si="2"/>
        <v>1477.4830999999995</v>
      </c>
      <c r="D13" s="61">
        <f>Parameters!J13</f>
        <v>3.7898999999999998</v>
      </c>
      <c r="E13" s="64">
        <f t="shared" si="3"/>
        <v>2.5651054824248083E-3</v>
      </c>
    </row>
    <row r="14" spans="2:6" x14ac:dyDescent="0.2">
      <c r="B14" s="4">
        <f t="shared" si="1"/>
        <v>50</v>
      </c>
      <c r="C14" s="67">
        <f t="shared" si="2"/>
        <v>1473.6931999999995</v>
      </c>
      <c r="D14" s="61">
        <f>Parameters!J14</f>
        <v>4.1688999999999998</v>
      </c>
      <c r="E14" s="64">
        <f t="shared" si="3"/>
        <v>2.828879172408478E-3</v>
      </c>
    </row>
    <row r="15" spans="2:6" x14ac:dyDescent="0.2">
      <c r="B15" s="4">
        <f t="shared" si="1"/>
        <v>51</v>
      </c>
      <c r="C15" s="67">
        <f t="shared" si="2"/>
        <v>1469.5242999999996</v>
      </c>
      <c r="D15" s="61">
        <f>Parameters!J15</f>
        <v>4.5857999999999999</v>
      </c>
      <c r="E15" s="64">
        <f t="shared" si="3"/>
        <v>3.1206016804213453E-3</v>
      </c>
    </row>
    <row r="16" spans="2:6" x14ac:dyDescent="0.2">
      <c r="B16" s="4">
        <f t="shared" si="1"/>
        <v>52</v>
      </c>
      <c r="C16" s="67">
        <f t="shared" si="2"/>
        <v>1464.9384999999995</v>
      </c>
      <c r="D16" s="61">
        <f>Parameters!J16</f>
        <v>5.0444000000000004</v>
      </c>
      <c r="E16" s="64">
        <f t="shared" si="3"/>
        <v>3.4434210036803606E-3</v>
      </c>
    </row>
    <row r="17" spans="2:5" x14ac:dyDescent="0.2">
      <c r="B17" s="4">
        <f t="shared" si="1"/>
        <v>53</v>
      </c>
      <c r="C17" s="67">
        <f t="shared" si="2"/>
        <v>1459.8940999999995</v>
      </c>
      <c r="D17" s="61">
        <f>Parameters!J17</f>
        <v>5.5488</v>
      </c>
      <c r="E17" s="64">
        <f t="shared" si="3"/>
        <v>3.800823635084217E-3</v>
      </c>
    </row>
    <row r="18" spans="2:5" x14ac:dyDescent="0.2">
      <c r="B18" s="4">
        <f t="shared" si="1"/>
        <v>54</v>
      </c>
      <c r="C18" s="67">
        <f t="shared" si="2"/>
        <v>1454.3452999999995</v>
      </c>
      <c r="D18" s="61">
        <f>Parameters!J18</f>
        <v>6.1036999999999999</v>
      </c>
      <c r="E18" s="64">
        <f t="shared" si="3"/>
        <v>4.1968712657166098E-3</v>
      </c>
    </row>
    <row r="19" spans="2:5" x14ac:dyDescent="0.2">
      <c r="B19" s="4">
        <f t="shared" si="1"/>
        <v>55</v>
      </c>
      <c r="C19" s="67">
        <f t="shared" si="2"/>
        <v>1448.2415999999996</v>
      </c>
      <c r="D19" s="61">
        <f>Parameters!J19</f>
        <v>6.7141000000000002</v>
      </c>
      <c r="E19" s="64">
        <f t="shared" si="3"/>
        <v>4.6360358658389606E-3</v>
      </c>
    </row>
    <row r="20" spans="2:5" x14ac:dyDescent="0.2">
      <c r="B20" s="4">
        <f t="shared" si="1"/>
        <v>56</v>
      </c>
      <c r="C20" s="67">
        <f t="shared" si="2"/>
        <v>1441.5274999999997</v>
      </c>
      <c r="D20" s="61">
        <f>Parameters!J20</f>
        <v>7.3855000000000004</v>
      </c>
      <c r="E20" s="64">
        <f t="shared" si="3"/>
        <v>5.1233847429202721E-3</v>
      </c>
    </row>
    <row r="21" spans="2:5" x14ac:dyDescent="0.2">
      <c r="B21" s="4">
        <f t="shared" si="1"/>
        <v>57</v>
      </c>
      <c r="C21" s="67">
        <f t="shared" si="2"/>
        <v>1434.1419999999996</v>
      </c>
      <c r="D21" s="61">
        <f>Parameters!J21</f>
        <v>8.1240000000000006</v>
      </c>
      <c r="E21" s="64">
        <f t="shared" si="3"/>
        <v>5.6647110258258963E-3</v>
      </c>
    </row>
    <row r="22" spans="2:5" x14ac:dyDescent="0.2">
      <c r="B22" s="4">
        <f t="shared" si="1"/>
        <v>58</v>
      </c>
      <c r="C22" s="67">
        <f t="shared" si="2"/>
        <v>1426.0179999999996</v>
      </c>
      <c r="D22" s="61">
        <f>Parameters!J22</f>
        <v>8.9364000000000008</v>
      </c>
      <c r="E22" s="64">
        <f t="shared" si="3"/>
        <v>6.2666810657369008E-3</v>
      </c>
    </row>
    <row r="23" spans="2:5" x14ac:dyDescent="0.2">
      <c r="B23" s="4">
        <f t="shared" si="1"/>
        <v>59</v>
      </c>
      <c r="C23" s="67">
        <f t="shared" si="2"/>
        <v>1417.0815999999995</v>
      </c>
      <c r="D23" s="61">
        <f>Parameters!J23</f>
        <v>9.8300999999999998</v>
      </c>
      <c r="E23" s="64">
        <f t="shared" si="3"/>
        <v>6.9368623514693886E-3</v>
      </c>
    </row>
    <row r="24" spans="2:5" ht="13.5" thickBot="1" x14ac:dyDescent="0.25">
      <c r="B24" s="5">
        <f t="shared" si="1"/>
        <v>60</v>
      </c>
      <c r="C24" s="68">
        <f t="shared" si="2"/>
        <v>1407.2514999999996</v>
      </c>
      <c r="D24" s="62">
        <f>Parameters!J24</f>
        <v>10.8131</v>
      </c>
      <c r="E24" s="65">
        <f t="shared" si="3"/>
        <v>7.6838432931142751E-3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J19"/>
  <sheetViews>
    <sheetView showGridLines="0" topLeftCell="A2" workbookViewId="0">
      <selection activeCell="A2" sqref="A1:XFD1048576"/>
    </sheetView>
  </sheetViews>
  <sheetFormatPr defaultRowHeight="12.75" x14ac:dyDescent="0.2"/>
  <cols>
    <col min="2" max="2" width="12.5703125" customWidth="1"/>
  </cols>
  <sheetData>
    <row r="5" spans="10:10" ht="14.25" x14ac:dyDescent="0.2">
      <c r="J5" s="74" t="s">
        <v>122</v>
      </c>
    </row>
    <row r="6" spans="10:10" x14ac:dyDescent="0.2">
      <c r="J6" t="s">
        <v>57</v>
      </c>
    </row>
    <row r="19" spans="2:10" ht="15" x14ac:dyDescent="0.25">
      <c r="B19" s="8" t="s">
        <v>54</v>
      </c>
      <c r="C19" s="8" t="s">
        <v>55</v>
      </c>
      <c r="J19" s="74" t="s">
        <v>58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showGridLines="0" zoomScale="85" zoomScaleNormal="85" workbookViewId="0">
      <selection sqref="A1:XFD1048576"/>
    </sheetView>
  </sheetViews>
  <sheetFormatPr defaultRowHeight="12.75" x14ac:dyDescent="0.2"/>
  <cols>
    <col min="3" max="3" width="15.7109375" customWidth="1"/>
    <col min="4" max="4" width="11.28515625" customWidth="1"/>
    <col min="5" max="5" width="24.85546875" customWidth="1"/>
    <col min="6" max="6" width="16.28515625" customWidth="1"/>
    <col min="7" max="7" width="14.28515625" customWidth="1"/>
    <col min="8" max="8" width="18.42578125" customWidth="1"/>
    <col min="9" max="9" width="17.28515625" customWidth="1"/>
    <col min="10" max="10" width="11.140625" customWidth="1"/>
    <col min="11" max="11" width="12.28515625" customWidth="1"/>
    <col min="12" max="12" width="14.28515625" customWidth="1"/>
  </cols>
  <sheetData>
    <row r="2" spans="2:8" ht="15" x14ac:dyDescent="0.25">
      <c r="C2" s="89" t="s">
        <v>78</v>
      </c>
    </row>
    <row r="4" spans="2:8" ht="14.25" x14ac:dyDescent="0.2">
      <c r="E4" s="74" t="s">
        <v>74</v>
      </c>
      <c r="F4" s="74" t="s">
        <v>74</v>
      </c>
      <c r="G4" s="74" t="s">
        <v>74</v>
      </c>
      <c r="H4" s="74" t="s">
        <v>74</v>
      </c>
    </row>
    <row r="5" spans="2:8" ht="45" x14ac:dyDescent="0.2">
      <c r="B5" s="87" t="s">
        <v>0</v>
      </c>
      <c r="C5" s="87" t="s">
        <v>60</v>
      </c>
      <c r="D5" s="87" t="s">
        <v>59</v>
      </c>
      <c r="E5" s="88" t="s">
        <v>61</v>
      </c>
      <c r="F5" s="88" t="s">
        <v>62</v>
      </c>
      <c r="G5" s="88" t="s">
        <v>63</v>
      </c>
      <c r="H5" s="88" t="s">
        <v>64</v>
      </c>
    </row>
    <row r="6" spans="2:8" x14ac:dyDescent="0.2">
      <c r="B6">
        <v>45</v>
      </c>
      <c r="C6">
        <f>1</f>
        <v>1</v>
      </c>
      <c r="D6" s="75">
        <f>'Q.1)(i)'!E9</f>
        <v>1.7379024740370359E-3</v>
      </c>
      <c r="E6" s="75">
        <f>1-D6</f>
        <v>0.99826209752596295</v>
      </c>
      <c r="F6" s="75">
        <f>D6*1</f>
        <v>1.7379024740370359E-3</v>
      </c>
      <c r="G6" s="75">
        <f>IF(C6=5,E6,0)</f>
        <v>0</v>
      </c>
      <c r="H6" s="75">
        <f>F6+G6</f>
        <v>1.7379024740370359E-3</v>
      </c>
    </row>
    <row r="7" spans="2:8" x14ac:dyDescent="0.2">
      <c r="B7">
        <f>B6+1</f>
        <v>46</v>
      </c>
      <c r="C7">
        <f>C6+1</f>
        <v>2</v>
      </c>
      <c r="D7" s="75">
        <f>'Q.1)(i)'!E10</f>
        <v>1.9149804887067334E-3</v>
      </c>
      <c r="E7" s="75">
        <f>E6*(1-D7)</f>
        <v>0.99635044508658521</v>
      </c>
      <c r="F7" s="137">
        <f>E6*D7</f>
        <v>1.9116524393776773E-3</v>
      </c>
      <c r="G7" s="75">
        <f t="shared" ref="G7:G10" si="0">IF(C7=5,E7,0)</f>
        <v>0</v>
      </c>
      <c r="H7" s="75">
        <f t="shared" ref="H7:H10" si="1">F7+G7</f>
        <v>1.9116524393776773E-3</v>
      </c>
    </row>
    <row r="8" spans="2:8" x14ac:dyDescent="0.2">
      <c r="B8">
        <f t="shared" ref="B8:B10" si="2">B7+1</f>
        <v>47</v>
      </c>
      <c r="C8">
        <f>C7+1</f>
        <v>3</v>
      </c>
      <c r="D8" s="75">
        <f>'Q.1)(i)'!E11</f>
        <v>2.1105605720844176E-3</v>
      </c>
      <c r="E8" s="75">
        <f t="shared" ref="E8:E10" si="3">E7*(1-D8)</f>
        <v>0.99424758712120676</v>
      </c>
      <c r="F8" s="137">
        <f>E7*D8</f>
        <v>2.1028579653785072E-3</v>
      </c>
      <c r="G8" s="75">
        <f t="shared" si="0"/>
        <v>0</v>
      </c>
      <c r="H8" s="75">
        <f t="shared" si="1"/>
        <v>2.1028579653785072E-3</v>
      </c>
    </row>
    <row r="9" spans="2:8" x14ac:dyDescent="0.2">
      <c r="B9">
        <f t="shared" si="2"/>
        <v>48</v>
      </c>
      <c r="C9">
        <f>C8+1</f>
        <v>4</v>
      </c>
      <c r="D9" s="75">
        <f>'Q.1)(i)'!E12</f>
        <v>2.3265134002080456E-3</v>
      </c>
      <c r="E9" s="75">
        <f t="shared" si="3"/>
        <v>0.99193445678664471</v>
      </c>
      <c r="F9" s="137">
        <f t="shared" ref="F9:F10" si="4">E8*D9</f>
        <v>2.313130334562004E-3</v>
      </c>
      <c r="G9" s="75">
        <f t="shared" si="0"/>
        <v>0</v>
      </c>
      <c r="H9" s="75">
        <f t="shared" si="1"/>
        <v>2.313130334562004E-3</v>
      </c>
    </row>
    <row r="10" spans="2:8" x14ac:dyDescent="0.2">
      <c r="B10">
        <f t="shared" si="2"/>
        <v>49</v>
      </c>
      <c r="C10">
        <f>C9+1</f>
        <v>5</v>
      </c>
      <c r="D10" s="75">
        <f>'Q.1)(i)'!E13</f>
        <v>2.5651054824248083E-3</v>
      </c>
      <c r="E10" s="75">
        <f t="shared" si="3"/>
        <v>0.98939004027333521</v>
      </c>
      <c r="F10" s="137">
        <f t="shared" si="4"/>
        <v>2.5444165133094963E-3</v>
      </c>
      <c r="G10" s="75">
        <f t="shared" si="0"/>
        <v>0.98939004027333521</v>
      </c>
      <c r="H10" s="75">
        <f t="shared" si="1"/>
        <v>0.99193445678664471</v>
      </c>
    </row>
    <row r="14" spans="2:8" ht="15" x14ac:dyDescent="0.25">
      <c r="C14" s="84"/>
      <c r="D14" s="85" t="s">
        <v>69</v>
      </c>
      <c r="E14" s="85" t="s">
        <v>70</v>
      </c>
      <c r="F14" s="85" t="s">
        <v>69</v>
      </c>
    </row>
    <row r="15" spans="2:8" ht="15" x14ac:dyDescent="0.25">
      <c r="C15" s="84" t="s">
        <v>71</v>
      </c>
      <c r="D15" s="81">
        <v>0.06</v>
      </c>
      <c r="E15" s="81">
        <f>D15</f>
        <v>0.06</v>
      </c>
      <c r="F15" s="82">
        <f>(1+D15)^2-1</f>
        <v>0.12360000000000015</v>
      </c>
      <c r="G15" s="74"/>
    </row>
    <row r="16" spans="2:8" ht="15" x14ac:dyDescent="0.25">
      <c r="C16" s="84" t="s">
        <v>72</v>
      </c>
      <c r="D16" s="83">
        <f>NPV(D15,$H$6:$H$10)</f>
        <v>0.74816984026020761</v>
      </c>
      <c r="E16" s="83">
        <f>D16*D16</f>
        <v>0.55975810987498453</v>
      </c>
      <c r="F16" s="83">
        <f>NPV(F15,$H$6:$H$10)</f>
        <v>0.55988567298649783</v>
      </c>
    </row>
    <row r="17" spans="3:6" ht="14.25" x14ac:dyDescent="0.2">
      <c r="D17" s="74" t="s">
        <v>68</v>
      </c>
      <c r="E17" s="74"/>
      <c r="F17" s="74" t="s">
        <v>68</v>
      </c>
    </row>
    <row r="19" spans="3:6" ht="15" x14ac:dyDescent="0.25">
      <c r="C19" s="8" t="s">
        <v>73</v>
      </c>
    </row>
    <row r="20" spans="3:6" ht="14.25" x14ac:dyDescent="0.2">
      <c r="C20" t="s">
        <v>65</v>
      </c>
      <c r="D20" s="86">
        <f>D16</f>
        <v>0.74816984026020761</v>
      </c>
      <c r="E20" s="74"/>
    </row>
    <row r="21" spans="3:6" ht="14.25" x14ac:dyDescent="0.2">
      <c r="C21" t="s">
        <v>66</v>
      </c>
      <c r="D21" s="80">
        <f>F16-E16</f>
        <v>1.275631115132958E-4</v>
      </c>
      <c r="E21" s="74" t="s">
        <v>74</v>
      </c>
    </row>
    <row r="22" spans="3:6" ht="14.25" x14ac:dyDescent="0.2">
      <c r="C22" t="s">
        <v>67</v>
      </c>
      <c r="D22" s="86">
        <f>D21^(1/2)</f>
        <v>1.1294384069673556E-2</v>
      </c>
      <c r="E22" s="74" t="s">
        <v>74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4"/>
  <sheetViews>
    <sheetView showGridLines="0" zoomScale="85" zoomScaleNormal="85" workbookViewId="0">
      <selection sqref="A1:XFD1048576"/>
    </sheetView>
  </sheetViews>
  <sheetFormatPr defaultRowHeight="12.75" x14ac:dyDescent="0.2"/>
  <cols>
    <col min="3" max="3" width="15.7109375" customWidth="1"/>
    <col min="4" max="4" width="11.28515625" customWidth="1"/>
    <col min="5" max="5" width="24.85546875" customWidth="1"/>
    <col min="6" max="6" width="16.28515625" customWidth="1"/>
    <col min="7" max="7" width="14.28515625" customWidth="1"/>
    <col min="8" max="8" width="18.42578125" customWidth="1"/>
    <col min="9" max="9" width="17.28515625" customWidth="1"/>
    <col min="10" max="10" width="11.28515625" customWidth="1"/>
    <col min="11" max="11" width="12.28515625" customWidth="1"/>
    <col min="12" max="12" width="14.28515625" customWidth="1"/>
  </cols>
  <sheetData>
    <row r="2" spans="2:9" ht="15" x14ac:dyDescent="0.25">
      <c r="C2" s="89" t="s">
        <v>78</v>
      </c>
    </row>
    <row r="4" spans="2:9" ht="14.25" x14ac:dyDescent="0.2">
      <c r="E4" s="74" t="s">
        <v>74</v>
      </c>
      <c r="F4" s="74"/>
      <c r="G4" s="74"/>
      <c r="H4" s="74" t="s">
        <v>74</v>
      </c>
    </row>
    <row r="5" spans="2:9" ht="60" x14ac:dyDescent="0.2">
      <c r="B5" s="87" t="s">
        <v>0</v>
      </c>
      <c r="C5" s="87" t="s">
        <v>60</v>
      </c>
      <c r="D5" s="87" t="s">
        <v>59</v>
      </c>
      <c r="E5" s="88" t="s">
        <v>76</v>
      </c>
      <c r="F5" s="88" t="s">
        <v>62</v>
      </c>
      <c r="G5" s="88" t="s">
        <v>63</v>
      </c>
      <c r="H5" s="88" t="s">
        <v>64</v>
      </c>
    </row>
    <row r="6" spans="2:9" x14ac:dyDescent="0.2">
      <c r="B6">
        <f>'Q.1)(iii)(a)'!B6</f>
        <v>45</v>
      </c>
      <c r="C6">
        <f>1</f>
        <v>1</v>
      </c>
      <c r="D6" s="75">
        <f>'Q.1)(i)'!E9</f>
        <v>1.7379024740370359E-3</v>
      </c>
      <c r="E6" s="75">
        <v>1</v>
      </c>
      <c r="F6" s="75">
        <v>0</v>
      </c>
      <c r="G6" s="75">
        <f>E6</f>
        <v>1</v>
      </c>
      <c r="H6" s="75">
        <f>F6+G6</f>
        <v>1</v>
      </c>
      <c r="I6" s="78"/>
    </row>
    <row r="7" spans="2:9" x14ac:dyDescent="0.2">
      <c r="B7">
        <f>'Q.1)(iii)(a)'!B7</f>
        <v>46</v>
      </c>
      <c r="C7">
        <f>C6+1</f>
        <v>2</v>
      </c>
      <c r="D7" s="75">
        <f>'Q.1)(i)'!E10</f>
        <v>1.9149804887067334E-3</v>
      </c>
      <c r="E7" s="75">
        <f>E6*(1-D7)</f>
        <v>0.99808501951129325</v>
      </c>
      <c r="F7" s="75">
        <v>0</v>
      </c>
      <c r="G7" s="75">
        <f t="shared" ref="G7:G10" si="0">E7</f>
        <v>0.99808501951129325</v>
      </c>
      <c r="H7" s="75">
        <f t="shared" ref="H7:H10" si="1">F7+G7</f>
        <v>0.99808501951129325</v>
      </c>
      <c r="I7" s="78"/>
    </row>
    <row r="8" spans="2:9" x14ac:dyDescent="0.2">
      <c r="B8">
        <f>'Q.1)(iii)(a)'!B8</f>
        <v>47</v>
      </c>
      <c r="C8">
        <f>C7+1</f>
        <v>3</v>
      </c>
      <c r="D8" s="75">
        <f>'Q.1)(i)'!E11</f>
        <v>2.1105605720844176E-3</v>
      </c>
      <c r="E8" s="75">
        <f t="shared" ref="E8:E10" si="2">E7*(1-D8)</f>
        <v>0.99597850062152471</v>
      </c>
      <c r="F8" s="75">
        <v>0</v>
      </c>
      <c r="G8" s="75">
        <f t="shared" si="0"/>
        <v>0.99597850062152471</v>
      </c>
      <c r="H8" s="75">
        <f t="shared" si="1"/>
        <v>0.99597850062152471</v>
      </c>
      <c r="I8" s="78"/>
    </row>
    <row r="9" spans="2:9" x14ac:dyDescent="0.2">
      <c r="B9">
        <f>'Q.1)(iii)(a)'!B9</f>
        <v>48</v>
      </c>
      <c r="C9">
        <f>C8+1</f>
        <v>4</v>
      </c>
      <c r="D9" s="75">
        <f>'Q.1)(i)'!E12</f>
        <v>2.3265134002080456E-3</v>
      </c>
      <c r="E9" s="75">
        <f t="shared" si="2"/>
        <v>0.99366134329350964</v>
      </c>
      <c r="F9" s="75">
        <v>0</v>
      </c>
      <c r="G9" s="75">
        <f t="shared" si="0"/>
        <v>0.99366134329350964</v>
      </c>
      <c r="H9" s="75">
        <f t="shared" si="1"/>
        <v>0.99366134329350964</v>
      </c>
      <c r="I9" s="78"/>
    </row>
    <row r="10" spans="2:9" x14ac:dyDescent="0.2">
      <c r="B10">
        <f>'Q.1)(iii)(a)'!B10</f>
        <v>49</v>
      </c>
      <c r="C10">
        <f>C9+1</f>
        <v>5</v>
      </c>
      <c r="D10" s="75">
        <f>'Q.1)(i)'!E13</f>
        <v>2.5651054824248083E-3</v>
      </c>
      <c r="E10" s="75">
        <f t="shared" si="2"/>
        <v>0.99111249713415384</v>
      </c>
      <c r="F10" s="75">
        <v>0</v>
      </c>
      <c r="G10" s="75">
        <f t="shared" si="0"/>
        <v>0.99111249713415384</v>
      </c>
      <c r="H10" s="75">
        <f t="shared" si="1"/>
        <v>0.99111249713415384</v>
      </c>
      <c r="I10" s="78"/>
    </row>
    <row r="14" spans="2:9" ht="15" x14ac:dyDescent="0.25">
      <c r="C14" s="84"/>
      <c r="D14" s="85" t="s">
        <v>75</v>
      </c>
    </row>
    <row r="15" spans="2:9" ht="15" x14ac:dyDescent="0.25">
      <c r="C15" s="84" t="s">
        <v>71</v>
      </c>
      <c r="D15" s="81">
        <v>0.06</v>
      </c>
      <c r="G15" s="74"/>
    </row>
    <row r="16" spans="2:9" ht="15" x14ac:dyDescent="0.25">
      <c r="C16" s="84" t="s">
        <v>72</v>
      </c>
      <c r="D16" s="83">
        <f>NPV(D15,$H$7:$H$10)+H6</f>
        <v>4.4473581141012515</v>
      </c>
    </row>
    <row r="17" spans="3:6" ht="14.25" x14ac:dyDescent="0.2">
      <c r="D17" s="74" t="s">
        <v>68</v>
      </c>
      <c r="E17" s="74"/>
      <c r="F17" s="74"/>
    </row>
    <row r="19" spans="3:6" ht="15" x14ac:dyDescent="0.25">
      <c r="C19" s="8" t="s">
        <v>77</v>
      </c>
      <c r="D19" s="76">
        <f>D15/(1+D15)</f>
        <v>5.6603773584905655E-2</v>
      </c>
      <c r="E19" s="74" t="s">
        <v>68</v>
      </c>
    </row>
    <row r="21" spans="3:6" ht="15" x14ac:dyDescent="0.25">
      <c r="C21" s="8" t="s">
        <v>73</v>
      </c>
    </row>
    <row r="22" spans="3:6" ht="14.25" x14ac:dyDescent="0.2">
      <c r="C22" t="s">
        <v>65</v>
      </c>
      <c r="D22" s="86">
        <f>D16</f>
        <v>4.4473581141012515</v>
      </c>
      <c r="E22" s="74"/>
    </row>
    <row r="23" spans="3:6" ht="14.25" x14ac:dyDescent="0.2">
      <c r="C23" t="s">
        <v>66</v>
      </c>
      <c r="D23" s="80">
        <f>'Q.1)(iii)(a)'!D21/(D19^2)</f>
        <v>3.9813864471205329E-2</v>
      </c>
      <c r="E23" s="74" t="s">
        <v>68</v>
      </c>
    </row>
    <row r="24" spans="3:6" ht="14.25" x14ac:dyDescent="0.2">
      <c r="C24" t="s">
        <v>67</v>
      </c>
      <c r="D24" s="86">
        <f>D23^(1/2)</f>
        <v>0.19953411856423284</v>
      </c>
      <c r="E24" s="74" t="s">
        <v>68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0"/>
  <sheetViews>
    <sheetView showGridLines="0" topLeftCell="B1" zoomScaleNormal="100" workbookViewId="0">
      <selection activeCell="B3" sqref="B3"/>
    </sheetView>
  </sheetViews>
  <sheetFormatPr defaultRowHeight="12.75" x14ac:dyDescent="0.2"/>
  <cols>
    <col min="1" max="1" width="1.7109375" customWidth="1"/>
    <col min="2" max="17" width="15.42578125" customWidth="1"/>
  </cols>
  <sheetData>
    <row r="1" spans="2:17" ht="15" x14ac:dyDescent="0.25">
      <c r="B1" s="9" t="s">
        <v>25</v>
      </c>
    </row>
    <row r="3" spans="2:17" ht="15.75" thickBot="1" x14ac:dyDescent="0.3">
      <c r="B3" s="8" t="s">
        <v>18</v>
      </c>
      <c r="C3" s="74" t="s">
        <v>68</v>
      </c>
      <c r="D3" s="74" t="s">
        <v>68</v>
      </c>
      <c r="E3" s="74"/>
      <c r="F3" s="74" t="s">
        <v>51</v>
      </c>
      <c r="G3" s="74" t="s">
        <v>68</v>
      </c>
      <c r="H3" s="74" t="s">
        <v>51</v>
      </c>
      <c r="I3" s="74"/>
      <c r="J3" s="74"/>
      <c r="K3" s="74" t="s">
        <v>51</v>
      </c>
    </row>
    <row r="4" spans="2:17" ht="47.25" customHeight="1" thickBot="1" x14ac:dyDescent="0.3">
      <c r="B4" s="47" t="s">
        <v>3</v>
      </c>
      <c r="C4" s="48" t="s">
        <v>4</v>
      </c>
      <c r="D4" s="48" t="s">
        <v>6</v>
      </c>
      <c r="E4" s="48" t="s">
        <v>7</v>
      </c>
      <c r="F4" s="48" t="s">
        <v>5</v>
      </c>
      <c r="G4" s="48" t="s">
        <v>8</v>
      </c>
      <c r="H4" s="48" t="s">
        <v>37</v>
      </c>
      <c r="I4" s="48" t="s">
        <v>36</v>
      </c>
      <c r="J4" s="48" t="s">
        <v>10</v>
      </c>
      <c r="K4" s="49" t="s">
        <v>9</v>
      </c>
    </row>
    <row r="5" spans="2:17" x14ac:dyDescent="0.2">
      <c r="B5" s="24">
        <v>1</v>
      </c>
      <c r="C5" s="26">
        <f>Parameters!$B$2*Parameters!E3</f>
        <v>3600</v>
      </c>
      <c r="D5" s="26">
        <f>C5</f>
        <v>3600</v>
      </c>
      <c r="E5" s="26">
        <f>D5*(1+Parameters!$B$3)</f>
        <v>3744</v>
      </c>
      <c r="F5" s="28">
        <f>-E5*Parameters!$B$4</f>
        <v>-37.44</v>
      </c>
      <c r="G5" s="26">
        <f>E5+F5</f>
        <v>3706.56</v>
      </c>
      <c r="H5" s="26">
        <f>G5*Parameters!G3</f>
        <v>74.131200000000007</v>
      </c>
      <c r="I5" s="26">
        <f>G5+H5</f>
        <v>3780.6911999999998</v>
      </c>
      <c r="J5" s="43">
        <v>0.02</v>
      </c>
      <c r="K5" s="44">
        <f t="shared" ref="K5:K14" si="0">J5*G5</f>
        <v>74.131200000000007</v>
      </c>
    </row>
    <row r="6" spans="2:17" x14ac:dyDescent="0.2">
      <c r="B6" s="24">
        <f>B5+1</f>
        <v>2</v>
      </c>
      <c r="C6" s="26">
        <f>Parameters!$B$2*Parameters!E4</f>
        <v>3800</v>
      </c>
      <c r="D6" s="26">
        <f>C6+G5</f>
        <v>7506.5599999999995</v>
      </c>
      <c r="E6" s="26">
        <f>D6*(1+Parameters!$B$3)</f>
        <v>7806.8224</v>
      </c>
      <c r="F6" s="28">
        <f>-E6*Parameters!$B$4</f>
        <v>-78.068224000000001</v>
      </c>
      <c r="G6" s="26">
        <f t="shared" ref="G6:G14" si="1">E6+F6</f>
        <v>7728.7541760000004</v>
      </c>
      <c r="H6" s="26">
        <f>G6*Parameters!G4</f>
        <v>154.57508352000002</v>
      </c>
      <c r="I6" s="26">
        <f t="shared" ref="I6:I14" si="2">G6+H6</f>
        <v>7883.3292595200001</v>
      </c>
      <c r="J6" s="43">
        <v>0.02</v>
      </c>
      <c r="K6" s="44">
        <f t="shared" si="0"/>
        <v>154.57508352000002</v>
      </c>
    </row>
    <row r="7" spans="2:17" x14ac:dyDescent="0.2">
      <c r="B7" s="24">
        <f t="shared" ref="B7:B14" si="3">B6+1</f>
        <v>3</v>
      </c>
      <c r="C7" s="26">
        <f>Parameters!$B$2*Parameters!E5</f>
        <v>4000</v>
      </c>
      <c r="D7" s="26">
        <f t="shared" ref="D7:D14" si="4">C7+G6</f>
        <v>11728.754176</v>
      </c>
      <c r="E7" s="26">
        <f>D7*(1+Parameters!$B$3)</f>
        <v>12197.904343040002</v>
      </c>
      <c r="F7" s="28">
        <f>-E7*Parameters!$B$4</f>
        <v>-121.97904343040001</v>
      </c>
      <c r="G7" s="26">
        <f t="shared" si="1"/>
        <v>12075.925299609602</v>
      </c>
      <c r="H7" s="26">
        <f>G7*Parameters!G5</f>
        <v>241.51850599219205</v>
      </c>
      <c r="I7" s="26">
        <f t="shared" si="2"/>
        <v>12317.443805601793</v>
      </c>
      <c r="J7" s="43">
        <v>0.02</v>
      </c>
      <c r="K7" s="44">
        <f t="shared" si="0"/>
        <v>241.51850599219205</v>
      </c>
    </row>
    <row r="8" spans="2:17" x14ac:dyDescent="0.2">
      <c r="B8" s="24">
        <f t="shared" si="3"/>
        <v>4</v>
      </c>
      <c r="C8" s="26">
        <f>Parameters!$B$2*Parameters!E6</f>
        <v>4000</v>
      </c>
      <c r="D8" s="26">
        <f t="shared" si="4"/>
        <v>16075.925299609602</v>
      </c>
      <c r="E8" s="26">
        <f>D8*(1+Parameters!$B$3)</f>
        <v>16718.962311593987</v>
      </c>
      <c r="F8" s="28">
        <f>-E8*Parameters!$B$4</f>
        <v>-167.18962311593987</v>
      </c>
      <c r="G8" s="26">
        <f t="shared" si="1"/>
        <v>16551.772688478046</v>
      </c>
      <c r="H8" s="26">
        <f>G8*Parameters!G6</f>
        <v>827.58863442390236</v>
      </c>
      <c r="I8" s="26">
        <f t="shared" si="2"/>
        <v>17379.361322901947</v>
      </c>
      <c r="J8" s="43">
        <v>0.02</v>
      </c>
      <c r="K8" s="44">
        <f t="shared" si="0"/>
        <v>331.03545376956095</v>
      </c>
    </row>
    <row r="9" spans="2:17" x14ac:dyDescent="0.2">
      <c r="B9" s="24">
        <f t="shared" si="3"/>
        <v>5</v>
      </c>
      <c r="C9" s="26">
        <f>Parameters!$B$2*Parameters!E7</f>
        <v>4000</v>
      </c>
      <c r="D9" s="26">
        <f t="shared" si="4"/>
        <v>20551.772688478046</v>
      </c>
      <c r="E9" s="26">
        <f>D9*(1+Parameters!$B$3)</f>
        <v>21373.84359601717</v>
      </c>
      <c r="F9" s="28">
        <f>-E9*Parameters!$B$4</f>
        <v>-213.7384359601717</v>
      </c>
      <c r="G9" s="26">
        <f t="shared" si="1"/>
        <v>21160.105160056999</v>
      </c>
      <c r="H9" s="26">
        <f>G9*Parameters!G7</f>
        <v>1058.00525800285</v>
      </c>
      <c r="I9" s="26">
        <f t="shared" si="2"/>
        <v>22218.110418059849</v>
      </c>
      <c r="J9" s="43">
        <v>0.01</v>
      </c>
      <c r="K9" s="44">
        <f t="shared" si="0"/>
        <v>211.60105160057</v>
      </c>
    </row>
    <row r="10" spans="2:17" x14ac:dyDescent="0.2">
      <c r="B10" s="24">
        <f t="shared" si="3"/>
        <v>6</v>
      </c>
      <c r="C10" s="26">
        <f>Parameters!$B$2*Parameters!E8</f>
        <v>4000</v>
      </c>
      <c r="D10" s="26">
        <f t="shared" si="4"/>
        <v>25160.105160056999</v>
      </c>
      <c r="E10" s="26">
        <f>D10*(1+Parameters!$B$3)</f>
        <v>26166.509366459279</v>
      </c>
      <c r="F10" s="28">
        <f>-E10*Parameters!$B$4</f>
        <v>-261.6650936645928</v>
      </c>
      <c r="G10" s="26">
        <f t="shared" si="1"/>
        <v>25904.844272794686</v>
      </c>
      <c r="H10" s="26">
        <f>G10*Parameters!G8</f>
        <v>1295.2422136397345</v>
      </c>
      <c r="I10" s="26">
        <f t="shared" si="2"/>
        <v>27200.086486434418</v>
      </c>
      <c r="J10" s="43">
        <v>0.01</v>
      </c>
      <c r="K10" s="44">
        <f t="shared" si="0"/>
        <v>259.04844272794685</v>
      </c>
    </row>
    <row r="11" spans="2:17" x14ac:dyDescent="0.2">
      <c r="B11" s="24">
        <f t="shared" si="3"/>
        <v>7</v>
      </c>
      <c r="C11" s="26">
        <f>Parameters!$B$2*Parameters!E9</f>
        <v>4000</v>
      </c>
      <c r="D11" s="26">
        <f t="shared" si="4"/>
        <v>29904.844272794686</v>
      </c>
      <c r="E11" s="26">
        <f>D11*(1+Parameters!$B$3)</f>
        <v>31101.038043706474</v>
      </c>
      <c r="F11" s="28">
        <f>-E11*Parameters!$B$4</f>
        <v>-311.01038043706473</v>
      </c>
      <c r="G11" s="26">
        <f t="shared" si="1"/>
        <v>30790.027663269408</v>
      </c>
      <c r="H11" s="26">
        <f>G11*Parameters!G9</f>
        <v>2463.2022130615528</v>
      </c>
      <c r="I11" s="26">
        <f t="shared" si="2"/>
        <v>33253.229876330959</v>
      </c>
      <c r="J11" s="43">
        <v>0.01</v>
      </c>
      <c r="K11" s="44">
        <f t="shared" si="0"/>
        <v>307.9002766326941</v>
      </c>
    </row>
    <row r="12" spans="2:17" x14ac:dyDescent="0.2">
      <c r="B12" s="24">
        <f t="shared" si="3"/>
        <v>8</v>
      </c>
      <c r="C12" s="26">
        <f>Parameters!$B$2*Parameters!E10</f>
        <v>4000</v>
      </c>
      <c r="D12" s="26">
        <f t="shared" si="4"/>
        <v>34790.027663269408</v>
      </c>
      <c r="E12" s="26">
        <f>D12*(1+Parameters!$B$3)</f>
        <v>36181.628769800183</v>
      </c>
      <c r="F12" s="28">
        <f>-E12*Parameters!$B$4</f>
        <v>-361.81628769800182</v>
      </c>
      <c r="G12" s="26">
        <f t="shared" si="1"/>
        <v>35819.812482102185</v>
      </c>
      <c r="H12" s="26">
        <f>G12*Parameters!G10</f>
        <v>2865.5849985681748</v>
      </c>
      <c r="I12" s="26">
        <f t="shared" si="2"/>
        <v>38685.397480670363</v>
      </c>
      <c r="J12" s="43">
        <v>0.01</v>
      </c>
      <c r="K12" s="44">
        <f t="shared" si="0"/>
        <v>358.19812482102185</v>
      </c>
    </row>
    <row r="13" spans="2:17" x14ac:dyDescent="0.2">
      <c r="B13" s="24">
        <f t="shared" si="3"/>
        <v>9</v>
      </c>
      <c r="C13" s="26">
        <f>Parameters!$B$2*Parameters!E11</f>
        <v>4000</v>
      </c>
      <c r="D13" s="26">
        <f t="shared" si="4"/>
        <v>39819.812482102185</v>
      </c>
      <c r="E13" s="26">
        <f>D13*(1+Parameters!$B$3)</f>
        <v>41412.60498138627</v>
      </c>
      <c r="F13" s="28">
        <f>-E13*Parameters!$B$4</f>
        <v>-414.12604981386272</v>
      </c>
      <c r="G13" s="26">
        <f t="shared" si="1"/>
        <v>40998.478931572405</v>
      </c>
      <c r="H13" s="26">
        <f>G13*Parameters!G11</f>
        <v>3279.8783145257926</v>
      </c>
      <c r="I13" s="26">
        <f t="shared" si="2"/>
        <v>44278.357246098196</v>
      </c>
      <c r="J13" s="43">
        <v>0.01</v>
      </c>
      <c r="K13" s="44">
        <f t="shared" si="0"/>
        <v>409.98478931572407</v>
      </c>
    </row>
    <row r="14" spans="2:17" ht="13.5" thickBot="1" x14ac:dyDescent="0.25">
      <c r="B14" s="32">
        <f t="shared" si="3"/>
        <v>10</v>
      </c>
      <c r="C14" s="34">
        <f>Parameters!$B$2*Parameters!E12</f>
        <v>4000</v>
      </c>
      <c r="D14" s="34">
        <f t="shared" si="4"/>
        <v>44998.478931572405</v>
      </c>
      <c r="E14" s="34">
        <f>D14*(1+Parameters!$B$3)</f>
        <v>46798.4180888353</v>
      </c>
      <c r="F14" s="36">
        <f>-E14*Parameters!$B$4</f>
        <v>-467.98418088835302</v>
      </c>
      <c r="G14" s="34">
        <f t="shared" si="1"/>
        <v>46330.43390794695</v>
      </c>
      <c r="H14" s="34">
        <f>G14*Parameters!G12</f>
        <v>3706.4347126357561</v>
      </c>
      <c r="I14" s="34">
        <f t="shared" si="2"/>
        <v>50036.868620582703</v>
      </c>
      <c r="J14" s="45">
        <v>0</v>
      </c>
      <c r="K14" s="46">
        <f t="shared" si="0"/>
        <v>0</v>
      </c>
    </row>
    <row r="15" spans="2:17" x14ac:dyDescent="0.2">
      <c r="G15" s="90"/>
    </row>
    <row r="16" spans="2:17" ht="15.75" thickBot="1" x14ac:dyDescent="0.3">
      <c r="B16" s="8" t="s">
        <v>11</v>
      </c>
      <c r="C16" s="74" t="s">
        <v>68</v>
      </c>
      <c r="D16" s="74" t="s">
        <v>68</v>
      </c>
      <c r="E16" s="74" t="s">
        <v>68</v>
      </c>
      <c r="F16" s="74" t="s">
        <v>68</v>
      </c>
      <c r="G16" s="74"/>
      <c r="H16" s="74" t="s">
        <v>68</v>
      </c>
      <c r="I16" s="74" t="s">
        <v>68</v>
      </c>
      <c r="J16" s="74" t="s">
        <v>68</v>
      </c>
      <c r="K16" s="74" t="s">
        <v>51</v>
      </c>
      <c r="L16" s="74" t="s">
        <v>51</v>
      </c>
      <c r="M16" s="74" t="s">
        <v>51</v>
      </c>
      <c r="N16" s="74" t="s">
        <v>51</v>
      </c>
      <c r="O16" s="74" t="s">
        <v>68</v>
      </c>
      <c r="P16" s="74" t="s">
        <v>51</v>
      </c>
      <c r="Q16" s="74" t="s">
        <v>51</v>
      </c>
    </row>
    <row r="17" spans="2:18" ht="42.75" customHeight="1" thickBot="1" x14ac:dyDescent="0.25">
      <c r="B17" s="40" t="s">
        <v>3</v>
      </c>
      <c r="C17" s="41" t="s">
        <v>16</v>
      </c>
      <c r="D17" s="41" t="s">
        <v>12</v>
      </c>
      <c r="E17" s="41" t="s">
        <v>17</v>
      </c>
      <c r="F17" s="41" t="s">
        <v>13</v>
      </c>
      <c r="G17" s="41" t="s">
        <v>5</v>
      </c>
      <c r="H17" s="41" t="s">
        <v>38</v>
      </c>
      <c r="I17" s="41" t="s">
        <v>39</v>
      </c>
      <c r="J17" s="41" t="s">
        <v>40</v>
      </c>
      <c r="K17" s="41" t="s">
        <v>15</v>
      </c>
      <c r="L17" s="41" t="s">
        <v>32</v>
      </c>
      <c r="M17" s="41" t="s">
        <v>19</v>
      </c>
      <c r="N17" s="41" t="s">
        <v>20</v>
      </c>
      <c r="O17" s="41" t="s">
        <v>21</v>
      </c>
      <c r="P17" s="41" t="s">
        <v>22</v>
      </c>
      <c r="Q17" s="42" t="s">
        <v>23</v>
      </c>
    </row>
    <row r="18" spans="2:18" x14ac:dyDescent="0.2">
      <c r="B18" s="24">
        <v>1</v>
      </c>
      <c r="C18" s="25">
        <f>Parameters!$B$2-C5</f>
        <v>400</v>
      </c>
      <c r="D18" s="26">
        <f>-400-30</f>
        <v>-430</v>
      </c>
      <c r="E18" s="25">
        <f>-Parameters!$B$2*Parameters!F3</f>
        <v>-120</v>
      </c>
      <c r="F18" s="27">
        <f>SUM(C18:E18)*Parameters!$B$5</f>
        <v>-3</v>
      </c>
      <c r="G18" s="28">
        <f t="shared" ref="G18:G27" si="5">-F5</f>
        <v>37.44</v>
      </c>
      <c r="H18" s="29">
        <f>'Q.1)(i)'!E14</f>
        <v>2.828879172408478E-3</v>
      </c>
      <c r="I18" s="29">
        <v>0.06</v>
      </c>
      <c r="J18" s="29">
        <f>(1-H18)*I18</f>
        <v>5.983026724965549E-2</v>
      </c>
      <c r="K18" s="28">
        <f t="shared" ref="K18:K27" si="6">J18*K5</f>
        <v>4.4352895075376617</v>
      </c>
      <c r="L18" s="27">
        <f>-Parameters!$B$6*(H18+J18)</f>
        <v>-3.1329573211031985</v>
      </c>
      <c r="M18" s="28">
        <f>-MAX(Parameters!$B$7-I5,0)*H18</f>
        <v>-45.882464855181546</v>
      </c>
      <c r="N18" s="28">
        <f>SUM(C18:G18)+K18+L18+M18</f>
        <v>-160.1401326687471</v>
      </c>
      <c r="O18" s="30">
        <v>1</v>
      </c>
      <c r="P18" s="27">
        <f>O18*N18</f>
        <v>-160.1401326687471</v>
      </c>
      <c r="Q18" s="31">
        <f>P18/(1+0.07)^B18</f>
        <v>-149.66367539135243</v>
      </c>
    </row>
    <row r="19" spans="2:18" x14ac:dyDescent="0.2">
      <c r="B19" s="24">
        <f>B18+1</f>
        <v>2</v>
      </c>
      <c r="C19" s="25">
        <f>Parameters!$B$2-C6</f>
        <v>200</v>
      </c>
      <c r="D19" s="26">
        <v>-30</v>
      </c>
      <c r="E19" s="25">
        <f>-Parameters!$B$2*Parameters!F4</f>
        <v>-40</v>
      </c>
      <c r="F19" s="27">
        <f>SUM(C19:E19)*Parameters!$B$5</f>
        <v>2.6</v>
      </c>
      <c r="G19" s="28">
        <f t="shared" si="5"/>
        <v>78.068224000000001</v>
      </c>
      <c r="H19" s="29">
        <f>'Q.1)(i)'!E15</f>
        <v>3.1206016804213453E-3</v>
      </c>
      <c r="I19" s="29">
        <v>0.06</v>
      </c>
      <c r="J19" s="29">
        <f>(1-H19)*I19</f>
        <v>5.9812763899174712E-2</v>
      </c>
      <c r="K19" s="28">
        <f t="shared" si="6"/>
        <v>9.2455629752769735</v>
      </c>
      <c r="L19" s="27">
        <f>-Parameters!$B$6*(H19+J19)</f>
        <v>-3.1466682789798028</v>
      </c>
      <c r="M19" s="28">
        <f>-MAX(Parameters!$B$7-I6,0)*H19</f>
        <v>-37.811303073854035</v>
      </c>
      <c r="N19" s="28">
        <f t="shared" ref="N19:N27" si="7">SUM(C19:G19)+K19+L19+M19</f>
        <v>178.95581562244314</v>
      </c>
      <c r="O19" s="30">
        <f>O18*(1-H18-J18)</f>
        <v>0.93734085357793606</v>
      </c>
      <c r="P19" s="27">
        <f>O19*N19</f>
        <v>167.74259696827659</v>
      </c>
      <c r="Q19" s="31">
        <f>P19/(1+0.07)^B19</f>
        <v>146.51288057321739</v>
      </c>
    </row>
    <row r="20" spans="2:18" x14ac:dyDescent="0.2">
      <c r="B20" s="24">
        <f t="shared" ref="B20:B27" si="8">B19+1</f>
        <v>3</v>
      </c>
      <c r="C20" s="25">
        <f>Parameters!$B$2-C7</f>
        <v>0</v>
      </c>
      <c r="D20" s="26">
        <v>-30</v>
      </c>
      <c r="E20" s="25">
        <f>-Parameters!$B$2*Parameters!F5</f>
        <v>-40</v>
      </c>
      <c r="F20" s="27">
        <f>SUM(C20:E20)*Parameters!$B$5</f>
        <v>-1.4000000000000001</v>
      </c>
      <c r="G20" s="28">
        <f t="shared" si="5"/>
        <v>121.97904343040001</v>
      </c>
      <c r="H20" s="29">
        <f>'Q.1)(i)'!E16</f>
        <v>3.4434210036803606E-3</v>
      </c>
      <c r="I20" s="29">
        <v>0.06</v>
      </c>
      <c r="J20" s="29">
        <f t="shared" ref="J20:J27" si="9">(1-H20)*I20</f>
        <v>5.9793394739779175E-2</v>
      </c>
      <c r="K20" s="28">
        <f t="shared" si="6"/>
        <v>14.441211365752862</v>
      </c>
      <c r="L20" s="27">
        <f>-Parameters!$B$6*(H20+J20)</f>
        <v>-3.1618407871729768</v>
      </c>
      <c r="M20" s="28">
        <f>-MAX(Parameters!$B$7-I7,0)*H20</f>
        <v>-26.454275361745445</v>
      </c>
      <c r="N20" s="28">
        <f t="shared" si="7"/>
        <v>35.404138647234447</v>
      </c>
      <c r="O20" s="30">
        <f>O19*(1-H19-J19)</f>
        <v>0.87835083896702515</v>
      </c>
      <c r="P20" s="27">
        <f t="shared" ref="P20:P27" si="10">O20*N20</f>
        <v>31.097254883703254</v>
      </c>
      <c r="Q20" s="31">
        <f t="shared" ref="Q20:Q27" si="11">P20/(1+0.07)^B20</f>
        <v>25.384623138700643</v>
      </c>
    </row>
    <row r="21" spans="2:18" x14ac:dyDescent="0.2">
      <c r="B21" s="24">
        <f t="shared" si="8"/>
        <v>4</v>
      </c>
      <c r="C21" s="25">
        <f>Parameters!$B$2-C8</f>
        <v>0</v>
      </c>
      <c r="D21" s="26">
        <v>-30</v>
      </c>
      <c r="E21" s="25">
        <f>-Parameters!$B$2*Parameters!F6</f>
        <v>-40</v>
      </c>
      <c r="F21" s="27">
        <f>SUM(C21:E21)*Parameters!$B$5</f>
        <v>-1.4000000000000001</v>
      </c>
      <c r="G21" s="28">
        <f t="shared" si="5"/>
        <v>167.18962311593987</v>
      </c>
      <c r="H21" s="29">
        <f>'Q.1)(i)'!E17</f>
        <v>3.800823635084217E-3</v>
      </c>
      <c r="I21" s="29">
        <v>0.06</v>
      </c>
      <c r="J21" s="29">
        <f t="shared" si="9"/>
        <v>5.9771950581894939E-2</v>
      </c>
      <c r="K21" s="28">
        <f t="shared" si="6"/>
        <v>19.786634783569365</v>
      </c>
      <c r="L21" s="27">
        <f>-Parameters!$B$6*(H21+J21)</f>
        <v>-3.1786387108489578</v>
      </c>
      <c r="M21" s="28">
        <f>-MAX(Parameters!$B$7-I8,0)*H21</f>
        <v>-9.9605854229301176</v>
      </c>
      <c r="N21" s="28">
        <f t="shared" si="7"/>
        <v>102.43703376573015</v>
      </c>
      <c r="O21" s="30">
        <f t="shared" ref="O21:O27" si="12">O20*(1-H20-J20)</f>
        <v>0.82280672880515426</v>
      </c>
      <c r="P21" s="27">
        <f t="shared" si="10"/>
        <v>84.285880661283556</v>
      </c>
      <c r="Q21" s="31">
        <f t="shared" si="11"/>
        <v>64.301294799702319</v>
      </c>
    </row>
    <row r="22" spans="2:18" x14ac:dyDescent="0.2">
      <c r="B22" s="24">
        <f t="shared" si="8"/>
        <v>5</v>
      </c>
      <c r="C22" s="25">
        <f>Parameters!$B$2-C9</f>
        <v>0</v>
      </c>
      <c r="D22" s="26">
        <v>-30</v>
      </c>
      <c r="E22" s="25">
        <f>-Parameters!$B$2*Parameters!F7</f>
        <v>-40</v>
      </c>
      <c r="F22" s="27">
        <f>SUM(C22:E22)*Parameters!$B$5</f>
        <v>-1.4000000000000001</v>
      </c>
      <c r="G22" s="28">
        <f t="shared" si="5"/>
        <v>213.7384359601717</v>
      </c>
      <c r="H22" s="29">
        <f>'Q.1)(i)'!E18</f>
        <v>4.1968712657166098E-3</v>
      </c>
      <c r="I22" s="29">
        <v>0.06</v>
      </c>
      <c r="J22" s="29">
        <f t="shared" si="9"/>
        <v>5.9748187724056996E-2</v>
      </c>
      <c r="K22" s="28">
        <f t="shared" si="6"/>
        <v>12.642779353638728</v>
      </c>
      <c r="L22" s="27">
        <f>-Parameters!$B$6*(H22+J22)</f>
        <v>-3.1972529494886803</v>
      </c>
      <c r="M22" s="28">
        <f>-MAX(Parameters!$B$7-I9,0)*H22</f>
        <v>0</v>
      </c>
      <c r="N22" s="28">
        <f t="shared" si="7"/>
        <v>151.78396236432175</v>
      </c>
      <c r="O22" s="30">
        <f t="shared" si="12"/>
        <v>0.77049862241061295</v>
      </c>
      <c r="P22" s="27">
        <f t="shared" si="10"/>
        <v>116.94933390573424</v>
      </c>
      <c r="Q22" s="31">
        <f t="shared" si="11"/>
        <v>83.383258774609288</v>
      </c>
    </row>
    <row r="23" spans="2:18" x14ac:dyDescent="0.2">
      <c r="B23" s="24">
        <f t="shared" si="8"/>
        <v>6</v>
      </c>
      <c r="C23" s="25">
        <f>Parameters!$B$2-C10</f>
        <v>0</v>
      </c>
      <c r="D23" s="26">
        <v>-30</v>
      </c>
      <c r="E23" s="25">
        <f>-Parameters!$B$2*Parameters!F8</f>
        <v>-40</v>
      </c>
      <c r="F23" s="27">
        <f>SUM(C23:E23)*Parameters!$B$5</f>
        <v>-1.4000000000000001</v>
      </c>
      <c r="G23" s="28">
        <f t="shared" si="5"/>
        <v>261.6650936645928</v>
      </c>
      <c r="H23" s="29">
        <f>'Q.1)(i)'!E19</f>
        <v>4.6360358658389606E-3</v>
      </c>
      <c r="I23" s="29">
        <v>0.06</v>
      </c>
      <c r="J23" s="29">
        <f t="shared" si="9"/>
        <v>5.9721837848049658E-2</v>
      </c>
      <c r="K23" s="28">
        <f t="shared" si="6"/>
        <v>15.470849091388221</v>
      </c>
      <c r="L23" s="27">
        <f>-Parameters!$B$6*(H23+J23)</f>
        <v>-3.2178936856944311</v>
      </c>
      <c r="M23" s="28">
        <f>-MAX(Parameters!$B$7-I10,0)*H23</f>
        <v>0</v>
      </c>
      <c r="N23" s="28">
        <f t="shared" si="7"/>
        <v>202.51804907028659</v>
      </c>
      <c r="O23" s="30">
        <f t="shared" si="12"/>
        <v>0.72122904254902698</v>
      </c>
      <c r="P23" s="27">
        <f t="shared" si="10"/>
        <v>146.06189862985966</v>
      </c>
      <c r="Q23" s="31">
        <f t="shared" si="11"/>
        <v>97.327210347882712</v>
      </c>
    </row>
    <row r="24" spans="2:18" x14ac:dyDescent="0.2">
      <c r="B24" s="24">
        <f t="shared" si="8"/>
        <v>7</v>
      </c>
      <c r="C24" s="25">
        <f>Parameters!$B$2-C11</f>
        <v>0</v>
      </c>
      <c r="D24" s="26">
        <v>-30</v>
      </c>
      <c r="E24" s="25">
        <f>-Parameters!$B$2*Parameters!F9</f>
        <v>-40</v>
      </c>
      <c r="F24" s="27">
        <f>SUM(C24:E24)*Parameters!$B$5</f>
        <v>-1.4000000000000001</v>
      </c>
      <c r="G24" s="28">
        <f t="shared" si="5"/>
        <v>311.01038043706473</v>
      </c>
      <c r="H24" s="29">
        <f>'Q.1)(i)'!E20</f>
        <v>5.1233847429202721E-3</v>
      </c>
      <c r="I24" s="29">
        <v>0.06</v>
      </c>
      <c r="J24" s="29">
        <f t="shared" si="9"/>
        <v>5.9692596915424778E-2</v>
      </c>
      <c r="K24" s="28">
        <f t="shared" si="6"/>
        <v>18.379367103183192</v>
      </c>
      <c r="L24" s="27">
        <f>-Parameters!$B$6*(H24+J24)</f>
        <v>-3.2407990829172526</v>
      </c>
      <c r="M24" s="28">
        <f>-MAX(Parameters!$B$7-I11,0)*H24</f>
        <v>0</v>
      </c>
      <c r="N24" s="28">
        <f t="shared" si="7"/>
        <v>254.74894845733064</v>
      </c>
      <c r="O24" s="30">
        <f t="shared" si="12"/>
        <v>0.67481227490986795</v>
      </c>
      <c r="P24" s="27">
        <f t="shared" si="10"/>
        <v>171.90771743938799</v>
      </c>
      <c r="Q24" s="31">
        <f t="shared" si="11"/>
        <v>107.05548666334809</v>
      </c>
    </row>
    <row r="25" spans="2:18" x14ac:dyDescent="0.2">
      <c r="B25" s="24">
        <f t="shared" si="8"/>
        <v>8</v>
      </c>
      <c r="C25" s="25">
        <f>Parameters!$B$2-C12</f>
        <v>0</v>
      </c>
      <c r="D25" s="26">
        <v>-30</v>
      </c>
      <c r="E25" s="25">
        <f>-Parameters!$B$2*Parameters!F10</f>
        <v>-40</v>
      </c>
      <c r="F25" s="27">
        <f>SUM(C25:E25)*Parameters!$B$5</f>
        <v>-1.4000000000000001</v>
      </c>
      <c r="G25" s="28">
        <f t="shared" si="5"/>
        <v>361.81628769800182</v>
      </c>
      <c r="H25" s="29">
        <f>'Q.1)(i)'!E21</f>
        <v>5.6647110258258963E-3</v>
      </c>
      <c r="I25" s="29">
        <v>0.06</v>
      </c>
      <c r="J25" s="29">
        <f t="shared" si="9"/>
        <v>5.9660117338450447E-2</v>
      </c>
      <c r="K25" s="28">
        <f t="shared" si="6"/>
        <v>21.370142157235083</v>
      </c>
      <c r="L25" s="27">
        <f>-Parameters!$B$6*(H25+J25)</f>
        <v>-3.2662414182138173</v>
      </c>
      <c r="M25" s="28">
        <f>-MAX(Parameters!$B$7-I12,0)*H25</f>
        <v>0</v>
      </c>
      <c r="N25" s="28">
        <f t="shared" si="7"/>
        <v>308.52018843702308</v>
      </c>
      <c r="O25" s="30">
        <f t="shared" si="12"/>
        <v>0.63107365487648381</v>
      </c>
      <c r="P25" s="27">
        <f t="shared" si="10"/>
        <v>194.69896292013365</v>
      </c>
      <c r="Q25" s="31">
        <f t="shared" si="11"/>
        <v>113.31656906888861</v>
      </c>
    </row>
    <row r="26" spans="2:18" x14ac:dyDescent="0.2">
      <c r="B26" s="24">
        <f t="shared" si="8"/>
        <v>9</v>
      </c>
      <c r="C26" s="25">
        <f>Parameters!$B$2-C13</f>
        <v>0</v>
      </c>
      <c r="D26" s="26">
        <v>-30</v>
      </c>
      <c r="E26" s="25">
        <f>-Parameters!$B$2*Parameters!F11</f>
        <v>-40</v>
      </c>
      <c r="F26" s="27">
        <f>SUM(C26:E26)*Parameters!$B$5</f>
        <v>-1.4000000000000001</v>
      </c>
      <c r="G26" s="28">
        <f t="shared" si="5"/>
        <v>414.12604981386272</v>
      </c>
      <c r="H26" s="29">
        <f>'Q.1)(i)'!E22</f>
        <v>6.2666810657369008E-3</v>
      </c>
      <c r="I26" s="29">
        <v>0.06</v>
      </c>
      <c r="J26" s="29">
        <f t="shared" si="9"/>
        <v>5.9623999136055782E-2</v>
      </c>
      <c r="K26" s="28">
        <f t="shared" si="6"/>
        <v>24.444932723956743</v>
      </c>
      <c r="L26" s="27">
        <f>-Parameters!$B$6*(H26+J26)</f>
        <v>-3.2945340100896345</v>
      </c>
      <c r="M26" s="28">
        <f>-MAX(Parameters!$B$7-I13,0)*H26</f>
        <v>0</v>
      </c>
      <c r="N26" s="28">
        <f t="shared" si="7"/>
        <v>363.87644852772979</v>
      </c>
      <c r="O26" s="30">
        <f t="shared" si="12"/>
        <v>0.58984887668646091</v>
      </c>
      <c r="P26" s="27">
        <f t="shared" si="10"/>
        <v>214.63211441674022</v>
      </c>
      <c r="Q26" s="31">
        <f t="shared" si="11"/>
        <v>116.74564927344657</v>
      </c>
    </row>
    <row r="27" spans="2:18" ht="13.5" thickBot="1" x14ac:dyDescent="0.25">
      <c r="B27" s="32">
        <f t="shared" si="8"/>
        <v>10</v>
      </c>
      <c r="C27" s="33">
        <f>Parameters!$B$2-C14</f>
        <v>0</v>
      </c>
      <c r="D27" s="34">
        <v>-30</v>
      </c>
      <c r="E27" s="33">
        <f>-Parameters!$B$2*Parameters!F12</f>
        <v>-40</v>
      </c>
      <c r="F27" s="35">
        <f>SUM(C27:E27)*Parameters!$B$5</f>
        <v>-1.4000000000000001</v>
      </c>
      <c r="G27" s="36">
        <f t="shared" si="5"/>
        <v>467.98418088835302</v>
      </c>
      <c r="H27" s="37">
        <f>'Q.1)(i)'!E23</f>
        <v>6.9368623514693886E-3</v>
      </c>
      <c r="I27" s="37">
        <v>0</v>
      </c>
      <c r="J27" s="37">
        <f t="shared" si="9"/>
        <v>0</v>
      </c>
      <c r="K27" s="36">
        <f t="shared" si="6"/>
        <v>0</v>
      </c>
      <c r="L27" s="35">
        <f>-Parameters!B6</f>
        <v>-50</v>
      </c>
      <c r="M27" s="36">
        <f>-MAX(Parameters!$B$7-I14,0)*H27</f>
        <v>0</v>
      </c>
      <c r="N27" s="36">
        <f t="shared" si="7"/>
        <v>346.58418088835299</v>
      </c>
      <c r="O27" s="38">
        <f t="shared" si="12"/>
        <v>0.55098333298532665</v>
      </c>
      <c r="P27" s="35">
        <f t="shared" si="10"/>
        <v>190.96210714585408</v>
      </c>
      <c r="Q27" s="39">
        <f t="shared" si="11"/>
        <v>97.075451992149056</v>
      </c>
    </row>
    <row r="29" spans="2:18" ht="15" x14ac:dyDescent="0.25">
      <c r="B29" s="7" t="s">
        <v>14</v>
      </c>
      <c r="P29" s="8" t="s">
        <v>24</v>
      </c>
      <c r="Q29" s="50">
        <f>SUM(Q18:Q27)</f>
        <v>701.4387492405923</v>
      </c>
      <c r="R29" s="74" t="s">
        <v>68</v>
      </c>
    </row>
    <row r="30" spans="2:18" x14ac:dyDescent="0.2">
      <c r="B30" t="s">
        <v>33</v>
      </c>
    </row>
  </sheetData>
  <pageMargins left="0.7" right="0.7" top="0.75" bottom="0.75" header="0.3" footer="0.3"/>
  <pageSetup orientation="portrait" r:id="rId1"/>
  <ignoredErrors>
    <ignoredError sqref="H5:H14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showGridLines="0" zoomScale="85" zoomScaleNormal="85" workbookViewId="0">
      <selection activeCell="F5" sqref="F5"/>
    </sheetView>
  </sheetViews>
  <sheetFormatPr defaultRowHeight="12.75" x14ac:dyDescent="0.2"/>
  <cols>
    <col min="1" max="1" width="1.7109375" customWidth="1"/>
    <col min="2" max="4" width="15.42578125" customWidth="1"/>
    <col min="5" max="5" width="14.7109375" customWidth="1"/>
    <col min="6" max="6" width="16.7109375" customWidth="1"/>
    <col min="7" max="7" width="11.7109375" customWidth="1"/>
  </cols>
  <sheetData>
    <row r="1" spans="2:8" ht="15" x14ac:dyDescent="0.25">
      <c r="B1" s="9"/>
      <c r="C1" s="74" t="s">
        <v>79</v>
      </c>
      <c r="D1" s="74" t="s">
        <v>79</v>
      </c>
      <c r="F1" s="74" t="s">
        <v>86</v>
      </c>
      <c r="G1" s="74" t="s">
        <v>51</v>
      </c>
    </row>
    <row r="3" spans="2:8" ht="15.75" thickBot="1" x14ac:dyDescent="0.3">
      <c r="B3" s="8" t="s">
        <v>18</v>
      </c>
      <c r="C3" s="74"/>
      <c r="D3" s="74"/>
      <c r="F3" s="8" t="s">
        <v>84</v>
      </c>
      <c r="G3" s="8" t="s">
        <v>85</v>
      </c>
    </row>
    <row r="4" spans="2:8" ht="47.25" customHeight="1" thickBot="1" x14ac:dyDescent="0.3">
      <c r="B4" s="47" t="s">
        <v>3</v>
      </c>
      <c r="C4" s="48" t="s">
        <v>80</v>
      </c>
      <c r="D4" s="48" t="s">
        <v>81</v>
      </c>
      <c r="E4" s="48" t="s">
        <v>83</v>
      </c>
      <c r="F4" s="48" t="s">
        <v>82</v>
      </c>
      <c r="G4" s="143" t="s">
        <v>82</v>
      </c>
      <c r="H4" s="144"/>
    </row>
    <row r="5" spans="2:8" ht="47.25" customHeight="1" x14ac:dyDescent="0.25">
      <c r="B5" s="24">
        <v>0</v>
      </c>
      <c r="C5" s="26">
        <f>Parameters!$B$2</f>
        <v>4000</v>
      </c>
      <c r="D5" s="26">
        <v>0</v>
      </c>
      <c r="E5" s="26">
        <f>-C5+D5</f>
        <v>-4000</v>
      </c>
      <c r="F5" s="93">
        <f>IRR(E5:E15)</f>
        <v>4.0326761631236829E-2</v>
      </c>
      <c r="G5" s="94">
        <f t="shared" ref="G5:G15" si="0">E5+G6/(1+$H$5)</f>
        <v>-8.2007726632582489E-5</v>
      </c>
      <c r="H5" s="99">
        <v>4.0326762065861152E-2</v>
      </c>
    </row>
    <row r="6" spans="2:8" x14ac:dyDescent="0.2">
      <c r="B6" s="24">
        <v>1</v>
      </c>
      <c r="C6" s="26">
        <f>Parameters!$B$2</f>
        <v>4000</v>
      </c>
      <c r="D6" s="26">
        <v>0</v>
      </c>
      <c r="E6" s="26">
        <f t="shared" ref="E6:E15" si="1">-C6+D6</f>
        <v>-4000</v>
      </c>
      <c r="F6" s="26"/>
      <c r="G6" s="95">
        <f t="shared" si="0"/>
        <v>4161.3069629486117</v>
      </c>
      <c r="H6" s="96"/>
    </row>
    <row r="7" spans="2:8" x14ac:dyDescent="0.2">
      <c r="B7" s="24">
        <f>B6+1</f>
        <v>2</v>
      </c>
      <c r="C7" s="26">
        <f>Parameters!$B$2</f>
        <v>4000</v>
      </c>
      <c r="D7" s="26">
        <v>0</v>
      </c>
      <c r="E7" s="26">
        <f t="shared" si="1"/>
        <v>-4000</v>
      </c>
      <c r="F7" s="26"/>
      <c r="G7" s="95">
        <f t="shared" si="0"/>
        <v>8490.4260469898963</v>
      </c>
      <c r="H7" s="96"/>
    </row>
    <row r="8" spans="2:8" x14ac:dyDescent="0.2">
      <c r="B8" s="24">
        <f t="shared" ref="B8:B15" si="2">B7+1</f>
        <v>3</v>
      </c>
      <c r="C8" s="26">
        <f>Parameters!$B$2</f>
        <v>4000</v>
      </c>
      <c r="D8" s="26">
        <v>0</v>
      </c>
      <c r="E8" s="26">
        <f t="shared" si="1"/>
        <v>-4000</v>
      </c>
      <c r="F8" s="26"/>
      <c r="G8" s="95">
        <f t="shared" si="0"/>
        <v>12994.124486288092</v>
      </c>
      <c r="H8" s="96"/>
    </row>
    <row r="9" spans="2:8" x14ac:dyDescent="0.2">
      <c r="B9" s="24">
        <f t="shared" si="2"/>
        <v>4</v>
      </c>
      <c r="C9" s="26">
        <f>Parameters!$B$2</f>
        <v>4000</v>
      </c>
      <c r="D9" s="26">
        <v>0</v>
      </c>
      <c r="E9" s="26">
        <f t="shared" si="1"/>
        <v>-4000</v>
      </c>
      <c r="F9" s="26"/>
      <c r="G9" s="95">
        <f t="shared" si="0"/>
        <v>17679.442500964258</v>
      </c>
      <c r="H9" s="96"/>
    </row>
    <row r="10" spans="2:8" x14ac:dyDescent="0.2">
      <c r="B10" s="24">
        <f t="shared" si="2"/>
        <v>5</v>
      </c>
      <c r="C10" s="26">
        <f>Parameters!$B$2</f>
        <v>4000</v>
      </c>
      <c r="D10" s="26">
        <v>0</v>
      </c>
      <c r="E10" s="26">
        <f t="shared" si="1"/>
        <v>-4000</v>
      </c>
      <c r="F10" s="26"/>
      <c r="G10" s="95">
        <f t="shared" si="0"/>
        <v>22553.704220421161</v>
      </c>
      <c r="H10" s="96"/>
    </row>
    <row r="11" spans="2:8" x14ac:dyDescent="0.2">
      <c r="B11" s="24">
        <f t="shared" si="2"/>
        <v>6</v>
      </c>
      <c r="C11" s="26">
        <f>Parameters!$B$2</f>
        <v>4000</v>
      </c>
      <c r="D11" s="26">
        <v>0</v>
      </c>
      <c r="E11" s="26">
        <f t="shared" si="1"/>
        <v>-4000</v>
      </c>
      <c r="F11" s="26"/>
      <c r="G11" s="95">
        <f t="shared" si="0"/>
        <v>27624.529132485339</v>
      </c>
      <c r="H11" s="96"/>
    </row>
    <row r="12" spans="2:8" x14ac:dyDescent="0.2">
      <c r="B12" s="24">
        <f t="shared" si="2"/>
        <v>7</v>
      </c>
      <c r="C12" s="26">
        <f>Parameters!$B$2</f>
        <v>4000</v>
      </c>
      <c r="D12" s="26">
        <v>0</v>
      </c>
      <c r="E12" s="26">
        <f t="shared" si="1"/>
        <v>-4000</v>
      </c>
      <c r="F12" s="26"/>
      <c r="G12" s="95">
        <f t="shared" si="0"/>
        <v>32899.843994255971</v>
      </c>
      <c r="H12" s="96"/>
    </row>
    <row r="13" spans="2:8" x14ac:dyDescent="0.2">
      <c r="B13" s="24">
        <f t="shared" si="2"/>
        <v>8</v>
      </c>
      <c r="C13" s="26">
        <f>Parameters!$B$2</f>
        <v>4000</v>
      </c>
      <c r="D13" s="26">
        <v>0</v>
      </c>
      <c r="E13" s="26">
        <f t="shared" si="1"/>
        <v>-4000</v>
      </c>
      <c r="F13" s="26"/>
      <c r="G13" s="95">
        <f t="shared" si="0"/>
        <v>38387.895223279731</v>
      </c>
      <c r="H13" s="96"/>
    </row>
    <row r="14" spans="2:8" x14ac:dyDescent="0.2">
      <c r="B14" s="24">
        <f t="shared" si="2"/>
        <v>9</v>
      </c>
      <c r="C14" s="26">
        <f>Parameters!$B$2</f>
        <v>4000</v>
      </c>
      <c r="D14" s="26">
        <v>0</v>
      </c>
      <c r="E14" s="26">
        <f t="shared" si="1"/>
        <v>-4000</v>
      </c>
      <c r="F14" s="26"/>
      <c r="G14" s="95">
        <f t="shared" si="0"/>
        <v>44097.261788421587</v>
      </c>
      <c r="H14" s="96"/>
    </row>
    <row r="15" spans="2:8" ht="13.5" thickBot="1" x14ac:dyDescent="0.25">
      <c r="B15" s="32">
        <f t="shared" si="2"/>
        <v>10</v>
      </c>
      <c r="C15" s="34"/>
      <c r="D15" s="34">
        <f>'Q.1)(iv)'!I14</f>
        <v>50036.868620582703</v>
      </c>
      <c r="E15" s="34">
        <f t="shared" si="1"/>
        <v>50036.868620582703</v>
      </c>
      <c r="F15" s="34"/>
      <c r="G15" s="97">
        <f t="shared" si="0"/>
        <v>50036.868620582703</v>
      </c>
      <c r="H15" s="98"/>
    </row>
    <row r="18" ht="42.75" customHeight="1" x14ac:dyDescent="0.2"/>
  </sheetData>
  <mergeCells count="1">
    <mergeCell ref="G4:H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9"/>
  <sheetViews>
    <sheetView showGridLines="0" workbookViewId="0"/>
  </sheetViews>
  <sheetFormatPr defaultRowHeight="12.75" x14ac:dyDescent="0.2"/>
  <cols>
    <col min="2" max="2" width="16.42578125" customWidth="1"/>
    <col min="3" max="3" width="22" customWidth="1"/>
  </cols>
  <sheetData>
    <row r="4" spans="2:5" x14ac:dyDescent="0.2">
      <c r="C4" t="s">
        <v>87</v>
      </c>
      <c r="D4">
        <v>98</v>
      </c>
    </row>
    <row r="7" spans="2:5" x14ac:dyDescent="0.2">
      <c r="C7" t="s">
        <v>89</v>
      </c>
    </row>
    <row r="8" spans="2:5" x14ac:dyDescent="0.2">
      <c r="B8" t="s">
        <v>87</v>
      </c>
      <c r="C8">
        <v>0</v>
      </c>
      <c r="D8">
        <f>-D4</f>
        <v>-98</v>
      </c>
    </row>
    <row r="9" spans="2:5" ht="14.25" x14ac:dyDescent="0.2">
      <c r="B9" t="s">
        <v>88</v>
      </c>
      <c r="C9">
        <f>0.5</f>
        <v>0.5</v>
      </c>
      <c r="D9">
        <f t="shared" ref="D9" si="0">+IF(C9=10,100*(1+6%/2),100*6%/2)</f>
        <v>3</v>
      </c>
      <c r="E9" s="74" t="s">
        <v>92</v>
      </c>
    </row>
    <row r="10" spans="2:5" x14ac:dyDescent="0.2">
      <c r="C10">
        <f>C9+0.5</f>
        <v>1</v>
      </c>
      <c r="D10">
        <f>+IF(C10=10,100*(1+6%/2),100*6%/2)</f>
        <v>3</v>
      </c>
    </row>
    <row r="11" spans="2:5" x14ac:dyDescent="0.2">
      <c r="C11">
        <f t="shared" ref="C11:C28" si="1">C10+0.5</f>
        <v>1.5</v>
      </c>
      <c r="D11">
        <f t="shared" ref="D11:D28" si="2">+IF(C11=10,100*(1+6%/2),100*6%/2)</f>
        <v>3</v>
      </c>
    </row>
    <row r="12" spans="2:5" x14ac:dyDescent="0.2">
      <c r="C12">
        <f t="shared" si="1"/>
        <v>2</v>
      </c>
      <c r="D12">
        <f t="shared" si="2"/>
        <v>3</v>
      </c>
    </row>
    <row r="13" spans="2:5" x14ac:dyDescent="0.2">
      <c r="C13">
        <f t="shared" si="1"/>
        <v>2.5</v>
      </c>
      <c r="D13">
        <f t="shared" si="2"/>
        <v>3</v>
      </c>
    </row>
    <row r="14" spans="2:5" x14ac:dyDescent="0.2">
      <c r="C14">
        <f t="shared" si="1"/>
        <v>3</v>
      </c>
      <c r="D14">
        <f t="shared" si="2"/>
        <v>3</v>
      </c>
    </row>
    <row r="15" spans="2:5" x14ac:dyDescent="0.2">
      <c r="C15">
        <f t="shared" si="1"/>
        <v>3.5</v>
      </c>
      <c r="D15">
        <f t="shared" si="2"/>
        <v>3</v>
      </c>
    </row>
    <row r="16" spans="2:5" x14ac:dyDescent="0.2">
      <c r="C16">
        <f t="shared" si="1"/>
        <v>4</v>
      </c>
      <c r="D16">
        <f t="shared" si="2"/>
        <v>3</v>
      </c>
    </row>
    <row r="17" spans="2:5" x14ac:dyDescent="0.2">
      <c r="C17">
        <f t="shared" si="1"/>
        <v>4.5</v>
      </c>
      <c r="D17">
        <f t="shared" si="2"/>
        <v>3</v>
      </c>
    </row>
    <row r="18" spans="2:5" x14ac:dyDescent="0.2">
      <c r="C18">
        <f t="shared" si="1"/>
        <v>5</v>
      </c>
      <c r="D18">
        <f t="shared" si="2"/>
        <v>3</v>
      </c>
    </row>
    <row r="19" spans="2:5" x14ac:dyDescent="0.2">
      <c r="C19">
        <f t="shared" si="1"/>
        <v>5.5</v>
      </c>
      <c r="D19">
        <f t="shared" si="2"/>
        <v>3</v>
      </c>
    </row>
    <row r="20" spans="2:5" x14ac:dyDescent="0.2">
      <c r="C20">
        <f t="shared" si="1"/>
        <v>6</v>
      </c>
      <c r="D20">
        <f t="shared" si="2"/>
        <v>3</v>
      </c>
    </row>
    <row r="21" spans="2:5" x14ac:dyDescent="0.2">
      <c r="C21">
        <f t="shared" si="1"/>
        <v>6.5</v>
      </c>
      <c r="D21">
        <f t="shared" si="2"/>
        <v>3</v>
      </c>
    </row>
    <row r="22" spans="2:5" x14ac:dyDescent="0.2">
      <c r="C22">
        <f t="shared" si="1"/>
        <v>7</v>
      </c>
      <c r="D22">
        <f t="shared" si="2"/>
        <v>3</v>
      </c>
    </row>
    <row r="23" spans="2:5" x14ac:dyDescent="0.2">
      <c r="C23">
        <f t="shared" si="1"/>
        <v>7.5</v>
      </c>
      <c r="D23">
        <f t="shared" si="2"/>
        <v>3</v>
      </c>
    </row>
    <row r="24" spans="2:5" x14ac:dyDescent="0.2">
      <c r="C24">
        <f t="shared" si="1"/>
        <v>8</v>
      </c>
      <c r="D24">
        <f t="shared" si="2"/>
        <v>3</v>
      </c>
    </row>
    <row r="25" spans="2:5" x14ac:dyDescent="0.2">
      <c r="C25">
        <f t="shared" si="1"/>
        <v>8.5</v>
      </c>
      <c r="D25">
        <f t="shared" si="2"/>
        <v>3</v>
      </c>
    </row>
    <row r="26" spans="2:5" x14ac:dyDescent="0.2">
      <c r="C26">
        <f t="shared" si="1"/>
        <v>9</v>
      </c>
      <c r="D26">
        <f t="shared" si="2"/>
        <v>3</v>
      </c>
    </row>
    <row r="27" spans="2:5" x14ac:dyDescent="0.2">
      <c r="C27">
        <f t="shared" si="1"/>
        <v>9.5</v>
      </c>
      <c r="D27">
        <f t="shared" si="2"/>
        <v>3</v>
      </c>
    </row>
    <row r="28" spans="2:5" x14ac:dyDescent="0.2">
      <c r="C28">
        <f t="shared" si="1"/>
        <v>10</v>
      </c>
      <c r="D28">
        <f t="shared" si="2"/>
        <v>103</v>
      </c>
    </row>
    <row r="30" spans="2:5" ht="14.25" x14ac:dyDescent="0.2">
      <c r="B30" t="s">
        <v>90</v>
      </c>
      <c r="D30" s="77">
        <f>IRR(D8:D28)</f>
        <v>3.1361290257452268E-2</v>
      </c>
      <c r="E30" s="74" t="s">
        <v>93</v>
      </c>
    </row>
    <row r="32" spans="2:5" ht="14.25" x14ac:dyDescent="0.2">
      <c r="B32" t="s">
        <v>91</v>
      </c>
      <c r="D32" s="77">
        <f>(1+D30)^2-1</f>
        <v>6.3706111041516689E-2</v>
      </c>
      <c r="E32" s="74" t="s">
        <v>93</v>
      </c>
    </row>
    <row r="35" spans="2:3" ht="15" x14ac:dyDescent="0.25">
      <c r="B35" s="8" t="s">
        <v>94</v>
      </c>
      <c r="C35" s="74" t="s">
        <v>99</v>
      </c>
    </row>
    <row r="36" spans="2:3" x14ac:dyDescent="0.2">
      <c r="B36">
        <v>1</v>
      </c>
      <c r="C36" t="s">
        <v>95</v>
      </c>
    </row>
    <row r="37" spans="2:3" x14ac:dyDescent="0.2">
      <c r="B37">
        <v>2</v>
      </c>
      <c r="C37" t="s">
        <v>96</v>
      </c>
    </row>
    <row r="38" spans="2:3" x14ac:dyDescent="0.2">
      <c r="B38">
        <v>3</v>
      </c>
      <c r="C38" t="s">
        <v>97</v>
      </c>
    </row>
    <row r="39" spans="2:3" x14ac:dyDescent="0.2">
      <c r="B39">
        <v>4</v>
      </c>
      <c r="C39" t="s">
        <v>98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0"/>
  <sheetViews>
    <sheetView showGridLines="0" topLeftCell="F1" zoomScale="85" zoomScaleNormal="85" workbookViewId="0">
      <selection activeCell="Q15" sqref="Q15"/>
    </sheetView>
  </sheetViews>
  <sheetFormatPr defaultRowHeight="12.75" x14ac:dyDescent="0.2"/>
  <cols>
    <col min="1" max="1" width="1.7109375" customWidth="1"/>
    <col min="2" max="17" width="15.42578125" customWidth="1"/>
  </cols>
  <sheetData>
    <row r="1" spans="2:17" ht="15" x14ac:dyDescent="0.25">
      <c r="B1" s="9" t="s">
        <v>25</v>
      </c>
    </row>
    <row r="3" spans="2:17" ht="15.75" thickBot="1" x14ac:dyDescent="0.3">
      <c r="B3" s="8" t="s">
        <v>18</v>
      </c>
    </row>
    <row r="4" spans="2:17" ht="47.25" customHeight="1" thickBot="1" x14ac:dyDescent="0.3">
      <c r="B4" s="47" t="s">
        <v>3</v>
      </c>
      <c r="C4" s="48" t="s">
        <v>4</v>
      </c>
      <c r="D4" s="48" t="s">
        <v>6</v>
      </c>
      <c r="E4" s="48" t="s">
        <v>7</v>
      </c>
      <c r="F4" s="48" t="s">
        <v>5</v>
      </c>
      <c r="G4" s="48" t="s">
        <v>8</v>
      </c>
      <c r="H4" s="48" t="s">
        <v>37</v>
      </c>
      <c r="I4" s="48" t="s">
        <v>36</v>
      </c>
      <c r="J4" s="48" t="s">
        <v>10</v>
      </c>
      <c r="K4" s="49" t="s">
        <v>9</v>
      </c>
    </row>
    <row r="5" spans="2:17" x14ac:dyDescent="0.2">
      <c r="B5" s="24">
        <v>1</v>
      </c>
      <c r="C5" s="26">
        <f>Parameters!$B$2*Parameters!E3</f>
        <v>3600</v>
      </c>
      <c r="D5" s="26">
        <f>C5</f>
        <v>3600</v>
      </c>
      <c r="E5" s="26">
        <f>D5*(1+Parameters!$B$3)</f>
        <v>3744</v>
      </c>
      <c r="F5" s="28">
        <f>-E5*Parameters!$B$4</f>
        <v>-37.44</v>
      </c>
      <c r="G5" s="26">
        <f>E5+F5</f>
        <v>3706.56</v>
      </c>
      <c r="H5" s="26">
        <f>G5*Parameters!G3</f>
        <v>74.131200000000007</v>
      </c>
      <c r="I5" s="26">
        <f>G5+H5</f>
        <v>3780.6911999999998</v>
      </c>
      <c r="J5" s="43">
        <v>0.02</v>
      </c>
      <c r="K5" s="44">
        <f t="shared" ref="K5:K14" si="0">J5*G5</f>
        <v>74.131200000000007</v>
      </c>
    </row>
    <row r="6" spans="2:17" x14ac:dyDescent="0.2">
      <c r="B6" s="24">
        <f>B5+1</f>
        <v>2</v>
      </c>
      <c r="C6" s="26">
        <f>Parameters!$B$2*Parameters!E4</f>
        <v>3800</v>
      </c>
      <c r="D6" s="26">
        <f>C6+G5</f>
        <v>7506.5599999999995</v>
      </c>
      <c r="E6" s="26">
        <f>D6*(1+Parameters!$B$3)</f>
        <v>7806.8224</v>
      </c>
      <c r="F6" s="28">
        <f>-E6*Parameters!$B$4</f>
        <v>-78.068224000000001</v>
      </c>
      <c r="G6" s="26">
        <f t="shared" ref="G6:G14" si="1">E6+F6</f>
        <v>7728.7541760000004</v>
      </c>
      <c r="H6" s="26">
        <f>G6*Parameters!G4</f>
        <v>154.57508352000002</v>
      </c>
      <c r="I6" s="26">
        <f t="shared" ref="I6:I14" si="2">G6+H6</f>
        <v>7883.3292595200001</v>
      </c>
      <c r="J6" s="43">
        <v>0.02</v>
      </c>
      <c r="K6" s="44">
        <f t="shared" si="0"/>
        <v>154.57508352000002</v>
      </c>
    </row>
    <row r="7" spans="2:17" x14ac:dyDescent="0.2">
      <c r="B7" s="24">
        <f t="shared" ref="B7:B14" si="3">B6+1</f>
        <v>3</v>
      </c>
      <c r="C7" s="26">
        <f>Parameters!$B$2*Parameters!E5</f>
        <v>4000</v>
      </c>
      <c r="D7" s="26">
        <f t="shared" ref="D7:D14" si="4">C7+G6</f>
        <v>11728.754176</v>
      </c>
      <c r="E7" s="26">
        <f>D7*(1+Parameters!$B$3)</f>
        <v>12197.904343040002</v>
      </c>
      <c r="F7" s="28">
        <f>-E7*Parameters!$B$4</f>
        <v>-121.97904343040001</v>
      </c>
      <c r="G7" s="26">
        <f t="shared" si="1"/>
        <v>12075.925299609602</v>
      </c>
      <c r="H7" s="26">
        <f>G7*Parameters!G5</f>
        <v>241.51850599219205</v>
      </c>
      <c r="I7" s="26">
        <f t="shared" si="2"/>
        <v>12317.443805601793</v>
      </c>
      <c r="J7" s="43">
        <v>0.02</v>
      </c>
      <c r="K7" s="44">
        <f t="shared" si="0"/>
        <v>241.51850599219205</v>
      </c>
    </row>
    <row r="8" spans="2:17" x14ac:dyDescent="0.2">
      <c r="B8" s="24">
        <f t="shared" si="3"/>
        <v>4</v>
      </c>
      <c r="C8" s="26">
        <f>Parameters!$B$2*Parameters!E6</f>
        <v>4000</v>
      </c>
      <c r="D8" s="26">
        <f t="shared" si="4"/>
        <v>16075.925299609602</v>
      </c>
      <c r="E8" s="26">
        <f>D8*(1+Parameters!$B$3)</f>
        <v>16718.962311593987</v>
      </c>
      <c r="F8" s="28">
        <f>-E8*Parameters!$B$4</f>
        <v>-167.18962311593987</v>
      </c>
      <c r="G8" s="26">
        <f t="shared" si="1"/>
        <v>16551.772688478046</v>
      </c>
      <c r="H8" s="26">
        <f>G8*Parameters!G6</f>
        <v>827.58863442390236</v>
      </c>
      <c r="I8" s="26">
        <f t="shared" si="2"/>
        <v>17379.361322901947</v>
      </c>
      <c r="J8" s="43">
        <v>0.02</v>
      </c>
      <c r="K8" s="44">
        <f t="shared" si="0"/>
        <v>331.03545376956095</v>
      </c>
    </row>
    <row r="9" spans="2:17" x14ac:dyDescent="0.2">
      <c r="B9" s="24">
        <f t="shared" si="3"/>
        <v>5</v>
      </c>
      <c r="C9" s="26">
        <f>Parameters!$B$2*Parameters!E7</f>
        <v>4000</v>
      </c>
      <c r="D9" s="26">
        <f t="shared" si="4"/>
        <v>20551.772688478046</v>
      </c>
      <c r="E9" s="26">
        <f>D9*(1+Parameters!$B$3)</f>
        <v>21373.84359601717</v>
      </c>
      <c r="F9" s="28">
        <f>-E9*Parameters!$B$4</f>
        <v>-213.7384359601717</v>
      </c>
      <c r="G9" s="26">
        <f t="shared" si="1"/>
        <v>21160.105160056999</v>
      </c>
      <c r="H9" s="26">
        <f>G9*Parameters!G7</f>
        <v>1058.00525800285</v>
      </c>
      <c r="I9" s="26">
        <f t="shared" si="2"/>
        <v>22218.110418059849</v>
      </c>
      <c r="J9" s="43">
        <v>0.01</v>
      </c>
      <c r="K9" s="44">
        <f t="shared" si="0"/>
        <v>211.60105160057</v>
      </c>
    </row>
    <row r="10" spans="2:17" x14ac:dyDescent="0.2">
      <c r="B10" s="24">
        <f t="shared" si="3"/>
        <v>6</v>
      </c>
      <c r="C10" s="26">
        <f>Parameters!$B$2*Parameters!E8</f>
        <v>4000</v>
      </c>
      <c r="D10" s="26">
        <f t="shared" si="4"/>
        <v>25160.105160056999</v>
      </c>
      <c r="E10" s="26">
        <f>D10*(1+Parameters!$B$3)</f>
        <v>26166.509366459279</v>
      </c>
      <c r="F10" s="28">
        <f>-E10*Parameters!$B$4</f>
        <v>-261.6650936645928</v>
      </c>
      <c r="G10" s="26">
        <f t="shared" si="1"/>
        <v>25904.844272794686</v>
      </c>
      <c r="H10" s="26">
        <f>G10*Parameters!G8</f>
        <v>1295.2422136397345</v>
      </c>
      <c r="I10" s="26">
        <f t="shared" si="2"/>
        <v>27200.086486434418</v>
      </c>
      <c r="J10" s="43">
        <v>0.01</v>
      </c>
      <c r="K10" s="44">
        <f t="shared" si="0"/>
        <v>259.04844272794685</v>
      </c>
    </row>
    <row r="11" spans="2:17" x14ac:dyDescent="0.2">
      <c r="B11" s="24">
        <f t="shared" si="3"/>
        <v>7</v>
      </c>
      <c r="C11" s="26">
        <f>Parameters!$B$2*Parameters!E9</f>
        <v>4000</v>
      </c>
      <c r="D11" s="26">
        <f t="shared" si="4"/>
        <v>29904.844272794686</v>
      </c>
      <c r="E11" s="26">
        <f>D11*(1+Parameters!$B$3)</f>
        <v>31101.038043706474</v>
      </c>
      <c r="F11" s="28">
        <f>-E11*Parameters!$B$4</f>
        <v>-311.01038043706473</v>
      </c>
      <c r="G11" s="26">
        <f t="shared" si="1"/>
        <v>30790.027663269408</v>
      </c>
      <c r="H11" s="26">
        <f>G11*Parameters!G9</f>
        <v>2463.2022130615528</v>
      </c>
      <c r="I11" s="26">
        <f t="shared" si="2"/>
        <v>33253.229876330959</v>
      </c>
      <c r="J11" s="43">
        <v>0.01</v>
      </c>
      <c r="K11" s="44">
        <f t="shared" si="0"/>
        <v>307.9002766326941</v>
      </c>
    </row>
    <row r="12" spans="2:17" x14ac:dyDescent="0.2">
      <c r="B12" s="24">
        <f t="shared" si="3"/>
        <v>8</v>
      </c>
      <c r="C12" s="26">
        <f>Parameters!$B$2*Parameters!E10</f>
        <v>4000</v>
      </c>
      <c r="D12" s="26">
        <f t="shared" si="4"/>
        <v>34790.027663269408</v>
      </c>
      <c r="E12" s="26">
        <f>D12*(1+Parameters!$B$3)</f>
        <v>36181.628769800183</v>
      </c>
      <c r="F12" s="28">
        <f>-E12*Parameters!$B$4</f>
        <v>-361.81628769800182</v>
      </c>
      <c r="G12" s="26">
        <f t="shared" si="1"/>
        <v>35819.812482102185</v>
      </c>
      <c r="H12" s="26">
        <f>G12*Parameters!G10</f>
        <v>2865.5849985681748</v>
      </c>
      <c r="I12" s="26">
        <f t="shared" si="2"/>
        <v>38685.397480670363</v>
      </c>
      <c r="J12" s="43">
        <v>0.01</v>
      </c>
      <c r="K12" s="44">
        <f t="shared" si="0"/>
        <v>358.19812482102185</v>
      </c>
    </row>
    <row r="13" spans="2:17" x14ac:dyDescent="0.2">
      <c r="B13" s="24">
        <f t="shared" si="3"/>
        <v>9</v>
      </c>
      <c r="C13" s="26">
        <f>Parameters!$B$2*Parameters!E11</f>
        <v>4000</v>
      </c>
      <c r="D13" s="26">
        <f t="shared" si="4"/>
        <v>39819.812482102185</v>
      </c>
      <c r="E13" s="26">
        <f>D13*(1+Parameters!$B$3)</f>
        <v>41412.60498138627</v>
      </c>
      <c r="F13" s="28">
        <f>-E13*Parameters!$B$4</f>
        <v>-414.12604981386272</v>
      </c>
      <c r="G13" s="26">
        <f t="shared" si="1"/>
        <v>40998.478931572405</v>
      </c>
      <c r="H13" s="26">
        <f>G13*Parameters!G11</f>
        <v>3279.8783145257926</v>
      </c>
      <c r="I13" s="26">
        <f t="shared" si="2"/>
        <v>44278.357246098196</v>
      </c>
      <c r="J13" s="43">
        <v>0.01</v>
      </c>
      <c r="K13" s="44">
        <f t="shared" si="0"/>
        <v>409.98478931572407</v>
      </c>
    </row>
    <row r="14" spans="2:17" ht="13.5" thickBot="1" x14ac:dyDescent="0.25">
      <c r="B14" s="32">
        <f t="shared" si="3"/>
        <v>10</v>
      </c>
      <c r="C14" s="34">
        <f>Parameters!$B$2*Parameters!E12</f>
        <v>4000</v>
      </c>
      <c r="D14" s="34">
        <f t="shared" si="4"/>
        <v>44998.478931572405</v>
      </c>
      <c r="E14" s="34">
        <f>D14*(1+Parameters!$B$3)</f>
        <v>46798.4180888353</v>
      </c>
      <c r="F14" s="36">
        <f>-E14*Parameters!$B$4</f>
        <v>-467.98418088835302</v>
      </c>
      <c r="G14" s="34">
        <f t="shared" si="1"/>
        <v>46330.43390794695</v>
      </c>
      <c r="H14" s="34">
        <f>G14*Parameters!G12</f>
        <v>3706.4347126357561</v>
      </c>
      <c r="I14" s="34">
        <f t="shared" si="2"/>
        <v>50036.868620582703</v>
      </c>
      <c r="J14" s="45">
        <v>0</v>
      </c>
      <c r="K14" s="46">
        <f t="shared" si="0"/>
        <v>0</v>
      </c>
    </row>
    <row r="15" spans="2:17" ht="14.25" x14ac:dyDescent="0.2">
      <c r="Q15" s="74" t="s">
        <v>123</v>
      </c>
    </row>
    <row r="16" spans="2:17" ht="15.75" thickBot="1" x14ac:dyDescent="0.3">
      <c r="B16" s="8" t="s">
        <v>11</v>
      </c>
      <c r="I16" s="74" t="s">
        <v>51</v>
      </c>
      <c r="Q16" s="74"/>
    </row>
    <row r="17" spans="2:18" ht="42.75" customHeight="1" thickBot="1" x14ac:dyDescent="0.25">
      <c r="B17" s="40" t="s">
        <v>3</v>
      </c>
      <c r="C17" s="41" t="s">
        <v>16</v>
      </c>
      <c r="D17" s="41" t="s">
        <v>12</v>
      </c>
      <c r="E17" s="41" t="s">
        <v>17</v>
      </c>
      <c r="F17" s="41" t="s">
        <v>13</v>
      </c>
      <c r="G17" s="41" t="s">
        <v>5</v>
      </c>
      <c r="H17" s="41" t="s">
        <v>38</v>
      </c>
      <c r="I17" s="51" t="s">
        <v>41</v>
      </c>
      <c r="J17" s="51" t="s">
        <v>40</v>
      </c>
      <c r="K17" s="41" t="s">
        <v>15</v>
      </c>
      <c r="L17" s="41" t="s">
        <v>32</v>
      </c>
      <c r="M17" s="41" t="s">
        <v>19</v>
      </c>
      <c r="N17" s="41" t="s">
        <v>20</v>
      </c>
      <c r="O17" s="41" t="s">
        <v>21</v>
      </c>
      <c r="P17" s="41" t="s">
        <v>22</v>
      </c>
      <c r="Q17" s="42" t="s">
        <v>23</v>
      </c>
    </row>
    <row r="18" spans="2:18" x14ac:dyDescent="0.2">
      <c r="B18" s="24">
        <v>1</v>
      </c>
      <c r="C18" s="25">
        <f>Parameters!$B$2-C5</f>
        <v>400</v>
      </c>
      <c r="D18" s="26">
        <f>-400-30</f>
        <v>-430</v>
      </c>
      <c r="E18" s="25">
        <f>-Parameters!$B$2*Parameters!F3</f>
        <v>-120</v>
      </c>
      <c r="F18" s="27">
        <f>SUM(C18:E18)*Parameters!$B$5</f>
        <v>-3</v>
      </c>
      <c r="G18" s="28">
        <f t="shared" ref="G18:G27" si="5">-F5</f>
        <v>37.44</v>
      </c>
      <c r="H18" s="29">
        <f>'Q.1)(i)'!E14</f>
        <v>2.828879172408478E-3</v>
      </c>
      <c r="I18" s="52">
        <v>0.1</v>
      </c>
      <c r="J18" s="52">
        <f>(1-H18)*I18</f>
        <v>9.9717112082759157E-2</v>
      </c>
      <c r="K18" s="28">
        <f t="shared" ref="K18:K27" si="6">J18*K5</f>
        <v>7.3921491792294365</v>
      </c>
      <c r="L18" s="27">
        <f>-Parameters!$B$6*(H18+J18)</f>
        <v>-5.1272995627583819</v>
      </c>
      <c r="M18" s="28">
        <f>-MAX(Parameters!$B$7-I5,0)*H18</f>
        <v>-45.882464855181546</v>
      </c>
      <c r="N18" s="28">
        <f>SUM(C18:G18)+K18+L18+M18</f>
        <v>-159.1776152387105</v>
      </c>
      <c r="O18" s="30">
        <v>1</v>
      </c>
      <c r="P18" s="27">
        <f>O18*N18</f>
        <v>-159.1776152387105</v>
      </c>
      <c r="Q18" s="31">
        <f>P18/(1+0.07)^B18</f>
        <v>-148.76412639131823</v>
      </c>
    </row>
    <row r="19" spans="2:18" x14ac:dyDescent="0.2">
      <c r="B19" s="24">
        <f>B18+1</f>
        <v>2</v>
      </c>
      <c r="C19" s="25">
        <f>Parameters!$B$2-C6</f>
        <v>200</v>
      </c>
      <c r="D19" s="26">
        <v>-30</v>
      </c>
      <c r="E19" s="25">
        <f>-Parameters!$B$2*Parameters!F4</f>
        <v>-40</v>
      </c>
      <c r="F19" s="27">
        <f>SUM(C19:E19)*Parameters!$B$5</f>
        <v>2.6</v>
      </c>
      <c r="G19" s="28">
        <f t="shared" si="5"/>
        <v>78.068224000000001</v>
      </c>
      <c r="H19" s="29">
        <f>'Q.1)(i)'!E15</f>
        <v>3.1206016804213453E-3</v>
      </c>
      <c r="I19" s="52">
        <v>0.05</v>
      </c>
      <c r="J19" s="52">
        <f t="shared" ref="J19:J27" si="7">(1-H19)*I19</f>
        <v>4.9843969915978933E-2</v>
      </c>
      <c r="K19" s="28">
        <f t="shared" si="6"/>
        <v>7.7046358127308121</v>
      </c>
      <c r="L19" s="27">
        <f>-Parameters!$B$6*(H19+J19)</f>
        <v>-2.6482285798200138</v>
      </c>
      <c r="M19" s="28">
        <f>-MAX(Parameters!$B$7-I6,0)*H19</f>
        <v>-37.811303073854035</v>
      </c>
      <c r="N19" s="28">
        <f t="shared" ref="N19:N27" si="8">SUM(C19:G19)+K19+L19+M19</f>
        <v>177.91332815905673</v>
      </c>
      <c r="O19" s="30">
        <f>O18*(1-H18-J18)</f>
        <v>0.89745400874483239</v>
      </c>
      <c r="P19" s="27">
        <f t="shared" ref="P19:P27" si="9">O19*N19</f>
        <v>159.66902956548034</v>
      </c>
      <c r="Q19" s="31">
        <f t="shared" ref="Q19:Q27" si="10">P19/(1+0.07)^B19</f>
        <v>139.46111412829097</v>
      </c>
    </row>
    <row r="20" spans="2:18" x14ac:dyDescent="0.2">
      <c r="B20" s="24">
        <f t="shared" ref="B20:B27" si="11">B19+1</f>
        <v>3</v>
      </c>
      <c r="C20" s="25">
        <f>Parameters!$B$2-C7</f>
        <v>0</v>
      </c>
      <c r="D20" s="26">
        <v>-30</v>
      </c>
      <c r="E20" s="25">
        <f>-Parameters!$B$2*Parameters!F5</f>
        <v>-40</v>
      </c>
      <c r="F20" s="27">
        <f>SUM(C20:E20)*Parameters!$B$5</f>
        <v>-1.4000000000000001</v>
      </c>
      <c r="G20" s="28">
        <f t="shared" si="5"/>
        <v>121.97904343040001</v>
      </c>
      <c r="H20" s="29">
        <f>'Q.1)(i)'!E16</f>
        <v>3.4434210036803606E-3</v>
      </c>
      <c r="I20" s="52">
        <v>0.01</v>
      </c>
      <c r="J20" s="52">
        <f t="shared" si="7"/>
        <v>9.9655657899631964E-3</v>
      </c>
      <c r="K20" s="28">
        <f t="shared" si="6"/>
        <v>2.4068685609588103</v>
      </c>
      <c r="L20" s="27">
        <f>-Parameters!$B$6*(H20+J20)</f>
        <v>-0.67044933968217779</v>
      </c>
      <c r="M20" s="28">
        <f>-MAX(Parameters!$B$7-I7,0)*H20</f>
        <v>-26.454275361745445</v>
      </c>
      <c r="N20" s="28">
        <f t="shared" si="8"/>
        <v>25.861187289931195</v>
      </c>
      <c r="O20" s="30">
        <f t="shared" ref="O20:O27" si="12">O19*(1-H19-J19)</f>
        <v>0.84992074164419018</v>
      </c>
      <c r="P20" s="27">
        <f t="shared" si="9"/>
        <v>21.979959481257627</v>
      </c>
      <c r="Q20" s="31">
        <f t="shared" si="10"/>
        <v>17.942194258697551</v>
      </c>
    </row>
    <row r="21" spans="2:18" x14ac:dyDescent="0.2">
      <c r="B21" s="24">
        <f t="shared" si="11"/>
        <v>4</v>
      </c>
      <c r="C21" s="25">
        <f>Parameters!$B$2-C8</f>
        <v>0</v>
      </c>
      <c r="D21" s="26">
        <v>-30</v>
      </c>
      <c r="E21" s="25">
        <f>-Parameters!$B$2*Parameters!F6</f>
        <v>-40</v>
      </c>
      <c r="F21" s="27">
        <f>SUM(C21:E21)*Parameters!$B$5</f>
        <v>-1.4000000000000001</v>
      </c>
      <c r="G21" s="28">
        <f t="shared" si="5"/>
        <v>167.18962311593987</v>
      </c>
      <c r="H21" s="29">
        <f>'Q.1)(i)'!E17</f>
        <v>3.800823635084217E-3</v>
      </c>
      <c r="I21" s="52">
        <v>0.01</v>
      </c>
      <c r="J21" s="52">
        <f t="shared" si="7"/>
        <v>9.9619917636491577E-3</v>
      </c>
      <c r="K21" s="28">
        <f t="shared" si="6"/>
        <v>3.2977724639282275</v>
      </c>
      <c r="L21" s="27">
        <f>-Parameters!$B$6*(H21+J21)</f>
        <v>-0.68814076993666873</v>
      </c>
      <c r="M21" s="28">
        <f>-MAX(Parameters!$B$7-I8,0)*H21</f>
        <v>-9.9605854229301176</v>
      </c>
      <c r="N21" s="28">
        <f t="shared" si="8"/>
        <v>88.438669387001298</v>
      </c>
      <c r="O21" s="30">
        <f t="shared" si="12"/>
        <v>0.83852416564383947</v>
      </c>
      <c r="P21" s="27">
        <f t="shared" si="9"/>
        <v>74.157961458386637</v>
      </c>
      <c r="Q21" s="31">
        <f t="shared" si="10"/>
        <v>56.574753731808073</v>
      </c>
    </row>
    <row r="22" spans="2:18" x14ac:dyDescent="0.2">
      <c r="B22" s="24">
        <f t="shared" si="11"/>
        <v>5</v>
      </c>
      <c r="C22" s="25">
        <f>Parameters!$B$2-C9</f>
        <v>0</v>
      </c>
      <c r="D22" s="26">
        <v>-30</v>
      </c>
      <c r="E22" s="25">
        <f>-Parameters!$B$2*Parameters!F7</f>
        <v>-40</v>
      </c>
      <c r="F22" s="27">
        <f>SUM(C22:E22)*Parameters!$B$5</f>
        <v>-1.4000000000000001</v>
      </c>
      <c r="G22" s="28">
        <f t="shared" si="5"/>
        <v>213.7384359601717</v>
      </c>
      <c r="H22" s="29">
        <f>'Q.1)(i)'!E18</f>
        <v>4.1968712657166098E-3</v>
      </c>
      <c r="I22" s="52">
        <v>0.01</v>
      </c>
      <c r="J22" s="52">
        <f t="shared" si="7"/>
        <v>9.9580312873428344E-3</v>
      </c>
      <c r="K22" s="28">
        <f t="shared" si="6"/>
        <v>2.1071298922731216</v>
      </c>
      <c r="L22" s="27">
        <f>-Parameters!$B$6*(H22+J22)</f>
        <v>-0.70774512765297226</v>
      </c>
      <c r="M22" s="28">
        <f>-MAX(Parameters!$B$7-I9,0)*H22</f>
        <v>0</v>
      </c>
      <c r="N22" s="28">
        <f t="shared" si="8"/>
        <v>143.73782072479185</v>
      </c>
      <c r="O22" s="30">
        <f t="shared" si="12"/>
        <v>0.82698371234470625</v>
      </c>
      <c r="P22" s="27">
        <f t="shared" si="9"/>
        <v>118.86883658732621</v>
      </c>
      <c r="Q22" s="31">
        <f t="shared" si="10"/>
        <v>84.751837658066208</v>
      </c>
    </row>
    <row r="23" spans="2:18" x14ac:dyDescent="0.2">
      <c r="B23" s="24">
        <f t="shared" si="11"/>
        <v>6</v>
      </c>
      <c r="C23" s="25">
        <f>Parameters!$B$2-C10</f>
        <v>0</v>
      </c>
      <c r="D23" s="26">
        <v>-30</v>
      </c>
      <c r="E23" s="25">
        <f>-Parameters!$B$2*Parameters!F8</f>
        <v>-40</v>
      </c>
      <c r="F23" s="27">
        <f>SUM(C23:E23)*Parameters!$B$5</f>
        <v>-1.4000000000000001</v>
      </c>
      <c r="G23" s="28">
        <f t="shared" si="5"/>
        <v>261.6650936645928</v>
      </c>
      <c r="H23" s="29">
        <f>'Q.1)(i)'!E19</f>
        <v>4.6360358658389606E-3</v>
      </c>
      <c r="I23" s="52">
        <v>0.01</v>
      </c>
      <c r="J23" s="52">
        <f t="shared" si="7"/>
        <v>9.9536396413416103E-3</v>
      </c>
      <c r="K23" s="28">
        <f t="shared" si="6"/>
        <v>2.5784748485647033</v>
      </c>
      <c r="L23" s="27">
        <f>-Parameters!$B$6*(H23+J23)</f>
        <v>-0.72948377535902864</v>
      </c>
      <c r="M23" s="28">
        <f>-MAX(Parameters!$B$7-I10,0)*H23</f>
        <v>0</v>
      </c>
      <c r="N23" s="28">
        <f t="shared" si="8"/>
        <v>192.11408473779846</v>
      </c>
      <c r="O23" s="30">
        <f t="shared" si="12"/>
        <v>0.81527783848349955</v>
      </c>
      <c r="P23" s="27">
        <f t="shared" si="9"/>
        <v>156.62635574726821</v>
      </c>
      <c r="Q23" s="31">
        <f t="shared" si="10"/>
        <v>104.3667541969109</v>
      </c>
    </row>
    <row r="24" spans="2:18" x14ac:dyDescent="0.2">
      <c r="B24" s="24">
        <f t="shared" si="11"/>
        <v>7</v>
      </c>
      <c r="C24" s="25">
        <f>Parameters!$B$2-C11</f>
        <v>0</v>
      </c>
      <c r="D24" s="26">
        <v>-30</v>
      </c>
      <c r="E24" s="25">
        <f>-Parameters!$B$2*Parameters!F9</f>
        <v>-40</v>
      </c>
      <c r="F24" s="27">
        <f>SUM(C24:E24)*Parameters!$B$5</f>
        <v>-1.4000000000000001</v>
      </c>
      <c r="G24" s="28">
        <f t="shared" si="5"/>
        <v>311.01038043706473</v>
      </c>
      <c r="H24" s="29">
        <f>'Q.1)(i)'!E20</f>
        <v>5.1233847429202721E-3</v>
      </c>
      <c r="I24" s="52">
        <v>0.01</v>
      </c>
      <c r="J24" s="52">
        <f t="shared" si="7"/>
        <v>9.9487661525707975E-3</v>
      </c>
      <c r="K24" s="28">
        <f t="shared" si="6"/>
        <v>3.0632278505305321</v>
      </c>
      <c r="L24" s="27">
        <f>-Parameters!$B$6*(H24+J24)</f>
        <v>-0.75360754477455349</v>
      </c>
      <c r="M24" s="28">
        <f>-MAX(Parameters!$B$7-I11,0)*H24</f>
        <v>0</v>
      </c>
      <c r="N24" s="28">
        <f t="shared" si="8"/>
        <v>241.92000074282069</v>
      </c>
      <c r="O24" s="30">
        <f t="shared" si="12"/>
        <v>0.80338319937182967</v>
      </c>
      <c r="P24" s="27">
        <f t="shared" si="9"/>
        <v>194.35446418880269</v>
      </c>
      <c r="Q24" s="31">
        <f t="shared" si="10"/>
        <v>121.03419240769489</v>
      </c>
    </row>
    <row r="25" spans="2:18" x14ac:dyDescent="0.2">
      <c r="B25" s="24">
        <f t="shared" si="11"/>
        <v>8</v>
      </c>
      <c r="C25" s="25">
        <f>Parameters!$B$2-C12</f>
        <v>0</v>
      </c>
      <c r="D25" s="26">
        <v>-30</v>
      </c>
      <c r="E25" s="25">
        <f>-Parameters!$B$2*Parameters!F10</f>
        <v>-40</v>
      </c>
      <c r="F25" s="27">
        <f>SUM(C25:E25)*Parameters!$B$5</f>
        <v>-1.4000000000000001</v>
      </c>
      <c r="G25" s="28">
        <f t="shared" si="5"/>
        <v>361.81628769800182</v>
      </c>
      <c r="H25" s="29">
        <f>'Q.1)(i)'!E21</f>
        <v>5.6647110258258963E-3</v>
      </c>
      <c r="I25" s="52">
        <v>0</v>
      </c>
      <c r="J25" s="52">
        <f t="shared" si="7"/>
        <v>0</v>
      </c>
      <c r="K25" s="28">
        <f t="shared" si="6"/>
        <v>0</v>
      </c>
      <c r="L25" s="27">
        <f>-Parameters!$B$6*(H25+J25)</f>
        <v>-0.2832355512912948</v>
      </c>
      <c r="M25" s="28">
        <f>-MAX(Parameters!$B$7-I12,0)*H25</f>
        <v>0</v>
      </c>
      <c r="N25" s="28">
        <f t="shared" si="8"/>
        <v>290.13305214671055</v>
      </c>
      <c r="O25" s="30">
        <f t="shared" si="12"/>
        <v>0.79127448656399502</v>
      </c>
      <c r="P25" s="27">
        <f t="shared" si="9"/>
        <v>229.5748818726332</v>
      </c>
      <c r="Q25" s="31">
        <f t="shared" si="10"/>
        <v>133.61467142931573</v>
      </c>
    </row>
    <row r="26" spans="2:18" x14ac:dyDescent="0.2">
      <c r="B26" s="24">
        <f t="shared" si="11"/>
        <v>9</v>
      </c>
      <c r="C26" s="25">
        <f>Parameters!$B$2-C13</f>
        <v>0</v>
      </c>
      <c r="D26" s="26">
        <v>-30</v>
      </c>
      <c r="E26" s="25">
        <f>-Parameters!$B$2*Parameters!F11</f>
        <v>-40</v>
      </c>
      <c r="F26" s="27">
        <f>SUM(C26:E26)*Parameters!$B$5</f>
        <v>-1.4000000000000001</v>
      </c>
      <c r="G26" s="28">
        <f t="shared" si="5"/>
        <v>414.12604981386272</v>
      </c>
      <c r="H26" s="29">
        <f>'Q.1)(i)'!E22</f>
        <v>6.2666810657369008E-3</v>
      </c>
      <c r="I26" s="52">
        <v>0</v>
      </c>
      <c r="J26" s="52">
        <f t="shared" si="7"/>
        <v>0</v>
      </c>
      <c r="K26" s="28">
        <f t="shared" si="6"/>
        <v>0</v>
      </c>
      <c r="L26" s="27">
        <f>-Parameters!$B$6*(H26+J26)</f>
        <v>-0.31333405328684505</v>
      </c>
      <c r="M26" s="28">
        <f>-MAX(Parameters!$B$7-I13,0)*H26</f>
        <v>0</v>
      </c>
      <c r="N26" s="28">
        <f t="shared" si="8"/>
        <v>342.41271576057585</v>
      </c>
      <c r="O26" s="30">
        <f t="shared" si="12"/>
        <v>0.78679214525550123</v>
      </c>
      <c r="P26" s="27">
        <f t="shared" si="9"/>
        <v>269.40763519602564</v>
      </c>
      <c r="Q26" s="31">
        <f t="shared" si="10"/>
        <v>146.53990329291906</v>
      </c>
    </row>
    <row r="27" spans="2:18" ht="13.5" thickBot="1" x14ac:dyDescent="0.25">
      <c r="B27" s="32">
        <f t="shared" si="11"/>
        <v>10</v>
      </c>
      <c r="C27" s="33">
        <f>Parameters!$B$2-C14</f>
        <v>0</v>
      </c>
      <c r="D27" s="34">
        <v>-30</v>
      </c>
      <c r="E27" s="33">
        <f>-Parameters!$B$2*Parameters!F12</f>
        <v>-40</v>
      </c>
      <c r="F27" s="35">
        <f>SUM(C27:E27)*Parameters!$B$5</f>
        <v>-1.4000000000000001</v>
      </c>
      <c r="G27" s="36">
        <f t="shared" si="5"/>
        <v>467.98418088835302</v>
      </c>
      <c r="H27" s="37">
        <f>'Q.1)(i)'!E23</f>
        <v>6.9368623514693886E-3</v>
      </c>
      <c r="I27" s="53">
        <v>0</v>
      </c>
      <c r="J27" s="53">
        <f t="shared" si="7"/>
        <v>0</v>
      </c>
      <c r="K27" s="36">
        <f t="shared" si="6"/>
        <v>0</v>
      </c>
      <c r="L27" s="35">
        <f>-Parameters!B6</f>
        <v>-50</v>
      </c>
      <c r="M27" s="36">
        <f>-MAX(Parameters!$B$7-I14,0)*H27</f>
        <v>0</v>
      </c>
      <c r="N27" s="36">
        <f t="shared" si="8"/>
        <v>346.58418088835299</v>
      </c>
      <c r="O27" s="38">
        <f t="shared" si="12"/>
        <v>0.78186156981615806</v>
      </c>
      <c r="P27" s="35">
        <f t="shared" si="9"/>
        <v>270.98085174281493</v>
      </c>
      <c r="Q27" s="39">
        <f t="shared" si="10"/>
        <v>137.75292416552287</v>
      </c>
    </row>
    <row r="28" spans="2:18" ht="13.5" thickBot="1" x14ac:dyDescent="0.25"/>
    <row r="29" spans="2:18" ht="15.75" thickBot="1" x14ac:dyDescent="0.3">
      <c r="B29" s="7" t="s">
        <v>14</v>
      </c>
      <c r="P29" s="131" t="s">
        <v>24</v>
      </c>
      <c r="Q29" s="132">
        <f>SUM(Q18:Q27)</f>
        <v>793.2742188779082</v>
      </c>
      <c r="R29" s="74" t="s">
        <v>68</v>
      </c>
    </row>
    <row r="30" spans="2:18" x14ac:dyDescent="0.2">
      <c r="B30" t="s">
        <v>33</v>
      </c>
    </row>
  </sheetData>
  <pageMargins left="0.7" right="0.7" top="0.75" bottom="0.75" header="0.3" footer="0.3"/>
  <pageSetup orientation="portrait" r:id="rId1"/>
  <ignoredErrors>
    <ignoredError sqref="H5:H14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showGridLines="0" workbookViewId="0">
      <selection activeCell="A2" sqref="A2"/>
    </sheetView>
  </sheetViews>
  <sheetFormatPr defaultColWidth="9.28515625" defaultRowHeight="12.75" x14ac:dyDescent="0.2"/>
  <cols>
    <col min="1" max="1" width="2.7109375" style="2" customWidth="1"/>
    <col min="2" max="16384" width="9.28515625" style="2"/>
  </cols>
  <sheetData>
    <row r="1" spans="1:2" x14ac:dyDescent="0.2">
      <c r="A1" s="2" t="s">
        <v>44</v>
      </c>
    </row>
    <row r="2" spans="1:2" x14ac:dyDescent="0.2">
      <c r="A2" s="54" t="s">
        <v>45</v>
      </c>
      <c r="B2" s="2" t="s">
        <v>42</v>
      </c>
    </row>
    <row r="3" spans="1:2" x14ac:dyDescent="0.2">
      <c r="A3" s="54" t="s">
        <v>46</v>
      </c>
      <c r="B3" s="2" t="s">
        <v>43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showGridLines="0" topLeftCell="B1" zoomScaleNormal="100" workbookViewId="0">
      <selection activeCell="B1" sqref="B1"/>
    </sheetView>
  </sheetViews>
  <sheetFormatPr defaultRowHeight="12.75" x14ac:dyDescent="0.2"/>
  <cols>
    <col min="1" max="1" width="1.7109375" customWidth="1"/>
    <col min="2" max="3" width="15.42578125" customWidth="1"/>
    <col min="4" max="4" width="19.7109375" customWidth="1"/>
    <col min="5" max="17" width="15.42578125" customWidth="1"/>
  </cols>
  <sheetData>
    <row r="1" spans="2:17" ht="15" x14ac:dyDescent="0.25">
      <c r="B1" s="9" t="s">
        <v>25</v>
      </c>
    </row>
    <row r="2" spans="2:17" ht="15" x14ac:dyDescent="0.25">
      <c r="D2" s="8" t="s">
        <v>100</v>
      </c>
      <c r="E2" s="92">
        <f>Q30</f>
        <v>1.5745283831038584E-2</v>
      </c>
    </row>
    <row r="3" spans="2:17" ht="15.75" thickBot="1" x14ac:dyDescent="0.3">
      <c r="B3" s="8" t="s">
        <v>18</v>
      </c>
      <c r="C3" s="74"/>
      <c r="D3" s="74"/>
      <c r="E3" s="74" t="s">
        <v>68</v>
      </c>
      <c r="F3" s="74" t="s">
        <v>68</v>
      </c>
      <c r="G3" s="74"/>
      <c r="H3" s="74"/>
      <c r="I3" s="74"/>
      <c r="J3" s="74"/>
      <c r="K3" s="74"/>
    </row>
    <row r="4" spans="2:17" ht="47.25" customHeight="1" thickBot="1" x14ac:dyDescent="0.3">
      <c r="B4" s="47" t="s">
        <v>3</v>
      </c>
      <c r="C4" s="48" t="s">
        <v>4</v>
      </c>
      <c r="D4" s="48" t="s">
        <v>6</v>
      </c>
      <c r="E4" s="48" t="s">
        <v>7</v>
      </c>
      <c r="F4" s="100" t="s">
        <v>5</v>
      </c>
      <c r="G4" s="48" t="s">
        <v>8</v>
      </c>
      <c r="H4" s="48" t="s">
        <v>37</v>
      </c>
      <c r="I4" s="48" t="s">
        <v>36</v>
      </c>
      <c r="J4" s="48" t="s">
        <v>10</v>
      </c>
      <c r="K4" s="49" t="s">
        <v>9</v>
      </c>
    </row>
    <row r="5" spans="2:17" x14ac:dyDescent="0.2">
      <c r="B5" s="24">
        <v>1</v>
      </c>
      <c r="C5" s="26">
        <f>Parameters!$B$2*Parameters!E3</f>
        <v>3600</v>
      </c>
      <c r="D5" s="26">
        <f>C5</f>
        <v>3600</v>
      </c>
      <c r="E5" s="103">
        <f>D5*(1+$E$2)</f>
        <v>3656.6830217917391</v>
      </c>
      <c r="F5" s="101">
        <f>-E5*1.15%</f>
        <v>-42.051854750604996</v>
      </c>
      <c r="G5" s="26">
        <f>E5+F5</f>
        <v>3614.6311670411342</v>
      </c>
      <c r="H5" s="26">
        <f>G5*Parameters!G3</f>
        <v>72.292623340822686</v>
      </c>
      <c r="I5" s="26">
        <f>G5+H5</f>
        <v>3686.9237903819567</v>
      </c>
      <c r="J5" s="43">
        <v>0.02</v>
      </c>
      <c r="K5" s="44">
        <f t="shared" ref="K5:K14" si="0">J5*G5</f>
        <v>72.292623340822686</v>
      </c>
    </row>
    <row r="6" spans="2:17" x14ac:dyDescent="0.2">
      <c r="B6" s="24">
        <f>B5+1</f>
        <v>2</v>
      </c>
      <c r="C6" s="26">
        <f>Parameters!$B$2*Parameters!E4</f>
        <v>3800</v>
      </c>
      <c r="D6" s="26">
        <f>C6+G5</f>
        <v>7414.6311670411342</v>
      </c>
      <c r="E6" s="103">
        <f t="shared" ref="E6:E14" si="1">D6*(1+$E$2)</f>
        <v>7531.3766392686612</v>
      </c>
      <c r="F6" s="101">
        <f t="shared" ref="F6:F14" si="2">-E6*1.15%</f>
        <v>-86.610831351589596</v>
      </c>
      <c r="G6" s="26">
        <f t="shared" ref="G6:G14" si="3">E6+F6</f>
        <v>7444.7658079170715</v>
      </c>
      <c r="H6" s="26">
        <f>G6*Parameters!G4</f>
        <v>148.89531615834144</v>
      </c>
      <c r="I6" s="26">
        <f t="shared" ref="I6:I14" si="4">G6+H6</f>
        <v>7593.6611240754128</v>
      </c>
      <c r="J6" s="43">
        <v>0.02</v>
      </c>
      <c r="K6" s="44">
        <f t="shared" si="0"/>
        <v>148.89531615834144</v>
      </c>
    </row>
    <row r="7" spans="2:17" x14ac:dyDescent="0.2">
      <c r="B7" s="24">
        <f t="shared" ref="B7:B14" si="5">B6+1</f>
        <v>3</v>
      </c>
      <c r="C7" s="26">
        <f>Parameters!$B$2*Parameters!E5</f>
        <v>4000</v>
      </c>
      <c r="D7" s="26">
        <f t="shared" ref="D7:D14" si="6">C7+G6</f>
        <v>11444.765807917072</v>
      </c>
      <c r="E7" s="103">
        <f t="shared" si="1"/>
        <v>11624.966893942492</v>
      </c>
      <c r="F7" s="101">
        <f t="shared" si="2"/>
        <v>-133.68711928033866</v>
      </c>
      <c r="G7" s="26">
        <f t="shared" si="3"/>
        <v>11491.279774662153</v>
      </c>
      <c r="H7" s="26">
        <f>G7*Parameters!G5</f>
        <v>229.82559549324307</v>
      </c>
      <c r="I7" s="26">
        <f t="shared" si="4"/>
        <v>11721.105370155396</v>
      </c>
      <c r="J7" s="43">
        <v>0.02</v>
      </c>
      <c r="K7" s="44">
        <f t="shared" si="0"/>
        <v>229.82559549324307</v>
      </c>
    </row>
    <row r="8" spans="2:17" x14ac:dyDescent="0.2">
      <c r="B8" s="24">
        <f t="shared" si="5"/>
        <v>4</v>
      </c>
      <c r="C8" s="26">
        <f>Parameters!$B$2*Parameters!E6</f>
        <v>4000</v>
      </c>
      <c r="D8" s="26">
        <f t="shared" si="6"/>
        <v>15491.279774662153</v>
      </c>
      <c r="E8" s="103">
        <f t="shared" si="1"/>
        <v>15735.194371620235</v>
      </c>
      <c r="F8" s="101">
        <f t="shared" si="2"/>
        <v>-180.95473527363271</v>
      </c>
      <c r="G8" s="26">
        <f t="shared" si="3"/>
        <v>15554.239636346601</v>
      </c>
      <c r="H8" s="26">
        <f>G8*Parameters!G6</f>
        <v>777.71198181733007</v>
      </c>
      <c r="I8" s="26">
        <f t="shared" si="4"/>
        <v>16331.951618163932</v>
      </c>
      <c r="J8" s="43">
        <v>0.02</v>
      </c>
      <c r="K8" s="44">
        <f t="shared" si="0"/>
        <v>311.08479272693205</v>
      </c>
    </row>
    <row r="9" spans="2:17" x14ac:dyDescent="0.2">
      <c r="B9" s="24">
        <f t="shared" si="5"/>
        <v>5</v>
      </c>
      <c r="C9" s="26">
        <f>Parameters!$B$2*Parameters!E7</f>
        <v>4000</v>
      </c>
      <c r="D9" s="26">
        <f t="shared" si="6"/>
        <v>19554.239636346603</v>
      </c>
      <c r="E9" s="103">
        <f t="shared" si="1"/>
        <v>19862.126689521025</v>
      </c>
      <c r="F9" s="101">
        <f t="shared" si="2"/>
        <v>-228.41445692949179</v>
      </c>
      <c r="G9" s="26">
        <f t="shared" si="3"/>
        <v>19633.712232591533</v>
      </c>
      <c r="H9" s="26">
        <f>G9*Parameters!G7</f>
        <v>981.68561162957667</v>
      </c>
      <c r="I9" s="26">
        <f t="shared" si="4"/>
        <v>20615.397844221108</v>
      </c>
      <c r="J9" s="43">
        <v>0.01</v>
      </c>
      <c r="K9" s="44">
        <f t="shared" si="0"/>
        <v>196.33712232591535</v>
      </c>
    </row>
    <row r="10" spans="2:17" x14ac:dyDescent="0.2">
      <c r="B10" s="24">
        <f t="shared" si="5"/>
        <v>6</v>
      </c>
      <c r="C10" s="26">
        <f>Parameters!$B$2*Parameters!E8</f>
        <v>4000</v>
      </c>
      <c r="D10" s="26">
        <f t="shared" si="6"/>
        <v>23633.712232591533</v>
      </c>
      <c r="E10" s="103">
        <f t="shared" si="1"/>
        <v>24005.831739674777</v>
      </c>
      <c r="F10" s="101">
        <f t="shared" si="2"/>
        <v>-276.06706500625995</v>
      </c>
      <c r="G10" s="26">
        <f t="shared" si="3"/>
        <v>23729.764674668517</v>
      </c>
      <c r="H10" s="26">
        <f>G10*Parameters!G8</f>
        <v>1186.4882337334259</v>
      </c>
      <c r="I10" s="26">
        <f t="shared" si="4"/>
        <v>24916.252908401944</v>
      </c>
      <c r="J10" s="43">
        <v>0.01</v>
      </c>
      <c r="K10" s="44">
        <f t="shared" si="0"/>
        <v>237.29764674668516</v>
      </c>
    </row>
    <row r="11" spans="2:17" x14ac:dyDescent="0.2">
      <c r="B11" s="24">
        <f t="shared" si="5"/>
        <v>7</v>
      </c>
      <c r="C11" s="26">
        <f>Parameters!$B$2*Parameters!E9</f>
        <v>4000</v>
      </c>
      <c r="D11" s="26">
        <f t="shared" si="6"/>
        <v>27729.764674668517</v>
      </c>
      <c r="E11" s="103">
        <f t="shared" si="1"/>
        <v>28166.37769003908</v>
      </c>
      <c r="F11" s="101">
        <f t="shared" si="2"/>
        <v>-323.91334343544941</v>
      </c>
      <c r="G11" s="26">
        <f t="shared" si="3"/>
        <v>27842.464346603632</v>
      </c>
      <c r="H11" s="26">
        <f>G11*Parameters!G9</f>
        <v>2227.3971477282907</v>
      </c>
      <c r="I11" s="26">
        <f t="shared" si="4"/>
        <v>30069.861494331923</v>
      </c>
      <c r="J11" s="43">
        <v>0.01</v>
      </c>
      <c r="K11" s="44">
        <f t="shared" si="0"/>
        <v>278.42464346603634</v>
      </c>
    </row>
    <row r="12" spans="2:17" x14ac:dyDescent="0.2">
      <c r="B12" s="24">
        <f t="shared" si="5"/>
        <v>8</v>
      </c>
      <c r="C12" s="26">
        <f>Parameters!$B$2*Parameters!E10</f>
        <v>4000</v>
      </c>
      <c r="D12" s="26">
        <f t="shared" si="6"/>
        <v>31842.464346603632</v>
      </c>
      <c r="E12" s="103">
        <f t="shared" si="1"/>
        <v>32343.832985620633</v>
      </c>
      <c r="F12" s="101">
        <f t="shared" si="2"/>
        <v>-371.9540793346373</v>
      </c>
      <c r="G12" s="26">
        <f t="shared" si="3"/>
        <v>31971.878906285994</v>
      </c>
      <c r="H12" s="26">
        <f>G12*Parameters!G10</f>
        <v>2557.7503125028798</v>
      </c>
      <c r="I12" s="26">
        <f t="shared" si="4"/>
        <v>34529.629218788876</v>
      </c>
      <c r="J12" s="43">
        <v>0.01</v>
      </c>
      <c r="K12" s="44">
        <f t="shared" si="0"/>
        <v>319.71878906285997</v>
      </c>
    </row>
    <row r="13" spans="2:17" x14ac:dyDescent="0.2">
      <c r="B13" s="24">
        <f t="shared" si="5"/>
        <v>9</v>
      </c>
      <c r="C13" s="26">
        <f>Parameters!$B$2*Parameters!E11</f>
        <v>4000</v>
      </c>
      <c r="D13" s="26">
        <f t="shared" si="6"/>
        <v>35971.878906285994</v>
      </c>
      <c r="E13" s="103">
        <f t="shared" si="1"/>
        <v>36538.266349601217</v>
      </c>
      <c r="F13" s="101">
        <f t="shared" si="2"/>
        <v>-420.19006302041402</v>
      </c>
      <c r="G13" s="26">
        <f t="shared" si="3"/>
        <v>36118.076286580806</v>
      </c>
      <c r="H13" s="26">
        <f>G13*Parameters!G11</f>
        <v>2889.4461029264644</v>
      </c>
      <c r="I13" s="26">
        <f t="shared" si="4"/>
        <v>39007.52238950727</v>
      </c>
      <c r="J13" s="43">
        <v>0.01</v>
      </c>
      <c r="K13" s="44">
        <f t="shared" si="0"/>
        <v>361.18076286580805</v>
      </c>
    </row>
    <row r="14" spans="2:17" ht="13.5" thickBot="1" x14ac:dyDescent="0.25">
      <c r="B14" s="32">
        <f t="shared" si="5"/>
        <v>10</v>
      </c>
      <c r="C14" s="34">
        <f>Parameters!$B$2*Parameters!E12</f>
        <v>4000</v>
      </c>
      <c r="D14" s="34">
        <f t="shared" si="6"/>
        <v>40118.076286580806</v>
      </c>
      <c r="E14" s="104">
        <f t="shared" si="1"/>
        <v>40749.746784468276</v>
      </c>
      <c r="F14" s="102">
        <f t="shared" si="2"/>
        <v>-468.62208802138514</v>
      </c>
      <c r="G14" s="34">
        <f t="shared" si="3"/>
        <v>40281.124696446888</v>
      </c>
      <c r="H14" s="34">
        <f>G14*Parameters!G12</f>
        <v>3222.4899757157509</v>
      </c>
      <c r="I14" s="34">
        <f t="shared" si="4"/>
        <v>43503.614672162643</v>
      </c>
      <c r="J14" s="45">
        <v>0</v>
      </c>
      <c r="K14" s="46">
        <f t="shared" si="0"/>
        <v>0</v>
      </c>
    </row>
    <row r="15" spans="2:17" x14ac:dyDescent="0.2">
      <c r="G15" s="90"/>
    </row>
    <row r="16" spans="2:17" ht="15.75" thickBot="1" x14ac:dyDescent="0.3">
      <c r="B16" s="8" t="s">
        <v>11</v>
      </c>
      <c r="C16" s="74"/>
      <c r="D16" s="74" t="s">
        <v>51</v>
      </c>
      <c r="E16" s="74"/>
      <c r="F16" s="74"/>
      <c r="G16" s="74"/>
      <c r="H16" s="74"/>
      <c r="I16" s="74"/>
      <c r="J16" s="74"/>
      <c r="K16" s="74"/>
      <c r="L16" s="74" t="s">
        <v>51</v>
      </c>
      <c r="M16" s="74"/>
      <c r="N16" s="74"/>
      <c r="O16" s="74"/>
      <c r="P16" s="74"/>
      <c r="Q16" s="74"/>
    </row>
    <row r="17" spans="2:18" ht="42.75" customHeight="1" thickBot="1" x14ac:dyDescent="0.25">
      <c r="B17" s="40" t="s">
        <v>3</v>
      </c>
      <c r="C17" s="41" t="s">
        <v>16</v>
      </c>
      <c r="D17" s="41" t="s">
        <v>12</v>
      </c>
      <c r="E17" s="41" t="s">
        <v>17</v>
      </c>
      <c r="F17" s="41" t="s">
        <v>13</v>
      </c>
      <c r="G17" s="41" t="s">
        <v>5</v>
      </c>
      <c r="H17" s="41" t="s">
        <v>38</v>
      </c>
      <c r="I17" s="41" t="s">
        <v>39</v>
      </c>
      <c r="J17" s="41" t="s">
        <v>40</v>
      </c>
      <c r="K17" s="41" t="s">
        <v>15</v>
      </c>
      <c r="L17" s="41" t="s">
        <v>32</v>
      </c>
      <c r="M17" s="41" t="s">
        <v>19</v>
      </c>
      <c r="N17" s="41" t="s">
        <v>20</v>
      </c>
      <c r="O17" s="41" t="s">
        <v>21</v>
      </c>
      <c r="P17" s="41" t="s">
        <v>22</v>
      </c>
      <c r="Q17" s="42" t="s">
        <v>23</v>
      </c>
    </row>
    <row r="18" spans="2:18" x14ac:dyDescent="0.2">
      <c r="B18" s="24">
        <v>1</v>
      </c>
      <c r="C18" s="25">
        <f>Parameters!$B$2-C5</f>
        <v>400</v>
      </c>
      <c r="D18" s="134">
        <f>-400-30</f>
        <v>-430</v>
      </c>
      <c r="E18" s="25">
        <f>-Parameters!$B$2*Parameters!F3</f>
        <v>-120</v>
      </c>
      <c r="F18" s="27">
        <f>SUM(C18:E18)*Parameters!$B$5</f>
        <v>-3</v>
      </c>
      <c r="G18" s="28">
        <f t="shared" ref="G18:G27" si="7">-F5</f>
        <v>42.051854750604996</v>
      </c>
      <c r="H18" s="29">
        <f>'Q.1)(i)'!E14</f>
        <v>2.828879172408478E-3</v>
      </c>
      <c r="I18" s="52">
        <f>'Q.1)(vii)'!I18</f>
        <v>0.1</v>
      </c>
      <c r="J18" s="52">
        <f>(1-H18)*I18</f>
        <v>9.9717112082759157E-2</v>
      </c>
      <c r="K18" s="28">
        <f t="shared" ref="K18:K27" si="8">J18*K5</f>
        <v>7.2088116244335065</v>
      </c>
      <c r="L18" s="105">
        <f>IF(B18&lt;&gt;10,-Parameters!$B$6*1.05^B18*(H18+J18),-Parameters!$B$6*1.05^B18)</f>
        <v>-5.3836645408963015</v>
      </c>
      <c r="M18" s="28">
        <f>-MAX(Parameters!$B$7-I5,0)*H18</f>
        <v>-46.147721527300725</v>
      </c>
      <c r="N18" s="28">
        <f>SUM(C18:G18)+K18+L18+M18</f>
        <v>-155.27071969315853</v>
      </c>
      <c r="O18" s="30">
        <v>1</v>
      </c>
      <c r="P18" s="27">
        <f>O18*N18</f>
        <v>-155.27071969315853</v>
      </c>
      <c r="Q18" s="31">
        <f>P18/(1+0.07)^B18</f>
        <v>-145.1128221431388</v>
      </c>
    </row>
    <row r="19" spans="2:18" x14ac:dyDescent="0.2">
      <c r="B19" s="24">
        <f>B18+1</f>
        <v>2</v>
      </c>
      <c r="C19" s="25">
        <f>Parameters!$B$2-C6</f>
        <v>200</v>
      </c>
      <c r="D19" s="135">
        <f>-30*1.05^B18</f>
        <v>-31.5</v>
      </c>
      <c r="E19" s="25">
        <f>-Parameters!$B$2*Parameters!F4</f>
        <v>-40</v>
      </c>
      <c r="F19" s="27">
        <f>SUM(C19:E19)*Parameters!$B$5</f>
        <v>2.57</v>
      </c>
      <c r="G19" s="28">
        <f t="shared" si="7"/>
        <v>86.610831351589596</v>
      </c>
      <c r="H19" s="29">
        <f>'Q.1)(i)'!E15</f>
        <v>3.1206016804213453E-3</v>
      </c>
      <c r="I19" s="52">
        <f>'Q.1)(vii)'!I19</f>
        <v>0.05</v>
      </c>
      <c r="J19" s="52">
        <f>(1-H19)*I19</f>
        <v>4.9843969915978933E-2</v>
      </c>
      <c r="K19" s="28">
        <f t="shared" si="8"/>
        <v>7.4215336592265428</v>
      </c>
      <c r="L19" s="105">
        <f>IF(B19&lt;&gt;10,-Parameters!$B$6*1.05^B19*(H19+J19),-Parameters!$B$6*1.05^B19)</f>
        <v>-2.9196720092515656</v>
      </c>
      <c r="M19" s="28">
        <f>-MAX(Parameters!$B$7-I6,0)*H19</f>
        <v>-38.715241944086927</v>
      </c>
      <c r="N19" s="28">
        <f t="shared" ref="N19:N27" si="9">SUM(C19:G19)+K19+L19+M19</f>
        <v>183.46745105747763</v>
      </c>
      <c r="O19" s="30">
        <f>O18*(1-H18-J18)</f>
        <v>0.89745400874483239</v>
      </c>
      <c r="P19" s="27">
        <f>O19*N19</f>
        <v>164.65359942572965</v>
      </c>
      <c r="Q19" s="31">
        <f>P19/(1+0.07)^B19</f>
        <v>143.8148304880161</v>
      </c>
    </row>
    <row r="20" spans="2:18" x14ac:dyDescent="0.2">
      <c r="B20" s="24">
        <f t="shared" ref="B20:B27" si="10">B19+1</f>
        <v>3</v>
      </c>
      <c r="C20" s="25">
        <f>Parameters!$B$2-C7</f>
        <v>0</v>
      </c>
      <c r="D20" s="135">
        <f t="shared" ref="D20:D27" si="11">-30*1.05^B19</f>
        <v>-33.075000000000003</v>
      </c>
      <c r="E20" s="25">
        <f>-Parameters!$B$2*Parameters!F5</f>
        <v>-40</v>
      </c>
      <c r="F20" s="27">
        <f>SUM(C20:E20)*Parameters!$B$5</f>
        <v>-1.4615</v>
      </c>
      <c r="G20" s="28">
        <f t="shared" si="7"/>
        <v>133.68711928033866</v>
      </c>
      <c r="H20" s="29">
        <f>'Q.1)(i)'!E16</f>
        <v>3.4434210036803606E-3</v>
      </c>
      <c r="I20" s="52">
        <f>'Q.1)(vii)'!I20</f>
        <v>0.01</v>
      </c>
      <c r="J20" s="52">
        <f t="shared" ref="J20:J27" si="12">(1-H20)*I20</f>
        <v>9.9655657899631964E-3</v>
      </c>
      <c r="K20" s="28">
        <f t="shared" si="8"/>
        <v>2.2903420921053828</v>
      </c>
      <c r="L20" s="105">
        <f>IF(B20&lt;&gt;10,-Parameters!$B$6*1.05^B20*(H20+J20),-Parameters!$B$6*1.05^B20)</f>
        <v>-0.77612891684958119</v>
      </c>
      <c r="M20" s="28">
        <f>-MAX(Parameters!$B$7-I7,0)*H20</f>
        <v>-28.507719655663454</v>
      </c>
      <c r="N20" s="28">
        <f t="shared" si="9"/>
        <v>32.157112799931014</v>
      </c>
      <c r="O20" s="30">
        <f>O19*(1-H19-J19)</f>
        <v>0.84992074164419018</v>
      </c>
      <c r="P20" s="27">
        <f t="shared" ref="P20:P27" si="13">O20*N20</f>
        <v>27.330997160053247</v>
      </c>
      <c r="Q20" s="31">
        <f t="shared" ref="Q20:Q27" si="14">P20/(1+0.07)^B20</f>
        <v>22.310234955061368</v>
      </c>
    </row>
    <row r="21" spans="2:18" x14ac:dyDescent="0.2">
      <c r="B21" s="24">
        <f t="shared" si="10"/>
        <v>4</v>
      </c>
      <c r="C21" s="25">
        <f>Parameters!$B$2-C8</f>
        <v>0</v>
      </c>
      <c r="D21" s="135">
        <f t="shared" si="11"/>
        <v>-34.728750000000005</v>
      </c>
      <c r="E21" s="25">
        <f>-Parameters!$B$2*Parameters!F6</f>
        <v>-40</v>
      </c>
      <c r="F21" s="27">
        <f>SUM(C21:E21)*Parameters!$B$5</f>
        <v>-1.4945750000000002</v>
      </c>
      <c r="G21" s="28">
        <f t="shared" si="7"/>
        <v>180.95473527363271</v>
      </c>
      <c r="H21" s="29">
        <f>'Q.1)(i)'!E17</f>
        <v>3.800823635084217E-3</v>
      </c>
      <c r="I21" s="52">
        <f>'Q.1)(vii)'!I21</f>
        <v>0.01</v>
      </c>
      <c r="J21" s="52">
        <f t="shared" si="12"/>
        <v>9.9619917636491577E-3</v>
      </c>
      <c r="K21" s="28">
        <f t="shared" si="8"/>
        <v>3.0990241429422025</v>
      </c>
      <c r="L21" s="105">
        <f>IF(B21&lt;&gt;10,-Parameters!$B$6*1.05^B21*(H21+J21),-Parameters!$B$6*1.05^B21)</f>
        <v>-0.8364394067378329</v>
      </c>
      <c r="M21" s="28">
        <f>-MAX(Parameters!$B$7-I8,0)*H21</f>
        <v>-13.941604984314944</v>
      </c>
      <c r="N21" s="28">
        <f t="shared" si="9"/>
        <v>93.052390025522115</v>
      </c>
      <c r="O21" s="30">
        <f t="shared" ref="O21:O27" si="15">O20*(1-H20-J20)</f>
        <v>0.83852416564383947</v>
      </c>
      <c r="P21" s="27">
        <f t="shared" si="13"/>
        <v>78.026677707316068</v>
      </c>
      <c r="Q21" s="31">
        <f t="shared" si="14"/>
        <v>59.5261788348868</v>
      </c>
    </row>
    <row r="22" spans="2:18" x14ac:dyDescent="0.2">
      <c r="B22" s="24">
        <f t="shared" si="10"/>
        <v>5</v>
      </c>
      <c r="C22" s="25">
        <f>Parameters!$B$2-C9</f>
        <v>0</v>
      </c>
      <c r="D22" s="135">
        <f t="shared" si="11"/>
        <v>-36.465187499999999</v>
      </c>
      <c r="E22" s="25">
        <f>-Parameters!$B$2*Parameters!F7</f>
        <v>-40</v>
      </c>
      <c r="F22" s="27">
        <f>SUM(C22:E22)*Parameters!$B$5</f>
        <v>-1.52930375</v>
      </c>
      <c r="G22" s="28">
        <f t="shared" si="7"/>
        <v>228.41445692949179</v>
      </c>
      <c r="H22" s="29">
        <f>'Q.1)(i)'!E18</f>
        <v>4.1968712657166098E-3</v>
      </c>
      <c r="I22" s="52">
        <f>'Q.1)(vii)'!I22</f>
        <v>0.01</v>
      </c>
      <c r="J22" s="52">
        <f t="shared" si="12"/>
        <v>9.9580312873428344E-3</v>
      </c>
      <c r="K22" s="28">
        <f t="shared" si="8"/>
        <v>1.9551312069883224</v>
      </c>
      <c r="L22" s="105">
        <f>IF(B22&lt;&gt;10,-Parameters!$B$6*1.05^B22*(H22+J22),-Parameters!$B$6*1.05^B22)</f>
        <v>-0.9032820573726974</v>
      </c>
      <c r="M22" s="28">
        <f>-MAX(Parameters!$B$7-I9,0)*H22</f>
        <v>0</v>
      </c>
      <c r="N22" s="28">
        <f t="shared" si="9"/>
        <v>151.47181482910739</v>
      </c>
      <c r="O22" s="30">
        <f t="shared" si="15"/>
        <v>0.82698371234470625</v>
      </c>
      <c r="P22" s="27">
        <f t="shared" si="13"/>
        <v>125.26472374296516</v>
      </c>
      <c r="Q22" s="31">
        <f t="shared" si="14"/>
        <v>89.31201680557389</v>
      </c>
    </row>
    <row r="23" spans="2:18" x14ac:dyDescent="0.2">
      <c r="B23" s="24">
        <f t="shared" si="10"/>
        <v>6</v>
      </c>
      <c r="C23" s="25">
        <f>Parameters!$B$2-C10</f>
        <v>0</v>
      </c>
      <c r="D23" s="135">
        <f t="shared" si="11"/>
        <v>-38.288446875000005</v>
      </c>
      <c r="E23" s="25">
        <f>-Parameters!$B$2*Parameters!F8</f>
        <v>-40</v>
      </c>
      <c r="F23" s="27">
        <f>SUM(C23:E23)*Parameters!$B$5</f>
        <v>-1.5657689375000001</v>
      </c>
      <c r="G23" s="28">
        <f t="shared" si="7"/>
        <v>276.06706500625995</v>
      </c>
      <c r="H23" s="29">
        <f>'Q.1)(i)'!E19</f>
        <v>4.6360358658389606E-3</v>
      </c>
      <c r="I23" s="52">
        <f>'Q.1)(vii)'!I23</f>
        <v>0.01</v>
      </c>
      <c r="J23" s="52">
        <f t="shared" si="12"/>
        <v>9.9536396413416103E-3</v>
      </c>
      <c r="K23" s="28">
        <f t="shared" si="8"/>
        <v>2.3619752634548834</v>
      </c>
      <c r="L23" s="105">
        <f>IF(B23&lt;&gt;10,-Parameters!$B$6*1.05^B23*(H23+J23),-Parameters!$B$6*1.05^B23)</f>
        <v>-0.97757802726530107</v>
      </c>
      <c r="M23" s="28">
        <f>-MAX(Parameters!$B$7-I10,0)*H23</f>
        <v>0</v>
      </c>
      <c r="N23" s="28">
        <f t="shared" si="9"/>
        <v>197.59724642994954</v>
      </c>
      <c r="O23" s="30">
        <f t="shared" si="15"/>
        <v>0.81527783848349955</v>
      </c>
      <c r="P23" s="27">
        <f t="shared" si="13"/>
        <v>161.09665595970066</v>
      </c>
      <c r="Q23" s="31">
        <f t="shared" si="14"/>
        <v>107.34550398159057</v>
      </c>
    </row>
    <row r="24" spans="2:18" x14ac:dyDescent="0.2">
      <c r="B24" s="24">
        <f t="shared" si="10"/>
        <v>7</v>
      </c>
      <c r="C24" s="25">
        <f>Parameters!$B$2-C11</f>
        <v>0</v>
      </c>
      <c r="D24" s="135">
        <f t="shared" si="11"/>
        <v>-40.202869218749996</v>
      </c>
      <c r="E24" s="25">
        <f>-Parameters!$B$2*Parameters!F9</f>
        <v>-40</v>
      </c>
      <c r="F24" s="27">
        <f>SUM(C24:E24)*Parameters!$B$5</f>
        <v>-1.6040573843749999</v>
      </c>
      <c r="G24" s="28">
        <f t="shared" si="7"/>
        <v>323.91334343544941</v>
      </c>
      <c r="H24" s="29">
        <f>'Q.1)(i)'!E20</f>
        <v>5.1233847429202721E-3</v>
      </c>
      <c r="I24" s="52">
        <f>'Q.1)(vii)'!I24</f>
        <v>0.01</v>
      </c>
      <c r="J24" s="52">
        <f t="shared" si="12"/>
        <v>9.9487661525707975E-3</v>
      </c>
      <c r="K24" s="28">
        <f t="shared" si="8"/>
        <v>2.7699816689564942</v>
      </c>
      <c r="L24" s="105">
        <f>IF(B24&lt;&gt;10,-Parameters!$B$6*1.05^B24*(H24+J24),-Parameters!$B$6*1.05^B24)</f>
        <v>-1.0604014947692133</v>
      </c>
      <c r="M24" s="28">
        <f>-MAX(Parameters!$B$7-I11,0)*H24</f>
        <v>0</v>
      </c>
      <c r="N24" s="28">
        <f t="shared" si="9"/>
        <v>243.81599700651168</v>
      </c>
      <c r="O24" s="30">
        <f t="shared" si="15"/>
        <v>0.80338319937182967</v>
      </c>
      <c r="P24" s="27">
        <f t="shared" si="13"/>
        <v>195.87767573312379</v>
      </c>
      <c r="Q24" s="31">
        <f t="shared" si="14"/>
        <v>121.98277200375648</v>
      </c>
    </row>
    <row r="25" spans="2:18" x14ac:dyDescent="0.2">
      <c r="B25" s="24">
        <f t="shared" si="10"/>
        <v>8</v>
      </c>
      <c r="C25" s="25">
        <f>Parameters!$B$2-C12</f>
        <v>0</v>
      </c>
      <c r="D25" s="135">
        <f t="shared" si="11"/>
        <v>-42.213012679687509</v>
      </c>
      <c r="E25" s="25">
        <f>-Parameters!$B$2*Parameters!F10</f>
        <v>-40</v>
      </c>
      <c r="F25" s="27">
        <f>SUM(C25:E25)*Parameters!$B$5</f>
        <v>-1.6442602535937503</v>
      </c>
      <c r="G25" s="28">
        <f t="shared" si="7"/>
        <v>371.9540793346373</v>
      </c>
      <c r="H25" s="29">
        <f>'Q.1)(i)'!E21</f>
        <v>5.6647110258258963E-3</v>
      </c>
      <c r="I25" s="52">
        <f>'Q.1)(vii)'!I25</f>
        <v>0</v>
      </c>
      <c r="J25" s="52">
        <f t="shared" si="12"/>
        <v>0</v>
      </c>
      <c r="K25" s="28">
        <f t="shared" si="8"/>
        <v>0</v>
      </c>
      <c r="L25" s="105">
        <f>IF(B25&lt;&gt;10,-Parameters!$B$6*1.05^B25*(H25+J25),-Parameters!$B$6*1.05^B25)</f>
        <v>-0.41846790712991977</v>
      </c>
      <c r="M25" s="28">
        <f>-MAX(Parameters!$B$7-I12,0)*H25</f>
        <v>0</v>
      </c>
      <c r="N25" s="28">
        <f t="shared" si="9"/>
        <v>287.67833849422613</v>
      </c>
      <c r="O25" s="30">
        <f t="shared" si="15"/>
        <v>0.79127448656399502</v>
      </c>
      <c r="P25" s="27">
        <f t="shared" si="13"/>
        <v>227.63252958760194</v>
      </c>
      <c r="Q25" s="31">
        <f t="shared" si="14"/>
        <v>132.48420471515482</v>
      </c>
    </row>
    <row r="26" spans="2:18" x14ac:dyDescent="0.2">
      <c r="B26" s="24">
        <f t="shared" si="10"/>
        <v>9</v>
      </c>
      <c r="C26" s="25">
        <f>Parameters!$B$2-C13</f>
        <v>0</v>
      </c>
      <c r="D26" s="135">
        <f t="shared" si="11"/>
        <v>-44.323663313671879</v>
      </c>
      <c r="E26" s="25">
        <f>-Parameters!$B$2*Parameters!F11</f>
        <v>-40</v>
      </c>
      <c r="F26" s="27">
        <f>SUM(C26:E26)*Parameters!$B$5</f>
        <v>-1.6864732662734379</v>
      </c>
      <c r="G26" s="28">
        <f t="shared" si="7"/>
        <v>420.19006302041402</v>
      </c>
      <c r="H26" s="29">
        <f>'Q.1)(i)'!E22</f>
        <v>6.2666810657369008E-3</v>
      </c>
      <c r="I26" s="52">
        <f>'Q.1)(vii)'!I26</f>
        <v>0</v>
      </c>
      <c r="J26" s="52">
        <f t="shared" si="12"/>
        <v>0</v>
      </c>
      <c r="K26" s="28">
        <f t="shared" si="8"/>
        <v>0</v>
      </c>
      <c r="L26" s="105">
        <f>IF(B26&lt;&gt;10,-Parameters!$B$6*1.05^B26*(H26+J26),-Parameters!$B$6*1.05^B26)</f>
        <v>-0.4860839578907985</v>
      </c>
      <c r="M26" s="28">
        <f>-MAX(Parameters!$B$7-I13,0)*H26</f>
        <v>0</v>
      </c>
      <c r="N26" s="28">
        <f t="shared" si="9"/>
        <v>333.69384248257791</v>
      </c>
      <c r="O26" s="30">
        <f t="shared" si="15"/>
        <v>0.78679214525550123</v>
      </c>
      <c r="P26" s="27">
        <f t="shared" si="13"/>
        <v>262.54769418541878</v>
      </c>
      <c r="Q26" s="31">
        <f t="shared" si="14"/>
        <v>142.80854990511318</v>
      </c>
    </row>
    <row r="27" spans="2:18" ht="13.5" thickBot="1" x14ac:dyDescent="0.25">
      <c r="B27" s="32">
        <f t="shared" si="10"/>
        <v>10</v>
      </c>
      <c r="C27" s="33">
        <f>Parameters!$B$2-C14</f>
        <v>0</v>
      </c>
      <c r="D27" s="136">
        <f t="shared" si="11"/>
        <v>-46.539846479355475</v>
      </c>
      <c r="E27" s="33">
        <f>-Parameters!$B$2*Parameters!F12</f>
        <v>-40</v>
      </c>
      <c r="F27" s="35">
        <f>SUM(C27:E27)*Parameters!$B$5</f>
        <v>-1.7307969295871095</v>
      </c>
      <c r="G27" s="36">
        <f t="shared" si="7"/>
        <v>468.62208802138514</v>
      </c>
      <c r="H27" s="37">
        <f>'Q.1)(i)'!E23</f>
        <v>6.9368623514693886E-3</v>
      </c>
      <c r="I27" s="53">
        <f>'Q.1)(vii)'!I27</f>
        <v>0</v>
      </c>
      <c r="J27" s="53">
        <f t="shared" si="12"/>
        <v>0</v>
      </c>
      <c r="K27" s="36">
        <f t="shared" si="8"/>
        <v>0</v>
      </c>
      <c r="L27" s="106">
        <f>IF(B27&lt;&gt;10,-Parameters!$B$6*1.05^B27*(H27+J27),-Parameters!$B$6*1.05^B27)</f>
        <v>-81.444731338872074</v>
      </c>
      <c r="M27" s="36">
        <f>-MAX(Parameters!$B$7-I14,0)*H27</f>
        <v>0</v>
      </c>
      <c r="N27" s="36">
        <f t="shared" si="9"/>
        <v>298.90671327357046</v>
      </c>
      <c r="O27" s="38">
        <f t="shared" si="15"/>
        <v>0.78186156981615806</v>
      </c>
      <c r="P27" s="35">
        <f t="shared" si="13"/>
        <v>233.70367206866206</v>
      </c>
      <c r="Q27" s="39">
        <f t="shared" si="14"/>
        <v>118.80309626538858</v>
      </c>
    </row>
    <row r="29" spans="2:18" ht="15.75" thickBot="1" x14ac:dyDescent="0.3">
      <c r="B29" s="7" t="s">
        <v>14</v>
      </c>
      <c r="P29" s="8" t="s">
        <v>24</v>
      </c>
      <c r="Q29" s="50">
        <f>SUM(Q18:Q27)</f>
        <v>793.27456581140302</v>
      </c>
      <c r="R29" s="74"/>
    </row>
    <row r="30" spans="2:18" ht="15.75" thickBot="1" x14ac:dyDescent="0.3">
      <c r="B30" t="s">
        <v>33</v>
      </c>
      <c r="P30" s="131" t="s">
        <v>101</v>
      </c>
      <c r="Q30" s="133">
        <v>1.5745283831038584E-2</v>
      </c>
      <c r="R30" s="74" t="s">
        <v>51</v>
      </c>
    </row>
    <row r="31" spans="2:18" x14ac:dyDescent="0.2">
      <c r="P31" t="s">
        <v>102</v>
      </c>
      <c r="Q31" s="79">
        <f>Q29-'Q.1)(vii)'!Q29</f>
        <v>3.469334948249525E-4</v>
      </c>
    </row>
    <row r="33" spans="18:18" ht="14.25" x14ac:dyDescent="0.2">
      <c r="R33" s="74" t="s">
        <v>103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8"/>
  <sheetViews>
    <sheetView showGridLines="0" zoomScaleNormal="100" workbookViewId="0">
      <selection activeCell="D6" sqref="D6"/>
    </sheetView>
  </sheetViews>
  <sheetFormatPr defaultColWidth="8.7109375" defaultRowHeight="12.75" x14ac:dyDescent="0.2"/>
  <cols>
    <col min="1" max="3" width="8.7109375" style="114"/>
    <col min="4" max="4" width="15.28515625" style="114" customWidth="1"/>
    <col min="5" max="5" width="13" style="114" customWidth="1"/>
    <col min="6" max="16384" width="8.7109375" style="114"/>
  </cols>
  <sheetData>
    <row r="3" spans="2:8" ht="13.5" thickBot="1" x14ac:dyDescent="0.25">
      <c r="D3" s="115" t="s">
        <v>51</v>
      </c>
      <c r="E3" s="115" t="s">
        <v>68</v>
      </c>
    </row>
    <row r="4" spans="2:8" ht="25.5" x14ac:dyDescent="0.2">
      <c r="B4" s="116" t="s">
        <v>3</v>
      </c>
      <c r="C4" s="117" t="s">
        <v>104</v>
      </c>
      <c r="D4" s="108" t="s">
        <v>110</v>
      </c>
      <c r="E4" s="109" t="s">
        <v>111</v>
      </c>
    </row>
    <row r="5" spans="2:8" x14ac:dyDescent="0.2">
      <c r="B5" s="118">
        <v>0.5</v>
      </c>
      <c r="C5" s="119">
        <v>5.3600000000000002E-2</v>
      </c>
      <c r="D5" s="110"/>
      <c r="E5" s="111">
        <f>C5</f>
        <v>5.3600000000000002E-2</v>
      </c>
    </row>
    <row r="6" spans="2:8" x14ac:dyDescent="0.2">
      <c r="B6" s="118">
        <v>1</v>
      </c>
      <c r="C6" s="119">
        <v>5.57E-2</v>
      </c>
      <c r="D6" s="110">
        <f>(1+C6)^B6/(1+C5)^B5-1</f>
        <v>2.8496079549748643E-2</v>
      </c>
      <c r="E6" s="111">
        <f>(1+D6)^2-1</f>
        <v>5.7804185649202866E-2</v>
      </c>
    </row>
    <row r="7" spans="2:8" x14ac:dyDescent="0.2">
      <c r="B7" s="118">
        <v>1.5</v>
      </c>
      <c r="C7" s="119">
        <v>5.74E-2</v>
      </c>
      <c r="D7" s="110">
        <f t="shared" ref="D7:D28" si="0">(1+C7)^B7/(1+C6)^B6-1</f>
        <v>2.9955444166703371E-2</v>
      </c>
      <c r="E7" s="111">
        <f t="shared" ref="E7:E28" si="1">(1+D7)^2-1</f>
        <v>6.0808216968631257E-2</v>
      </c>
    </row>
    <row r="8" spans="2:8" x14ac:dyDescent="0.2">
      <c r="B8" s="118">
        <v>2</v>
      </c>
      <c r="C8" s="119">
        <v>5.8700000000000002E-2</v>
      </c>
      <c r="D8" s="110">
        <f t="shared" si="0"/>
        <v>3.0829567591806661E-2</v>
      </c>
      <c r="E8" s="111">
        <f t="shared" si="1"/>
        <v>6.2609597421511065E-2</v>
      </c>
      <c r="H8" s="115" t="s">
        <v>56</v>
      </c>
    </row>
    <row r="9" spans="2:8" x14ac:dyDescent="0.2">
      <c r="B9" s="118">
        <v>2.5</v>
      </c>
      <c r="C9" s="119">
        <v>5.9799999999999999E-2</v>
      </c>
      <c r="D9" s="110">
        <f t="shared" si="0"/>
        <v>3.1606243191803829E-2</v>
      </c>
      <c r="E9" s="111">
        <f t="shared" si="1"/>
        <v>6.4211440992307134E-2</v>
      </c>
    </row>
    <row r="10" spans="2:8" x14ac:dyDescent="0.2">
      <c r="B10" s="118">
        <v>3</v>
      </c>
      <c r="C10" s="119">
        <v>6.0900000000000003E-2</v>
      </c>
      <c r="D10" s="110">
        <f>(1+C10)^B10/(1+C9)^B9-1</f>
        <v>3.2674754989154842E-2</v>
      </c>
      <c r="E10" s="111">
        <f t="shared" si="1"/>
        <v>6.6417149591911029E-2</v>
      </c>
    </row>
    <row r="11" spans="2:8" x14ac:dyDescent="0.2">
      <c r="B11" s="118">
        <v>3.5</v>
      </c>
      <c r="C11" s="119">
        <v>6.2100000000000002E-2</v>
      </c>
      <c r="D11" s="110">
        <f t="shared" si="0"/>
        <v>3.4083438556488987E-2</v>
      </c>
      <c r="E11" s="111">
        <f t="shared" si="1"/>
        <v>6.9328557896811915E-2</v>
      </c>
    </row>
    <row r="12" spans="2:8" x14ac:dyDescent="0.2">
      <c r="B12" s="118">
        <v>4</v>
      </c>
      <c r="C12" s="119">
        <v>6.3600000000000004E-2</v>
      </c>
      <c r="D12" s="110">
        <f t="shared" si="0"/>
        <v>3.6416655737195436E-2</v>
      </c>
      <c r="E12" s="111">
        <f t="shared" si="1"/>
        <v>7.4159484289472388E-2</v>
      </c>
    </row>
    <row r="13" spans="2:8" x14ac:dyDescent="0.2">
      <c r="B13" s="118">
        <v>4.5</v>
      </c>
      <c r="C13" s="119">
        <v>6.5199999999999994E-2</v>
      </c>
      <c r="D13" s="110">
        <f t="shared" si="0"/>
        <v>3.8309661878319634E-2</v>
      </c>
      <c r="E13" s="111">
        <f t="shared" si="1"/>
        <v>7.808695394987053E-2</v>
      </c>
    </row>
    <row r="14" spans="2:8" x14ac:dyDescent="0.2">
      <c r="B14" s="118">
        <v>5</v>
      </c>
      <c r="C14" s="119">
        <v>6.6699999999999995E-2</v>
      </c>
      <c r="D14" s="110">
        <f t="shared" si="0"/>
        <v>3.9372604214351403E-2</v>
      </c>
      <c r="E14" s="111">
        <f t="shared" si="1"/>
        <v>8.0295410391322708E-2</v>
      </c>
    </row>
    <row r="15" spans="2:8" x14ac:dyDescent="0.2">
      <c r="B15" s="118">
        <v>5.5</v>
      </c>
      <c r="C15" s="119">
        <v>6.7400000000000002E-2</v>
      </c>
      <c r="D15" s="110">
        <f t="shared" si="0"/>
        <v>3.6544892727470524E-2</v>
      </c>
      <c r="E15" s="111">
        <f t="shared" si="1"/>
        <v>7.4425314639403384E-2</v>
      </c>
    </row>
    <row r="16" spans="2:8" x14ac:dyDescent="0.2">
      <c r="B16" s="118">
        <v>6</v>
      </c>
      <c r="C16" s="119">
        <v>6.7000000000000004E-2</v>
      </c>
      <c r="D16" s="110">
        <f t="shared" si="0"/>
        <v>3.0829705068125213E-2</v>
      </c>
      <c r="E16" s="111">
        <f t="shared" si="1"/>
        <v>6.2609880850837962E-2</v>
      </c>
    </row>
    <row r="17" spans="2:5" x14ac:dyDescent="0.2">
      <c r="B17" s="118">
        <v>6.5</v>
      </c>
      <c r="C17" s="119">
        <v>6.7299999999999999E-2</v>
      </c>
      <c r="D17" s="110">
        <f t="shared" si="0"/>
        <v>3.4846165370218563E-2</v>
      </c>
      <c r="E17" s="111">
        <f t="shared" si="1"/>
        <v>7.0906585981445724E-2</v>
      </c>
    </row>
    <row r="18" spans="2:5" x14ac:dyDescent="0.2">
      <c r="B18" s="118">
        <v>7</v>
      </c>
      <c r="C18" s="119">
        <v>6.9699999999999998E-2</v>
      </c>
      <c r="D18" s="110">
        <f t="shared" si="0"/>
        <v>4.9473941170832481E-2</v>
      </c>
      <c r="E18" s="111">
        <f t="shared" si="1"/>
        <v>0.10139555319663995</v>
      </c>
    </row>
    <row r="19" spans="2:5" x14ac:dyDescent="0.2">
      <c r="B19" s="118">
        <v>7.5</v>
      </c>
      <c r="C19" s="119">
        <v>7.1599999999999997E-2</v>
      </c>
      <c r="D19" s="110">
        <f t="shared" si="0"/>
        <v>4.812074384280618E-2</v>
      </c>
      <c r="E19" s="111">
        <f t="shared" si="1"/>
        <v>9.8557093673597329E-2</v>
      </c>
    </row>
    <row r="20" spans="2:5" x14ac:dyDescent="0.2">
      <c r="B20" s="118">
        <v>8</v>
      </c>
      <c r="C20" s="119">
        <v>7.0999999999999994E-2</v>
      </c>
      <c r="D20" s="110">
        <f t="shared" si="0"/>
        <v>3.0553350586646433E-2</v>
      </c>
      <c r="E20" s="111">
        <f t="shared" si="1"/>
        <v>6.2040208405363284E-2</v>
      </c>
    </row>
    <row r="21" spans="2:5" x14ac:dyDescent="0.2">
      <c r="B21" s="118">
        <v>8.5</v>
      </c>
      <c r="C21" s="119">
        <v>6.8099999999999994E-2</v>
      </c>
      <c r="D21" s="110">
        <f t="shared" si="0"/>
        <v>1.1312817109295992E-2</v>
      </c>
      <c r="E21" s="111">
        <f t="shared" si="1"/>
        <v>2.2753614049540349E-2</v>
      </c>
    </row>
    <row r="22" spans="2:5" x14ac:dyDescent="0.2">
      <c r="B22" s="118">
        <v>9</v>
      </c>
      <c r="C22" s="119">
        <v>6.4699999999999994E-2</v>
      </c>
      <c r="D22" s="110">
        <f t="shared" si="0"/>
        <v>4.2550135535874833E-3</v>
      </c>
      <c r="E22" s="111">
        <f t="shared" si="1"/>
        <v>8.5281322475161403E-3</v>
      </c>
    </row>
    <row r="23" spans="2:5" x14ac:dyDescent="0.2">
      <c r="B23" s="118">
        <v>9.5</v>
      </c>
      <c r="C23" s="119">
        <v>6.3600000000000004E-2</v>
      </c>
      <c r="D23" s="110">
        <f t="shared" si="0"/>
        <v>2.1759856017497636E-2</v>
      </c>
      <c r="E23" s="111">
        <f t="shared" si="1"/>
        <v>4.3993203368897449E-2</v>
      </c>
    </row>
    <row r="24" spans="2:5" x14ac:dyDescent="0.2">
      <c r="B24" s="118">
        <v>10</v>
      </c>
      <c r="C24" s="119">
        <v>6.7599999999999993E-2</v>
      </c>
      <c r="D24" s="110">
        <f t="shared" si="0"/>
        <v>7.0758495680143696E-2</v>
      </c>
      <c r="E24" s="111">
        <f t="shared" si="1"/>
        <v>0.14652375607120427</v>
      </c>
    </row>
    <row r="25" spans="2:5" x14ac:dyDescent="0.2">
      <c r="B25" s="118">
        <v>10.5</v>
      </c>
      <c r="C25" s="119">
        <v>7.4999999999999997E-2</v>
      </c>
      <c r="D25" s="110">
        <f t="shared" si="0"/>
        <v>0.110972281391579</v>
      </c>
      <c r="E25" s="111">
        <f t="shared" si="1"/>
        <v>0.23425941002040984</v>
      </c>
    </row>
    <row r="26" spans="2:5" x14ac:dyDescent="0.2">
      <c r="B26" s="118">
        <v>11</v>
      </c>
      <c r="C26" s="119">
        <v>7.6200000000000004E-2</v>
      </c>
      <c r="D26" s="110">
        <f t="shared" si="0"/>
        <v>4.9624574584282488E-2</v>
      </c>
      <c r="E26" s="111">
        <f t="shared" si="1"/>
        <v>0.10171174757123591</v>
      </c>
    </row>
    <row r="27" spans="2:5" x14ac:dyDescent="0.2">
      <c r="B27" s="118">
        <v>11.5</v>
      </c>
      <c r="C27" s="119">
        <v>7.3700000000000002E-2</v>
      </c>
      <c r="D27" s="110">
        <f t="shared" si="0"/>
        <v>1.0022610222444106E-2</v>
      </c>
      <c r="E27" s="111">
        <f t="shared" si="1"/>
        <v>2.0145673160559152E-2</v>
      </c>
    </row>
    <row r="28" spans="2:5" ht="13.5" thickBot="1" x14ac:dyDescent="0.25">
      <c r="B28" s="120">
        <v>12</v>
      </c>
      <c r="C28" s="121">
        <v>7.2400000000000006E-2</v>
      </c>
      <c r="D28" s="112">
        <f t="shared" si="0"/>
        <v>2.1239731993039301E-2</v>
      </c>
      <c r="E28" s="113">
        <f t="shared" si="1"/>
        <v>4.2930590201214702E-2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0"/>
  <sheetViews>
    <sheetView showGridLines="0" workbookViewId="0">
      <selection activeCell="D3" sqref="D3"/>
    </sheetView>
  </sheetViews>
  <sheetFormatPr defaultRowHeight="12.75" x14ac:dyDescent="0.2"/>
  <cols>
    <col min="3" max="3" width="11.28515625" customWidth="1"/>
    <col min="4" max="4" width="10.28515625" customWidth="1"/>
    <col min="5" max="5" width="14.28515625" customWidth="1"/>
    <col min="6" max="6" width="17" customWidth="1"/>
    <col min="7" max="7" width="12.28515625" customWidth="1"/>
    <col min="8" max="8" width="11.7109375" customWidth="1"/>
  </cols>
  <sheetData>
    <row r="3" spans="2:9" x14ac:dyDescent="0.2">
      <c r="C3" s="71" t="s">
        <v>68</v>
      </c>
      <c r="D3" s="71" t="s">
        <v>51</v>
      </c>
      <c r="E3" s="71" t="s">
        <v>51</v>
      </c>
      <c r="F3" s="71" t="s">
        <v>68</v>
      </c>
      <c r="G3" s="71"/>
      <c r="H3" s="71" t="s">
        <v>51</v>
      </c>
    </row>
    <row r="5" spans="2:9" ht="13.5" thickBot="1" x14ac:dyDescent="0.25">
      <c r="C5" t="s">
        <v>105</v>
      </c>
      <c r="D5" t="s">
        <v>106</v>
      </c>
      <c r="E5" t="s">
        <v>107</v>
      </c>
      <c r="F5" t="s">
        <v>108</v>
      </c>
      <c r="G5" t="s">
        <v>109</v>
      </c>
      <c r="H5" t="s">
        <v>112</v>
      </c>
    </row>
    <row r="6" spans="2:9" ht="13.5" thickBot="1" x14ac:dyDescent="0.25">
      <c r="B6">
        <v>0</v>
      </c>
      <c r="C6" s="91">
        <v>400000</v>
      </c>
      <c r="D6" s="138">
        <v>0</v>
      </c>
      <c r="E6" s="91">
        <v>0</v>
      </c>
      <c r="F6" s="107">
        <f>-C6-D6+E6</f>
        <v>-400000</v>
      </c>
      <c r="H6" s="129">
        <f>F6+H7/(1+G7)^0.5</f>
        <v>587753.53163219918</v>
      </c>
      <c r="I6" s="130" t="s">
        <v>121</v>
      </c>
    </row>
    <row r="7" spans="2:9" x14ac:dyDescent="0.2">
      <c r="B7">
        <f>B6+0.5</f>
        <v>0.5</v>
      </c>
      <c r="D7" s="139">
        <f>IF(INT(B7)&lt;INT(B8),0,20000+5000*B7)</f>
        <v>0</v>
      </c>
      <c r="E7" s="91">
        <v>0</v>
      </c>
      <c r="F7" s="107">
        <f t="shared" ref="F7:F30" si="0">-C7-D7+E7</f>
        <v>0</v>
      </c>
      <c r="G7" s="77">
        <f>'Q.2)(i)'!E5</f>
        <v>5.3600000000000002E-2</v>
      </c>
      <c r="H7" s="91">
        <f t="shared" ref="H7:H30" si="1">F7+H8/(1+G8)^0.5</f>
        <v>1013879.8038011128</v>
      </c>
    </row>
    <row r="8" spans="2:9" x14ac:dyDescent="0.2">
      <c r="B8">
        <f t="shared" ref="B8:B30" si="2">B7+0.5</f>
        <v>1</v>
      </c>
      <c r="D8" s="139">
        <v>20000</v>
      </c>
      <c r="E8" s="91">
        <v>0</v>
      </c>
      <c r="F8" s="107">
        <f t="shared" si="0"/>
        <v>-20000</v>
      </c>
      <c r="G8" s="77">
        <f>'Q.2)(i)'!E6</f>
        <v>5.7804185649202866E-2</v>
      </c>
      <c r="H8" s="91">
        <f t="shared" si="1"/>
        <v>1042771.4033441129</v>
      </c>
    </row>
    <row r="9" spans="2:9" x14ac:dyDescent="0.2">
      <c r="B9">
        <f t="shared" si="2"/>
        <v>1.5</v>
      </c>
      <c r="D9" s="107">
        <f>IF(INT(B9)&lt;INT(B10),0,20000+5000*(B9-1))</f>
        <v>0</v>
      </c>
      <c r="E9" s="91">
        <v>0</v>
      </c>
      <c r="F9" s="107">
        <f t="shared" si="0"/>
        <v>0</v>
      </c>
      <c r="G9" s="77">
        <f>'Q.2)(i)'!E7</f>
        <v>6.0808216968631257E-2</v>
      </c>
      <c r="H9" s="91">
        <f t="shared" si="1"/>
        <v>1094607.1927789564</v>
      </c>
    </row>
    <row r="10" spans="2:9" x14ac:dyDescent="0.2">
      <c r="B10">
        <f t="shared" si="2"/>
        <v>2</v>
      </c>
      <c r="D10" s="107">
        <f t="shared" ref="D10:D30" si="3">IF(INT(B10)&lt;INT(B11),0,20000+5000*(B10-1))</f>
        <v>25000</v>
      </c>
      <c r="E10" s="91">
        <v>0</v>
      </c>
      <c r="F10" s="107">
        <f t="shared" si="0"/>
        <v>-25000</v>
      </c>
      <c r="G10" s="77">
        <f>'Q.2)(i)'!E8</f>
        <v>6.2609597421511065E-2</v>
      </c>
      <c r="H10" s="91">
        <f t="shared" si="1"/>
        <v>1128353.4592152128</v>
      </c>
    </row>
    <row r="11" spans="2:9" x14ac:dyDescent="0.2">
      <c r="B11">
        <f t="shared" si="2"/>
        <v>2.5</v>
      </c>
      <c r="D11" s="107">
        <f t="shared" si="3"/>
        <v>0</v>
      </c>
      <c r="E11" s="91">
        <v>50000</v>
      </c>
      <c r="F11" s="107">
        <f t="shared" si="0"/>
        <v>50000</v>
      </c>
      <c r="G11" s="77">
        <f>'Q.2)(i)'!E9</f>
        <v>6.4211440992307134E-2</v>
      </c>
      <c r="H11" s="91">
        <f t="shared" si="1"/>
        <v>1189806.6291332771</v>
      </c>
    </row>
    <row r="12" spans="2:9" x14ac:dyDescent="0.2">
      <c r="B12">
        <f t="shared" si="2"/>
        <v>3</v>
      </c>
      <c r="D12" s="107">
        <f t="shared" si="3"/>
        <v>30000</v>
      </c>
      <c r="E12" s="91">
        <f>IF(B12&lt;=8,E11*1.2^0.5,E11*1.06^0.5)</f>
        <v>54772.255750516604</v>
      </c>
      <c r="F12" s="107">
        <f t="shared" si="0"/>
        <v>24772.255750516604</v>
      </c>
      <c r="G12" s="77">
        <f>'Q.2)(i)'!E10</f>
        <v>6.6417149591911029E-2</v>
      </c>
      <c r="H12" s="91">
        <f t="shared" si="1"/>
        <v>1177049.5314752215</v>
      </c>
    </row>
    <row r="13" spans="2:9" x14ac:dyDescent="0.2">
      <c r="B13">
        <f t="shared" si="2"/>
        <v>3.5</v>
      </c>
      <c r="D13" s="107">
        <f t="shared" si="3"/>
        <v>0</v>
      </c>
      <c r="E13" s="91">
        <f t="shared" ref="E13:E30" si="4">IF(B13&lt;=8,E12*1.2^0.5,E12*1.06^0.5)</f>
        <v>59999.999999999985</v>
      </c>
      <c r="F13" s="107">
        <f t="shared" si="0"/>
        <v>59999.999999999985</v>
      </c>
      <c r="G13" s="77">
        <f>'Q.2)(i)'!E11</f>
        <v>6.9328557896811915E-2</v>
      </c>
      <c r="H13" s="91">
        <f t="shared" si="1"/>
        <v>1191550.8474519064</v>
      </c>
    </row>
    <row r="14" spans="2:9" x14ac:dyDescent="0.2">
      <c r="B14">
        <f t="shared" si="2"/>
        <v>4</v>
      </c>
      <c r="D14" s="107">
        <f t="shared" si="3"/>
        <v>35000</v>
      </c>
      <c r="E14" s="91">
        <f t="shared" si="4"/>
        <v>65726.706900619916</v>
      </c>
      <c r="F14" s="107">
        <f t="shared" si="0"/>
        <v>30726.706900619916</v>
      </c>
      <c r="G14" s="77">
        <f>'Q.2)(i)'!E12</f>
        <v>7.4159484289472388E-2</v>
      </c>
      <c r="H14" s="91">
        <f t="shared" si="1"/>
        <v>1172758.1451126942</v>
      </c>
    </row>
    <row r="15" spans="2:9" x14ac:dyDescent="0.2">
      <c r="B15">
        <f t="shared" si="2"/>
        <v>4.5</v>
      </c>
      <c r="D15" s="107">
        <f t="shared" si="3"/>
        <v>0</v>
      </c>
      <c r="E15" s="91">
        <f t="shared" si="4"/>
        <v>71999.999999999971</v>
      </c>
      <c r="F15" s="107">
        <f t="shared" si="0"/>
        <v>71999.999999999971</v>
      </c>
      <c r="G15" s="77">
        <f>'Q.2)(i)'!E13</f>
        <v>7.808695394987053E-2</v>
      </c>
      <c r="H15" s="91">
        <f t="shared" si="1"/>
        <v>1185782.2764643899</v>
      </c>
    </row>
    <row r="16" spans="2:9" x14ac:dyDescent="0.2">
      <c r="B16">
        <f t="shared" si="2"/>
        <v>5</v>
      </c>
      <c r="D16" s="107">
        <f t="shared" si="3"/>
        <v>40000</v>
      </c>
      <c r="E16" s="91">
        <f t="shared" si="4"/>
        <v>78872.048280743882</v>
      </c>
      <c r="F16" s="107">
        <f t="shared" si="0"/>
        <v>38872.048280743882</v>
      </c>
      <c r="G16" s="77">
        <f>'Q.2)(i)'!E14</f>
        <v>8.0295410391322708E-2</v>
      </c>
      <c r="H16" s="91">
        <f t="shared" si="1"/>
        <v>1157634.7852165815</v>
      </c>
    </row>
    <row r="17" spans="2:8" x14ac:dyDescent="0.2">
      <c r="B17">
        <f t="shared" si="2"/>
        <v>5.5</v>
      </c>
      <c r="D17" s="107">
        <f t="shared" si="3"/>
        <v>0</v>
      </c>
      <c r="E17" s="91">
        <f t="shared" si="4"/>
        <v>86399.999999999956</v>
      </c>
      <c r="F17" s="107">
        <f t="shared" si="0"/>
        <v>86399.999999999956</v>
      </c>
      <c r="G17" s="77">
        <f>'Q.2)(i)'!E15</f>
        <v>7.4425314639403384E-2</v>
      </c>
      <c r="H17" s="91">
        <f t="shared" si="1"/>
        <v>1159647.8011446493</v>
      </c>
    </row>
    <row r="18" spans="2:8" x14ac:dyDescent="0.2">
      <c r="B18">
        <f t="shared" si="2"/>
        <v>6</v>
      </c>
      <c r="D18" s="107">
        <f t="shared" si="3"/>
        <v>45000</v>
      </c>
      <c r="E18" s="91">
        <f t="shared" si="4"/>
        <v>94646.45793689265</v>
      </c>
      <c r="F18" s="107">
        <f t="shared" si="0"/>
        <v>49646.45793689265</v>
      </c>
      <c r="G18" s="77">
        <f>'Q.2)(i)'!E16</f>
        <v>6.2609880850837962E-2</v>
      </c>
      <c r="H18" s="91">
        <f t="shared" si="1"/>
        <v>1106335.7143189528</v>
      </c>
    </row>
    <row r="19" spans="2:8" x14ac:dyDescent="0.2">
      <c r="B19">
        <f t="shared" si="2"/>
        <v>6.5</v>
      </c>
      <c r="D19" s="107">
        <f t="shared" si="3"/>
        <v>0</v>
      </c>
      <c r="E19" s="91">
        <f t="shared" si="4"/>
        <v>103679.99999999993</v>
      </c>
      <c r="F19" s="107">
        <f t="shared" si="0"/>
        <v>103679.99999999993</v>
      </c>
      <c r="G19" s="77">
        <f>'Q.2)(i)'!E17</f>
        <v>7.0906585981445724E-2</v>
      </c>
      <c r="H19" s="91">
        <f t="shared" si="1"/>
        <v>1093510.8249548825</v>
      </c>
    </row>
    <row r="20" spans="2:8" x14ac:dyDescent="0.2">
      <c r="B20">
        <f t="shared" si="2"/>
        <v>7</v>
      </c>
      <c r="D20" s="107">
        <f t="shared" si="3"/>
        <v>50000</v>
      </c>
      <c r="E20" s="91">
        <f t="shared" si="4"/>
        <v>113575.74952427116</v>
      </c>
      <c r="F20" s="107">
        <f t="shared" si="0"/>
        <v>63575.749524271159</v>
      </c>
      <c r="G20" s="77">
        <f>'Q.2)(i)'!E18</f>
        <v>0.10139555319663995</v>
      </c>
      <c r="H20" s="91">
        <f t="shared" si="1"/>
        <v>1038801.656957777</v>
      </c>
    </row>
    <row r="21" spans="2:8" x14ac:dyDescent="0.2">
      <c r="B21">
        <f t="shared" si="2"/>
        <v>7.5</v>
      </c>
      <c r="D21" s="107">
        <f t="shared" si="3"/>
        <v>0</v>
      </c>
      <c r="E21" s="91">
        <f t="shared" si="4"/>
        <v>124415.9999999999</v>
      </c>
      <c r="F21" s="107">
        <f t="shared" si="0"/>
        <v>124415.9999999999</v>
      </c>
      <c r="G21" s="77">
        <f>'Q.2)(i)'!E19</f>
        <v>9.8557093673597329E-2</v>
      </c>
      <c r="H21" s="91">
        <f t="shared" si="1"/>
        <v>1022154.5035139818</v>
      </c>
    </row>
    <row r="22" spans="2:8" x14ac:dyDescent="0.2">
      <c r="B22">
        <f t="shared" si="2"/>
        <v>8</v>
      </c>
      <c r="D22" s="107">
        <f t="shared" si="3"/>
        <v>55000</v>
      </c>
      <c r="E22" s="91">
        <f t="shared" si="4"/>
        <v>136290.89942912536</v>
      </c>
      <c r="F22" s="107">
        <f t="shared" si="0"/>
        <v>81290.899429125362</v>
      </c>
      <c r="G22" s="77">
        <f>'Q.2)(i)'!E20</f>
        <v>6.2040208405363284E-2</v>
      </c>
      <c r="H22" s="91">
        <f t="shared" si="1"/>
        <v>925167.42274697591</v>
      </c>
    </row>
    <row r="23" spans="2:8" x14ac:dyDescent="0.2">
      <c r="B23">
        <f t="shared" si="2"/>
        <v>8.5</v>
      </c>
      <c r="D23" s="107">
        <f t="shared" si="3"/>
        <v>0</v>
      </c>
      <c r="E23" s="91">
        <f t="shared" si="4"/>
        <v>140320.0692104731</v>
      </c>
      <c r="F23" s="107">
        <f t="shared" si="0"/>
        <v>140320.0692104731</v>
      </c>
      <c r="G23" s="77">
        <f>'Q.2)(i)'!E21</f>
        <v>2.2753614049540349E-2</v>
      </c>
      <c r="H23" s="91">
        <f t="shared" si="1"/>
        <v>853423.14408897399</v>
      </c>
    </row>
    <row r="24" spans="2:8" x14ac:dyDescent="0.2">
      <c r="B24">
        <f t="shared" si="2"/>
        <v>9</v>
      </c>
      <c r="D24" s="107">
        <f t="shared" si="3"/>
        <v>60000</v>
      </c>
      <c r="E24" s="91">
        <f t="shared" si="4"/>
        <v>144468.35339487289</v>
      </c>
      <c r="F24" s="107">
        <f t="shared" si="0"/>
        <v>84468.353394872887</v>
      </c>
      <c r="G24" s="77">
        <f>'Q.2)(i)'!E22</f>
        <v>8.5281322475161403E-3</v>
      </c>
      <c r="H24" s="91">
        <f t="shared" si="1"/>
        <v>716137.33812721388</v>
      </c>
    </row>
    <row r="25" spans="2:8" x14ac:dyDescent="0.2">
      <c r="B25">
        <f t="shared" si="2"/>
        <v>9.5</v>
      </c>
      <c r="D25" s="107">
        <f t="shared" si="3"/>
        <v>0</v>
      </c>
      <c r="E25" s="91">
        <f t="shared" si="4"/>
        <v>148739.2733631015</v>
      </c>
      <c r="F25" s="107">
        <f t="shared" si="0"/>
        <v>148739.2733631015</v>
      </c>
      <c r="G25" s="77">
        <f>'Q.2)(i)'!E23</f>
        <v>4.3993203368897449E-2</v>
      </c>
      <c r="H25" s="91">
        <f t="shared" si="1"/>
        <v>645414.01089083566</v>
      </c>
    </row>
    <row r="26" spans="2:8" x14ac:dyDescent="0.2">
      <c r="B26">
        <f t="shared" si="2"/>
        <v>10</v>
      </c>
      <c r="D26" s="107">
        <f t="shared" si="3"/>
        <v>65000</v>
      </c>
      <c r="E26" s="91">
        <f t="shared" si="4"/>
        <v>153136.45459856527</v>
      </c>
      <c r="F26" s="107">
        <f t="shared" si="0"/>
        <v>88136.454598565266</v>
      </c>
      <c r="G26" s="77">
        <f>'Q.2)(i)'!E24</f>
        <v>0.14652375607120427</v>
      </c>
      <c r="H26" s="91">
        <f t="shared" si="1"/>
        <v>531818.69479752681</v>
      </c>
    </row>
    <row r="27" spans="2:8" x14ac:dyDescent="0.2">
      <c r="B27">
        <f t="shared" si="2"/>
        <v>10.5</v>
      </c>
      <c r="D27" s="107">
        <f t="shared" si="3"/>
        <v>0</v>
      </c>
      <c r="E27" s="91">
        <f t="shared" si="4"/>
        <v>157663.62976488759</v>
      </c>
      <c r="F27" s="107">
        <f t="shared" si="0"/>
        <v>157663.62976488759</v>
      </c>
      <c r="G27" s="77">
        <f>'Q.2)(i)'!E25</f>
        <v>0.23425941002040984</v>
      </c>
      <c r="H27" s="91">
        <f t="shared" si="1"/>
        <v>492918.67060676683</v>
      </c>
    </row>
    <row r="28" spans="2:8" x14ac:dyDescent="0.2">
      <c r="B28">
        <f t="shared" si="2"/>
        <v>11</v>
      </c>
      <c r="D28" s="107">
        <f t="shared" si="3"/>
        <v>70000</v>
      </c>
      <c r="E28" s="91">
        <f t="shared" si="4"/>
        <v>162324.64187447919</v>
      </c>
      <c r="F28" s="107">
        <f t="shared" si="0"/>
        <v>92324.641874479188</v>
      </c>
      <c r="G28" s="77">
        <f>'Q.2)(i)'!E26</f>
        <v>0.10171174757123591</v>
      </c>
      <c r="H28" s="91">
        <f t="shared" si="1"/>
        <v>351891.92962089379</v>
      </c>
    </row>
    <row r="29" spans="2:8" x14ac:dyDescent="0.2">
      <c r="B29">
        <f t="shared" si="2"/>
        <v>11.5</v>
      </c>
      <c r="D29" s="107">
        <f t="shared" si="3"/>
        <v>0</v>
      </c>
      <c r="E29" s="91">
        <f t="shared" si="4"/>
        <v>167123.44755078084</v>
      </c>
      <c r="F29" s="107">
        <f t="shared" si="0"/>
        <v>167123.44755078084</v>
      </c>
      <c r="G29" s="77">
        <f>'Q.2)(i)'!E27</f>
        <v>2.0145673160559152E-2</v>
      </c>
      <c r="H29" s="91">
        <f t="shared" si="1"/>
        <v>262168.82949799387</v>
      </c>
    </row>
    <row r="30" spans="2:8" x14ac:dyDescent="0.2">
      <c r="B30">
        <f t="shared" si="2"/>
        <v>12</v>
      </c>
      <c r="D30" s="107">
        <f t="shared" si="3"/>
        <v>75000</v>
      </c>
      <c r="E30" s="91">
        <f t="shared" si="4"/>
        <v>172064.12038694791</v>
      </c>
      <c r="F30" s="107">
        <f t="shared" si="0"/>
        <v>97064.120386947907</v>
      </c>
      <c r="G30" s="77">
        <f>'Q.2)(i)'!E28</f>
        <v>4.2930590201214702E-2</v>
      </c>
      <c r="H30" s="91">
        <f t="shared" si="1"/>
        <v>97064.120386947907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2"/>
  <sheetViews>
    <sheetView showGridLines="0" zoomScaleNormal="100" workbookViewId="0">
      <selection activeCell="J4" sqref="J4"/>
    </sheetView>
  </sheetViews>
  <sheetFormatPr defaultRowHeight="12.75" x14ac:dyDescent="0.2"/>
  <cols>
    <col min="3" max="3" width="11.28515625" customWidth="1"/>
    <col min="4" max="4" width="10.28515625" customWidth="1"/>
    <col min="5" max="5" width="14.28515625" customWidth="1"/>
    <col min="6" max="6" width="22.140625" customWidth="1"/>
    <col min="7" max="7" width="12.28515625" customWidth="1"/>
    <col min="8" max="11" width="14.85546875" customWidth="1"/>
  </cols>
  <sheetData>
    <row r="3" spans="2:11" x14ac:dyDescent="0.2">
      <c r="C3" s="71" t="s">
        <v>68</v>
      </c>
      <c r="D3" s="71"/>
      <c r="E3" s="71" t="s">
        <v>74</v>
      </c>
      <c r="F3" s="71"/>
      <c r="G3" s="71"/>
      <c r="H3" s="71"/>
    </row>
    <row r="4" spans="2:11" x14ac:dyDescent="0.2">
      <c r="B4" s="122"/>
      <c r="C4" s="122"/>
      <c r="D4" s="122"/>
      <c r="E4" s="122"/>
      <c r="F4" s="122"/>
      <c r="I4" s="71" t="s">
        <v>68</v>
      </c>
      <c r="J4" s="71" t="s">
        <v>74</v>
      </c>
    </row>
    <row r="5" spans="2:11" ht="38.25" x14ac:dyDescent="0.2">
      <c r="B5" s="122"/>
      <c r="C5" s="123" t="s">
        <v>108</v>
      </c>
      <c r="D5" s="123"/>
      <c r="E5" s="123" t="s">
        <v>113</v>
      </c>
      <c r="F5" s="123" t="s">
        <v>115</v>
      </c>
      <c r="G5" s="123"/>
      <c r="H5" s="123" t="s">
        <v>116</v>
      </c>
      <c r="I5" s="123" t="s">
        <v>117</v>
      </c>
      <c r="J5" s="123" t="s">
        <v>118</v>
      </c>
      <c r="K5" s="123" t="s">
        <v>119</v>
      </c>
    </row>
    <row r="6" spans="2:11" x14ac:dyDescent="0.2">
      <c r="B6">
        <v>0</v>
      </c>
      <c r="C6" s="91">
        <f>'Q.2)(ii)'!F6</f>
        <v>-400000</v>
      </c>
      <c r="D6" s="91"/>
      <c r="E6" s="91">
        <f>C6</f>
        <v>-400000</v>
      </c>
      <c r="F6" s="107" t="str">
        <f>IF(E6&gt;0,B6,"")</f>
        <v/>
      </c>
      <c r="I6" s="91">
        <f>C6</f>
        <v>-400000</v>
      </c>
      <c r="J6" s="91">
        <f>I6</f>
        <v>-400000</v>
      </c>
      <c r="K6" s="125" t="str">
        <f>IF(J6&gt;0,B6,"")</f>
        <v/>
      </c>
    </row>
    <row r="7" spans="2:11" x14ac:dyDescent="0.2">
      <c r="B7">
        <f>B6+0.5</f>
        <v>0.5</v>
      </c>
      <c r="C7" s="91">
        <f>'Q.2)(ii)'!F7</f>
        <v>0</v>
      </c>
      <c r="D7" s="107"/>
      <c r="E7" s="91">
        <f>E6+C7</f>
        <v>-400000</v>
      </c>
      <c r="F7" s="107" t="str">
        <f t="shared" ref="F7:F30" si="0">IF(E7&gt;0,B7,"")</f>
        <v/>
      </c>
      <c r="G7" s="77"/>
      <c r="H7" s="124">
        <f>'Q.2)(i)'!C5</f>
        <v>5.3600000000000002E-2</v>
      </c>
      <c r="I7" s="126">
        <f>C7/(1+H7)^B7</f>
        <v>0</v>
      </c>
      <c r="J7" s="91">
        <f>J6+I7</f>
        <v>-400000</v>
      </c>
      <c r="K7" s="125" t="str">
        <f t="shared" ref="K7:K30" si="1">IF(J7&gt;0,B7,"")</f>
        <v/>
      </c>
    </row>
    <row r="8" spans="2:11" x14ac:dyDescent="0.2">
      <c r="B8">
        <f t="shared" ref="B8:B30" si="2">B7+0.5</f>
        <v>1</v>
      </c>
      <c r="C8" s="91">
        <f>'Q.2)(ii)'!F8</f>
        <v>-20000</v>
      </c>
      <c r="D8" s="107"/>
      <c r="E8" s="91">
        <f t="shared" ref="E8:E30" si="3">E7+C8</f>
        <v>-420000</v>
      </c>
      <c r="F8" s="107" t="str">
        <f t="shared" si="0"/>
        <v/>
      </c>
      <c r="G8" s="77"/>
      <c r="H8" s="124">
        <f>'Q.2)(i)'!C6</f>
        <v>5.57E-2</v>
      </c>
      <c r="I8" s="126">
        <f t="shared" ref="I8:I30" si="4">C8/(1+H8)^B8</f>
        <v>-18944.775978024059</v>
      </c>
      <c r="J8" s="91">
        <f t="shared" ref="J8:J30" si="5">J7+I8</f>
        <v>-418944.77597802406</v>
      </c>
      <c r="K8" s="125" t="str">
        <f t="shared" si="1"/>
        <v/>
      </c>
    </row>
    <row r="9" spans="2:11" x14ac:dyDescent="0.2">
      <c r="B9">
        <f t="shared" si="2"/>
        <v>1.5</v>
      </c>
      <c r="C9" s="91">
        <f>'Q.2)(ii)'!F9</f>
        <v>0</v>
      </c>
      <c r="D9" s="107"/>
      <c r="E9" s="91">
        <f t="shared" si="3"/>
        <v>-420000</v>
      </c>
      <c r="F9" s="107" t="str">
        <f t="shared" si="0"/>
        <v/>
      </c>
      <c r="G9" s="77"/>
      <c r="H9" s="124">
        <f>'Q.2)(i)'!C7</f>
        <v>5.74E-2</v>
      </c>
      <c r="I9" s="126">
        <f t="shared" si="4"/>
        <v>0</v>
      </c>
      <c r="J9" s="91">
        <f t="shared" si="5"/>
        <v>-418944.77597802406</v>
      </c>
      <c r="K9" s="125" t="str">
        <f t="shared" si="1"/>
        <v/>
      </c>
    </row>
    <row r="10" spans="2:11" x14ac:dyDescent="0.2">
      <c r="B10">
        <f t="shared" si="2"/>
        <v>2</v>
      </c>
      <c r="C10" s="91">
        <f>'Q.2)(ii)'!F10</f>
        <v>-25000</v>
      </c>
      <c r="D10" s="107"/>
      <c r="E10" s="91">
        <f t="shared" si="3"/>
        <v>-445000</v>
      </c>
      <c r="F10" s="107" t="str">
        <f t="shared" si="0"/>
        <v/>
      </c>
      <c r="G10" s="77"/>
      <c r="H10" s="124">
        <f>'Q.2)(i)'!C8</f>
        <v>5.8700000000000002E-2</v>
      </c>
      <c r="I10" s="126">
        <f t="shared" si="4"/>
        <v>-22304.586816049588</v>
      </c>
      <c r="J10" s="91">
        <f t="shared" si="5"/>
        <v>-441249.36279407365</v>
      </c>
      <c r="K10" s="125" t="str">
        <f t="shared" si="1"/>
        <v/>
      </c>
    </row>
    <row r="11" spans="2:11" x14ac:dyDescent="0.2">
      <c r="B11">
        <f t="shared" si="2"/>
        <v>2.5</v>
      </c>
      <c r="C11" s="91">
        <f>'Q.2)(ii)'!F11</f>
        <v>50000</v>
      </c>
      <c r="D11" s="107"/>
      <c r="E11" s="91">
        <f t="shared" si="3"/>
        <v>-395000</v>
      </c>
      <c r="F11" s="107" t="str">
        <f t="shared" si="0"/>
        <v/>
      </c>
      <c r="G11" s="77"/>
      <c r="H11" s="124">
        <f>'Q.2)(i)'!C9</f>
        <v>5.9799999999999999E-2</v>
      </c>
      <c r="I11" s="126">
        <f t="shared" si="4"/>
        <v>43242.442478903366</v>
      </c>
      <c r="J11" s="91">
        <f t="shared" si="5"/>
        <v>-398006.92031517031</v>
      </c>
      <c r="K11" s="125" t="str">
        <f t="shared" si="1"/>
        <v/>
      </c>
    </row>
    <row r="12" spans="2:11" x14ac:dyDescent="0.2">
      <c r="B12">
        <f t="shared" si="2"/>
        <v>3</v>
      </c>
      <c r="C12" s="91">
        <f>'Q.2)(ii)'!F12</f>
        <v>24772.255750516604</v>
      </c>
      <c r="D12" s="107"/>
      <c r="E12" s="91">
        <f t="shared" si="3"/>
        <v>-370227.7442494834</v>
      </c>
      <c r="F12" s="107" t="str">
        <f t="shared" si="0"/>
        <v/>
      </c>
      <c r="G12" s="77"/>
      <c r="H12" s="124">
        <f>'Q.2)(i)'!C10</f>
        <v>6.0900000000000003E-2</v>
      </c>
      <c r="I12" s="126">
        <f t="shared" si="4"/>
        <v>20746.374193598782</v>
      </c>
      <c r="J12" s="91">
        <f t="shared" si="5"/>
        <v>-377260.5461215715</v>
      </c>
      <c r="K12" s="125" t="str">
        <f t="shared" si="1"/>
        <v/>
      </c>
    </row>
    <row r="13" spans="2:11" x14ac:dyDescent="0.2">
      <c r="B13">
        <f t="shared" si="2"/>
        <v>3.5</v>
      </c>
      <c r="C13" s="91">
        <f>'Q.2)(ii)'!F13</f>
        <v>59999.999999999985</v>
      </c>
      <c r="D13" s="107"/>
      <c r="E13" s="91">
        <f t="shared" si="3"/>
        <v>-310227.7442494834</v>
      </c>
      <c r="F13" s="107" t="str">
        <f t="shared" si="0"/>
        <v/>
      </c>
      <c r="G13" s="77"/>
      <c r="H13" s="124">
        <f>'Q.2)(i)'!C11</f>
        <v>6.2100000000000002E-2</v>
      </c>
      <c r="I13" s="126">
        <f t="shared" si="4"/>
        <v>48592.844182055138</v>
      </c>
      <c r="J13" s="91">
        <f t="shared" si="5"/>
        <v>-328667.70193951635</v>
      </c>
      <c r="K13" s="125" t="str">
        <f t="shared" si="1"/>
        <v/>
      </c>
    </row>
    <row r="14" spans="2:11" x14ac:dyDescent="0.2">
      <c r="B14">
        <f t="shared" si="2"/>
        <v>4</v>
      </c>
      <c r="C14" s="91">
        <f>'Q.2)(ii)'!F14</f>
        <v>30726.706900619916</v>
      </c>
      <c r="D14" s="107"/>
      <c r="E14" s="91">
        <f t="shared" si="3"/>
        <v>-279501.03734886349</v>
      </c>
      <c r="F14" s="107" t="str">
        <f t="shared" si="0"/>
        <v/>
      </c>
      <c r="G14" s="77"/>
      <c r="H14" s="124">
        <f>'Q.2)(i)'!C12</f>
        <v>6.3600000000000004E-2</v>
      </c>
      <c r="I14" s="126">
        <f t="shared" si="4"/>
        <v>24010.58288003346</v>
      </c>
      <c r="J14" s="91">
        <f t="shared" si="5"/>
        <v>-304657.11905948288</v>
      </c>
      <c r="K14" s="125" t="str">
        <f t="shared" si="1"/>
        <v/>
      </c>
    </row>
    <row r="15" spans="2:11" x14ac:dyDescent="0.2">
      <c r="B15">
        <f t="shared" si="2"/>
        <v>4.5</v>
      </c>
      <c r="C15" s="91">
        <f>'Q.2)(ii)'!F15</f>
        <v>71999.999999999971</v>
      </c>
      <c r="D15" s="107"/>
      <c r="E15" s="91">
        <f t="shared" si="3"/>
        <v>-207501.03734886352</v>
      </c>
      <c r="F15" s="107" t="str">
        <f t="shared" si="0"/>
        <v/>
      </c>
      <c r="G15" s="77"/>
      <c r="H15" s="124">
        <f>'Q.2)(i)'!C13</f>
        <v>6.5199999999999994E-2</v>
      </c>
      <c r="I15" s="126">
        <f t="shared" si="4"/>
        <v>54186.648025625713</v>
      </c>
      <c r="J15" s="91">
        <f t="shared" si="5"/>
        <v>-250470.47103385717</v>
      </c>
      <c r="K15" s="125" t="str">
        <f t="shared" si="1"/>
        <v/>
      </c>
    </row>
    <row r="16" spans="2:11" x14ac:dyDescent="0.2">
      <c r="B16">
        <f t="shared" si="2"/>
        <v>5</v>
      </c>
      <c r="C16" s="91">
        <f>'Q.2)(ii)'!F16</f>
        <v>38872.048280743882</v>
      </c>
      <c r="D16" s="107"/>
      <c r="E16" s="91">
        <f t="shared" si="3"/>
        <v>-168628.98906811964</v>
      </c>
      <c r="F16" s="107" t="str">
        <f t="shared" si="0"/>
        <v/>
      </c>
      <c r="G16" s="77"/>
      <c r="H16" s="124">
        <f>'Q.2)(i)'!C14</f>
        <v>6.6699999999999995E-2</v>
      </c>
      <c r="I16" s="126">
        <f t="shared" si="4"/>
        <v>28146.600566790417</v>
      </c>
      <c r="J16" s="91">
        <f t="shared" si="5"/>
        <v>-222323.87046706676</v>
      </c>
      <c r="K16" s="125" t="str">
        <f t="shared" si="1"/>
        <v/>
      </c>
    </row>
    <row r="17" spans="2:12" x14ac:dyDescent="0.2">
      <c r="B17">
        <f t="shared" si="2"/>
        <v>5.5</v>
      </c>
      <c r="C17" s="91">
        <f>'Q.2)(ii)'!F17</f>
        <v>86399.999999999956</v>
      </c>
      <c r="D17" s="107"/>
      <c r="E17" s="91">
        <f t="shared" si="3"/>
        <v>-82228.989068119685</v>
      </c>
      <c r="F17" s="107" t="str">
        <f t="shared" si="0"/>
        <v/>
      </c>
      <c r="G17" s="77"/>
      <c r="H17" s="124">
        <f>'Q.2)(i)'!C15</f>
        <v>6.7400000000000002E-2</v>
      </c>
      <c r="I17" s="126">
        <f t="shared" si="4"/>
        <v>60355.124609636747</v>
      </c>
      <c r="J17" s="91">
        <f t="shared" si="5"/>
        <v>-161968.74585743001</v>
      </c>
      <c r="K17" s="125" t="str">
        <f t="shared" si="1"/>
        <v/>
      </c>
    </row>
    <row r="18" spans="2:12" x14ac:dyDescent="0.2">
      <c r="B18">
        <f t="shared" si="2"/>
        <v>6</v>
      </c>
      <c r="C18" s="91">
        <f>'Q.2)(ii)'!F18</f>
        <v>49646.45793689265</v>
      </c>
      <c r="D18" s="107"/>
      <c r="E18" s="91">
        <f t="shared" si="3"/>
        <v>-32582.531131227035</v>
      </c>
      <c r="F18" s="107" t="str">
        <f t="shared" si="0"/>
        <v/>
      </c>
      <c r="G18" s="77"/>
      <c r="H18" s="124">
        <f>'Q.2)(i)'!C16</f>
        <v>6.7000000000000004E-2</v>
      </c>
      <c r="I18" s="126">
        <f t="shared" si="4"/>
        <v>33643.545112030566</v>
      </c>
      <c r="J18" s="91">
        <f t="shared" si="5"/>
        <v>-128325.20074539944</v>
      </c>
      <c r="K18" s="125" t="str">
        <f t="shared" si="1"/>
        <v/>
      </c>
    </row>
    <row r="19" spans="2:12" x14ac:dyDescent="0.2">
      <c r="B19">
        <f t="shared" si="2"/>
        <v>6.5</v>
      </c>
      <c r="C19" s="91">
        <f>'Q.2)(ii)'!F19</f>
        <v>103679.99999999993</v>
      </c>
      <c r="D19" s="107"/>
      <c r="E19" s="91">
        <f t="shared" si="3"/>
        <v>71097.468868772892</v>
      </c>
      <c r="F19" s="127">
        <f t="shared" si="0"/>
        <v>6.5</v>
      </c>
      <c r="G19" s="77"/>
      <c r="H19" s="124">
        <f>'Q.2)(i)'!C17</f>
        <v>6.7299999999999999E-2</v>
      </c>
      <c r="I19" s="126">
        <f t="shared" si="4"/>
        <v>67894.20029378547</v>
      </c>
      <c r="J19" s="91">
        <f t="shared" si="5"/>
        <v>-60431.000451613974</v>
      </c>
      <c r="K19" s="125" t="str">
        <f t="shared" si="1"/>
        <v/>
      </c>
    </row>
    <row r="20" spans="2:12" x14ac:dyDescent="0.2">
      <c r="B20">
        <f t="shared" si="2"/>
        <v>7</v>
      </c>
      <c r="C20" s="91">
        <f>'Q.2)(ii)'!F20</f>
        <v>63575.749524271159</v>
      </c>
      <c r="D20" s="107"/>
      <c r="E20" s="91">
        <f t="shared" si="3"/>
        <v>134673.21839304405</v>
      </c>
      <c r="F20" s="127">
        <f t="shared" si="0"/>
        <v>7</v>
      </c>
      <c r="G20" s="77"/>
      <c r="H20" s="124">
        <f>'Q.2)(i)'!C18</f>
        <v>6.9699999999999998E-2</v>
      </c>
      <c r="I20" s="126">
        <f t="shared" si="4"/>
        <v>39669.572320428422</v>
      </c>
      <c r="J20" s="91">
        <f t="shared" si="5"/>
        <v>-20761.428131185552</v>
      </c>
      <c r="K20" s="125" t="str">
        <f t="shared" si="1"/>
        <v/>
      </c>
    </row>
    <row r="21" spans="2:12" x14ac:dyDescent="0.2">
      <c r="B21">
        <f t="shared" si="2"/>
        <v>7.5</v>
      </c>
      <c r="C21" s="91">
        <f>'Q.2)(ii)'!F21</f>
        <v>124415.9999999999</v>
      </c>
      <c r="D21" s="107"/>
      <c r="E21" s="91">
        <f t="shared" si="3"/>
        <v>259089.21839304396</v>
      </c>
      <c r="F21" s="127">
        <f t="shared" si="0"/>
        <v>7.5</v>
      </c>
      <c r="G21" s="77"/>
      <c r="H21" s="124">
        <f>'Q.2)(i)'!C19</f>
        <v>7.1599999999999997E-2</v>
      </c>
      <c r="I21" s="126">
        <f t="shared" si="4"/>
        <v>74068.056222075451</v>
      </c>
      <c r="J21" s="91">
        <f t="shared" si="5"/>
        <v>53306.628090889899</v>
      </c>
      <c r="K21" s="125">
        <f t="shared" si="1"/>
        <v>7.5</v>
      </c>
    </row>
    <row r="22" spans="2:12" x14ac:dyDescent="0.2">
      <c r="B22">
        <f t="shared" si="2"/>
        <v>8</v>
      </c>
      <c r="C22" s="91">
        <f>'Q.2)(ii)'!F22</f>
        <v>81290.899429125362</v>
      </c>
      <c r="D22" s="107"/>
      <c r="E22" s="91">
        <f t="shared" si="3"/>
        <v>340380.11782216933</v>
      </c>
      <c r="F22" s="127">
        <f t="shared" si="0"/>
        <v>8</v>
      </c>
      <c r="G22" s="77"/>
      <c r="H22" s="124">
        <f>'Q.2)(i)'!C20</f>
        <v>7.0999999999999994E-2</v>
      </c>
      <c r="I22" s="126">
        <f t="shared" si="4"/>
        <v>46959.791728276192</v>
      </c>
      <c r="J22" s="91">
        <f t="shared" si="5"/>
        <v>100266.4198191661</v>
      </c>
      <c r="K22" s="125">
        <f t="shared" si="1"/>
        <v>8</v>
      </c>
    </row>
    <row r="23" spans="2:12" x14ac:dyDescent="0.2">
      <c r="B23">
        <f t="shared" si="2"/>
        <v>8.5</v>
      </c>
      <c r="C23" s="91">
        <f>'Q.2)(ii)'!F23</f>
        <v>140320.0692104731</v>
      </c>
      <c r="D23" s="107"/>
      <c r="E23" s="91">
        <f t="shared" si="3"/>
        <v>480700.18703264243</v>
      </c>
      <c r="F23" s="127">
        <f t="shared" si="0"/>
        <v>8.5</v>
      </c>
      <c r="G23" s="77"/>
      <c r="H23" s="124">
        <f>'Q.2)(i)'!C21</f>
        <v>6.8099999999999994E-2</v>
      </c>
      <c r="I23" s="126">
        <f t="shared" si="4"/>
        <v>80152.765650432077</v>
      </c>
      <c r="J23" s="91">
        <f t="shared" si="5"/>
        <v>180419.18546959816</v>
      </c>
      <c r="K23" s="125">
        <f t="shared" si="1"/>
        <v>8.5</v>
      </c>
    </row>
    <row r="24" spans="2:12" x14ac:dyDescent="0.2">
      <c r="B24">
        <f t="shared" si="2"/>
        <v>9</v>
      </c>
      <c r="C24" s="91">
        <f>'Q.2)(ii)'!F24</f>
        <v>84468.353394872887</v>
      </c>
      <c r="D24" s="107"/>
      <c r="E24" s="91">
        <f t="shared" si="3"/>
        <v>565168.54042751528</v>
      </c>
      <c r="F24" s="127">
        <f t="shared" si="0"/>
        <v>9</v>
      </c>
      <c r="G24" s="77"/>
      <c r="H24" s="124">
        <f>'Q.2)(i)'!C22</f>
        <v>6.4699999999999994E-2</v>
      </c>
      <c r="I24" s="126">
        <f t="shared" si="4"/>
        <v>48045.060171712597</v>
      </c>
      <c r="J24" s="91">
        <f t="shared" si="5"/>
        <v>228464.24564131076</v>
      </c>
      <c r="K24" s="125">
        <f t="shared" si="1"/>
        <v>9</v>
      </c>
    </row>
    <row r="25" spans="2:12" x14ac:dyDescent="0.2">
      <c r="B25">
        <f t="shared" si="2"/>
        <v>9.5</v>
      </c>
      <c r="C25" s="91">
        <f>'Q.2)(ii)'!F25</f>
        <v>148739.2733631015</v>
      </c>
      <c r="D25" s="107"/>
      <c r="E25" s="91">
        <f t="shared" si="3"/>
        <v>713907.81379061681</v>
      </c>
      <c r="F25" s="127">
        <f t="shared" si="0"/>
        <v>9.5</v>
      </c>
      <c r="G25" s="77"/>
      <c r="H25" s="124">
        <f>'Q.2)(i)'!C23</f>
        <v>6.3600000000000004E-2</v>
      </c>
      <c r="I25" s="126">
        <f t="shared" si="4"/>
        <v>82800.228107336763</v>
      </c>
      <c r="J25" s="91">
        <f t="shared" si="5"/>
        <v>311264.47374864749</v>
      </c>
      <c r="K25" s="125">
        <f t="shared" si="1"/>
        <v>9.5</v>
      </c>
    </row>
    <row r="26" spans="2:12" x14ac:dyDescent="0.2">
      <c r="B26">
        <f t="shared" si="2"/>
        <v>10</v>
      </c>
      <c r="C26" s="91">
        <f>'Q.2)(ii)'!F26</f>
        <v>88136.454598565266</v>
      </c>
      <c r="D26" s="107"/>
      <c r="E26" s="91">
        <f t="shared" si="3"/>
        <v>802044.26838918205</v>
      </c>
      <c r="F26" s="127">
        <f t="shared" si="0"/>
        <v>10</v>
      </c>
      <c r="G26" s="77"/>
      <c r="H26" s="124">
        <f>'Q.2)(i)'!C24</f>
        <v>6.7599999999999993E-2</v>
      </c>
      <c r="I26" s="126">
        <f t="shared" si="4"/>
        <v>45821.565762052385</v>
      </c>
      <c r="J26" s="91">
        <f t="shared" si="5"/>
        <v>357086.03951069986</v>
      </c>
      <c r="K26" s="125">
        <f t="shared" si="1"/>
        <v>10</v>
      </c>
    </row>
    <row r="27" spans="2:12" x14ac:dyDescent="0.2">
      <c r="B27">
        <f t="shared" si="2"/>
        <v>10.5</v>
      </c>
      <c r="C27" s="91">
        <f>'Q.2)(ii)'!F27</f>
        <v>157663.62976488759</v>
      </c>
      <c r="D27" s="107"/>
      <c r="E27" s="91">
        <f t="shared" si="3"/>
        <v>959707.89815406967</v>
      </c>
      <c r="F27" s="127">
        <f t="shared" si="0"/>
        <v>10.5</v>
      </c>
      <c r="G27" s="77"/>
      <c r="H27" s="124">
        <f>'Q.2)(i)'!C25</f>
        <v>7.4999999999999997E-2</v>
      </c>
      <c r="I27" s="126">
        <f t="shared" si="4"/>
        <v>73780.678731182023</v>
      </c>
      <c r="J27" s="91">
        <f t="shared" si="5"/>
        <v>430866.71824188187</v>
      </c>
      <c r="K27" s="125">
        <f t="shared" si="1"/>
        <v>10.5</v>
      </c>
    </row>
    <row r="28" spans="2:12" x14ac:dyDescent="0.2">
      <c r="B28">
        <f t="shared" si="2"/>
        <v>11</v>
      </c>
      <c r="C28" s="91">
        <f>'Q.2)(ii)'!F28</f>
        <v>92324.641874479188</v>
      </c>
      <c r="D28" s="107"/>
      <c r="E28" s="91">
        <f t="shared" si="3"/>
        <v>1052032.5400285488</v>
      </c>
      <c r="F28" s="127">
        <f t="shared" si="0"/>
        <v>11</v>
      </c>
      <c r="G28" s="77"/>
      <c r="H28" s="124">
        <f>'Q.2)(i)'!C26</f>
        <v>7.6200000000000004E-2</v>
      </c>
      <c r="I28" s="126">
        <f t="shared" si="4"/>
        <v>41161.838740359875</v>
      </c>
      <c r="J28" s="91">
        <f t="shared" si="5"/>
        <v>472028.55698224175</v>
      </c>
      <c r="K28" s="125">
        <f t="shared" si="1"/>
        <v>11</v>
      </c>
    </row>
    <row r="29" spans="2:12" x14ac:dyDescent="0.2">
      <c r="B29">
        <f t="shared" si="2"/>
        <v>11.5</v>
      </c>
      <c r="C29" s="91">
        <f>'Q.2)(ii)'!F29</f>
        <v>167123.44755078084</v>
      </c>
      <c r="D29" s="107"/>
      <c r="E29" s="91">
        <f t="shared" si="3"/>
        <v>1219155.9875793296</v>
      </c>
      <c r="F29" s="127">
        <f t="shared" si="0"/>
        <v>11.5</v>
      </c>
      <c r="G29" s="77"/>
      <c r="H29" s="124">
        <f>'Q.2)(i)'!C27</f>
        <v>7.3700000000000002E-2</v>
      </c>
      <c r="I29" s="126">
        <f t="shared" si="4"/>
        <v>73770.618605807991</v>
      </c>
      <c r="J29" s="91">
        <f t="shared" si="5"/>
        <v>545799.17558804969</v>
      </c>
      <c r="K29" s="125">
        <f t="shared" si="1"/>
        <v>11.5</v>
      </c>
    </row>
    <row r="30" spans="2:12" x14ac:dyDescent="0.2">
      <c r="B30">
        <f t="shared" si="2"/>
        <v>12</v>
      </c>
      <c r="C30" s="91">
        <f>'Q.2)(ii)'!F30</f>
        <v>97064.120386947907</v>
      </c>
      <c r="D30" s="107"/>
      <c r="E30" s="91">
        <f t="shared" si="3"/>
        <v>1316220.1079662775</v>
      </c>
      <c r="F30" s="127">
        <f t="shared" si="0"/>
        <v>12</v>
      </c>
      <c r="G30" s="77"/>
      <c r="H30" s="124">
        <f>'Q.2)(i)'!C28</f>
        <v>7.2400000000000006E-2</v>
      </c>
      <c r="I30" s="126">
        <f t="shared" si="4"/>
        <v>41954.356044149477</v>
      </c>
      <c r="J30" s="91">
        <f t="shared" si="5"/>
        <v>587753.53163219918</v>
      </c>
      <c r="K30" s="125">
        <f t="shared" si="1"/>
        <v>12</v>
      </c>
    </row>
    <row r="31" spans="2:12" ht="13.5" thickBot="1" x14ac:dyDescent="0.25"/>
    <row r="32" spans="2:12" ht="13.5" thickBot="1" x14ac:dyDescent="0.25">
      <c r="E32" s="1" t="s">
        <v>114</v>
      </c>
      <c r="F32" s="128">
        <f>MIN(F6:F30)</f>
        <v>6.5</v>
      </c>
      <c r="G32" s="71" t="s">
        <v>51</v>
      </c>
      <c r="J32" s="1" t="s">
        <v>120</v>
      </c>
      <c r="K32" s="128">
        <f>MIN(K6:K30)</f>
        <v>7.5</v>
      </c>
      <c r="L32" s="71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WTW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Parameters</vt:lpstr>
      <vt:lpstr>Q.1)(i)</vt:lpstr>
      <vt:lpstr>Q.1)(ii)</vt:lpstr>
      <vt:lpstr>Q.1)(iii)(a)</vt:lpstr>
      <vt:lpstr>Q.1)(iii)(b)</vt:lpstr>
      <vt:lpstr>Q.1)(iv)</vt:lpstr>
      <vt:lpstr>Q.1)(v)</vt:lpstr>
      <vt:lpstr>Q.1)(vi)</vt:lpstr>
      <vt:lpstr>Q.1)(vii)</vt:lpstr>
      <vt:lpstr>Q.1)(viii)</vt:lpstr>
      <vt:lpstr>Q.1)(ix)</vt:lpstr>
      <vt:lpstr>Q.2)(i)</vt:lpstr>
      <vt:lpstr>Q.2)(ii)</vt:lpstr>
      <vt:lpstr>Q.2)(iii)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 Dadlani (Actuarial, KGI)</dc:creator>
  <cp:lastModifiedBy>Naresh Raheja</cp:lastModifiedBy>
  <dcterms:created xsi:type="dcterms:W3CDTF">2019-03-09T06:28:23Z</dcterms:created>
  <dcterms:modified xsi:type="dcterms:W3CDTF">2020-01-31T11:58:19Z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700311-1b20-487f-9129-30717d50ca8e_Enabled">
    <vt:lpwstr>True</vt:lpwstr>
  </property>
  <property fmtid="{D5CDD505-2E9C-101B-9397-08002B2CF9AE}" pid="3" name="MSIP_Label_9c700311-1b20-487f-9129-30717d50ca8e_SiteId">
    <vt:lpwstr>76e3921f-489b-4b7e-9547-9ea297add9b5</vt:lpwstr>
  </property>
  <property fmtid="{D5CDD505-2E9C-101B-9397-08002B2CF9AE}" pid="4" name="MSIP_Label_9c700311-1b20-487f-9129-30717d50ca8e_Owner">
    <vt:lpwstr>Abhishek.Chadha@towerswatson.com</vt:lpwstr>
  </property>
  <property fmtid="{D5CDD505-2E9C-101B-9397-08002B2CF9AE}" pid="5" name="MSIP_Label_9c700311-1b20-487f-9129-30717d50ca8e_SetDate">
    <vt:lpwstr>2019-10-22T14:23:02.3239050Z</vt:lpwstr>
  </property>
  <property fmtid="{D5CDD505-2E9C-101B-9397-08002B2CF9AE}" pid="6" name="MSIP_Label_9c700311-1b20-487f-9129-30717d50ca8e_Name">
    <vt:lpwstr>Confidential</vt:lpwstr>
  </property>
  <property fmtid="{D5CDD505-2E9C-101B-9397-08002B2CF9AE}" pid="7" name="MSIP_Label_9c700311-1b20-487f-9129-30717d50ca8e_Application">
    <vt:lpwstr>Microsoft Azure Information Protection</vt:lpwstr>
  </property>
  <property fmtid="{D5CDD505-2E9C-101B-9397-08002B2CF9AE}" pid="8" name="MSIP_Label_9c700311-1b20-487f-9129-30717d50ca8e_Extended_MSFT_Method">
    <vt:lpwstr>Automatic</vt:lpwstr>
  </property>
  <property fmtid="{D5CDD505-2E9C-101B-9397-08002B2CF9AE}" pid="9" name="MSIP_Label_d347b247-e90e-43a3-9d7b-004f14ae6873_Enabled">
    <vt:lpwstr>True</vt:lpwstr>
  </property>
  <property fmtid="{D5CDD505-2E9C-101B-9397-08002B2CF9AE}" pid="10" name="MSIP_Label_d347b247-e90e-43a3-9d7b-004f14ae6873_SiteId">
    <vt:lpwstr>76e3921f-489b-4b7e-9547-9ea297add9b5</vt:lpwstr>
  </property>
  <property fmtid="{D5CDD505-2E9C-101B-9397-08002B2CF9AE}" pid="11" name="MSIP_Label_d347b247-e90e-43a3-9d7b-004f14ae6873_Owner">
    <vt:lpwstr>Abhishek.Chadha@towerswatson.com</vt:lpwstr>
  </property>
  <property fmtid="{D5CDD505-2E9C-101B-9397-08002B2CF9AE}" pid="12" name="MSIP_Label_d347b247-e90e-43a3-9d7b-004f14ae6873_SetDate">
    <vt:lpwstr>2019-10-22T14:23:02.3239050Z</vt:lpwstr>
  </property>
  <property fmtid="{D5CDD505-2E9C-101B-9397-08002B2CF9AE}" pid="13" name="MSIP_Label_d347b247-e90e-43a3-9d7b-004f14ae6873_Name">
    <vt:lpwstr>Anyone (No Protection)</vt:lpwstr>
  </property>
  <property fmtid="{D5CDD505-2E9C-101B-9397-08002B2CF9AE}" pid="14" name="MSIP_Label_d347b247-e90e-43a3-9d7b-004f14ae6873_Application">
    <vt:lpwstr>Microsoft Azure Information Protection</vt:lpwstr>
  </property>
  <property fmtid="{D5CDD505-2E9C-101B-9397-08002B2CF9AE}" pid="15" name="MSIP_Label_d347b247-e90e-43a3-9d7b-004f14ae6873_Parent">
    <vt:lpwstr>9c700311-1b20-487f-9129-30717d50ca8e</vt:lpwstr>
  </property>
  <property fmtid="{D5CDD505-2E9C-101B-9397-08002B2CF9AE}" pid="16" name="MSIP_Label_d347b247-e90e-43a3-9d7b-004f14ae6873_Extended_MSFT_Method">
    <vt:lpwstr>Automatic</vt:lpwstr>
  </property>
  <property fmtid="{D5CDD505-2E9C-101B-9397-08002B2CF9AE}" pid="17" name="Sensitivity">
    <vt:lpwstr>Confidential Anyone (No Protection)</vt:lpwstr>
  </property>
</Properties>
</file>