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his543\OneDrive - Willis Towers Watson\Documents\IAI-IFoA\CM1_2022\March\Final_Formatted\CM1B (6)\"/>
    </mc:Choice>
  </mc:AlternateContent>
  <xr:revisionPtr revIDLastSave="8" documentId="10_ncr:8000_{867E05DF-CFE9-4D35-9BE6-2CFC535AD390}" xr6:coauthVersionLast="45" xr6:coauthVersionMax="47" xr10:uidLastSave="{4DF1B1D8-AF01-4D09-AC7A-F5B3A5566109}"/>
  <bookViews>
    <workbookView xWindow="-110" yWindow="-110" windowWidth="19420" windowHeight="10420" xr2:uid="{B8DABB37-5A6D-4F57-9616-90C863677832}"/>
  </bookViews>
  <sheets>
    <sheet name="Q1 data" sheetId="20" r:id="rId1"/>
    <sheet name="1 (i)" sheetId="21" r:id="rId2"/>
    <sheet name="1(ii)" sheetId="22" r:id="rId3"/>
    <sheet name="1(iii)" sheetId="23" r:id="rId4"/>
    <sheet name="Q2 data" sheetId="15" r:id="rId5"/>
    <sheet name="2(i)" sheetId="16" r:id="rId6"/>
    <sheet name="2(ii)" sheetId="17" r:id="rId7"/>
    <sheet name="2(iii)" sheetId="18" r:id="rId8"/>
    <sheet name="2(iv)" sheetId="19" r:id="rId9"/>
    <sheet name="Q3 data" sheetId="10" r:id="rId10"/>
    <sheet name="3(i)" sheetId="11" r:id="rId11"/>
    <sheet name="3(ii)" sheetId="12" r:id="rId12"/>
    <sheet name="3(iii)" sheetId="13" r:id="rId13"/>
    <sheet name="3(iv)" sheetId="14" r:id="rId14"/>
  </sheets>
  <definedNames>
    <definedName name="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34" i="18" l="1"/>
  <c r="T34" i="17"/>
  <c r="P10" i="21" l="1"/>
  <c r="P9" i="21"/>
  <c r="N9" i="21"/>
  <c r="K9" i="21"/>
  <c r="I44" i="23"/>
  <c r="Q36" i="23"/>
  <c r="G31" i="23"/>
  <c r="P31" i="23" s="1"/>
  <c r="G30" i="23"/>
  <c r="P30" i="23" s="1"/>
  <c r="G29" i="23"/>
  <c r="P29" i="23" s="1"/>
  <c r="G28" i="23"/>
  <c r="P28" i="23" s="1"/>
  <c r="G27" i="23"/>
  <c r="P27" i="23" s="1"/>
  <c r="G26" i="23"/>
  <c r="P26" i="23" s="1"/>
  <c r="G25" i="23"/>
  <c r="P25" i="23" s="1"/>
  <c r="G24" i="23"/>
  <c r="P24" i="23" s="1"/>
  <c r="G23" i="23"/>
  <c r="P23" i="23" s="1"/>
  <c r="G22" i="23"/>
  <c r="P22" i="23" s="1"/>
  <c r="G21" i="23"/>
  <c r="P21" i="23" s="1"/>
  <c r="G20" i="23"/>
  <c r="P20" i="23" s="1"/>
  <c r="G19" i="23"/>
  <c r="P19" i="23" s="1"/>
  <c r="G18" i="23"/>
  <c r="P18" i="23" s="1"/>
  <c r="G17" i="23"/>
  <c r="P17" i="23" s="1"/>
  <c r="G16" i="23"/>
  <c r="P16" i="23" s="1"/>
  <c r="G15" i="23"/>
  <c r="P15" i="23" s="1"/>
  <c r="G14" i="23"/>
  <c r="P14" i="23" s="1"/>
  <c r="G13" i="23"/>
  <c r="P13" i="23" s="1"/>
  <c r="G12" i="23"/>
  <c r="P12" i="23" s="1"/>
  <c r="G11" i="23"/>
  <c r="P11" i="23" s="1"/>
  <c r="I10" i="23"/>
  <c r="I11" i="23" s="1"/>
  <c r="H10" i="23"/>
  <c r="M10" i="23" s="1"/>
  <c r="G10" i="23"/>
  <c r="P10" i="23" s="1"/>
  <c r="L9" i="23"/>
  <c r="K9" i="23"/>
  <c r="J9" i="23"/>
  <c r="I9" i="23"/>
  <c r="G9" i="23"/>
  <c r="P9" i="23" s="1"/>
  <c r="G3" i="23"/>
  <c r="I44" i="21"/>
  <c r="G31" i="21"/>
  <c r="P31" i="21" s="1"/>
  <c r="G30" i="21"/>
  <c r="P30" i="21" s="1"/>
  <c r="G29" i="21"/>
  <c r="P29" i="21" s="1"/>
  <c r="P28" i="21"/>
  <c r="G28" i="21"/>
  <c r="G27" i="21"/>
  <c r="P27" i="21" s="1"/>
  <c r="G26" i="21"/>
  <c r="P26" i="21" s="1"/>
  <c r="G25" i="21"/>
  <c r="P25" i="21" s="1"/>
  <c r="G24" i="21"/>
  <c r="P24" i="21" s="1"/>
  <c r="P23" i="21"/>
  <c r="G23" i="21"/>
  <c r="G22" i="21"/>
  <c r="P22" i="21" s="1"/>
  <c r="G21" i="21"/>
  <c r="P21" i="21" s="1"/>
  <c r="G20" i="21"/>
  <c r="P20" i="21" s="1"/>
  <c r="G19" i="21"/>
  <c r="P19" i="21" s="1"/>
  <c r="G18" i="21"/>
  <c r="P18" i="21" s="1"/>
  <c r="G17" i="21"/>
  <c r="P17" i="21" s="1"/>
  <c r="G16" i="21"/>
  <c r="P16" i="21" s="1"/>
  <c r="G15" i="21"/>
  <c r="P15" i="21" s="1"/>
  <c r="G14" i="21"/>
  <c r="P14" i="21" s="1"/>
  <c r="G13" i="21"/>
  <c r="P13" i="21" s="1"/>
  <c r="G12" i="21"/>
  <c r="P12" i="21" s="1"/>
  <c r="G11" i="21"/>
  <c r="P11" i="21" s="1"/>
  <c r="H10" i="21"/>
  <c r="M10" i="21" s="1"/>
  <c r="G10" i="21"/>
  <c r="L9" i="21"/>
  <c r="J9" i="21"/>
  <c r="G9" i="21"/>
  <c r="A5" i="21"/>
  <c r="G3" i="21"/>
  <c r="I9" i="21" s="1"/>
  <c r="I10" i="21" l="1"/>
  <c r="O9" i="21"/>
  <c r="Q9" i="21" s="1"/>
  <c r="I12" i="23"/>
  <c r="K11" i="23"/>
  <c r="J10" i="21"/>
  <c r="H11" i="21"/>
  <c r="H11" i="23"/>
  <c r="N9" i="23"/>
  <c r="O9" i="23" s="1"/>
  <c r="Q9" i="23" s="1"/>
  <c r="K10" i="23"/>
  <c r="J10" i="23"/>
  <c r="O10" i="23" s="1"/>
  <c r="Q10" i="23" s="1"/>
  <c r="N10" i="21"/>
  <c r="N10" i="23"/>
  <c r="I13" i="23" l="1"/>
  <c r="K12" i="23"/>
  <c r="I11" i="21"/>
  <c r="K10" i="21"/>
  <c r="O10" i="21" s="1"/>
  <c r="Q10" i="21" s="1"/>
  <c r="M11" i="21"/>
  <c r="N11" i="21" s="1"/>
  <c r="H12" i="21"/>
  <c r="J11" i="21"/>
  <c r="M11" i="23"/>
  <c r="N11" i="23" s="1"/>
  <c r="H12" i="23"/>
  <c r="J11" i="23"/>
  <c r="M12" i="21" l="1"/>
  <c r="N12" i="21" s="1"/>
  <c r="H13" i="21"/>
  <c r="J12" i="21"/>
  <c r="I12" i="21"/>
  <c r="K11" i="21"/>
  <c r="O11" i="21" s="1"/>
  <c r="Q11" i="21" s="1"/>
  <c r="O11" i="23"/>
  <c r="Q11" i="23" s="1"/>
  <c r="H13" i="23"/>
  <c r="J12" i="23"/>
  <c r="M12" i="23"/>
  <c r="N12" i="23" s="1"/>
  <c r="I14" i="23"/>
  <c r="K13" i="23"/>
  <c r="I13" i="21" l="1"/>
  <c r="K12" i="21"/>
  <c r="I15" i="23"/>
  <c r="K14" i="23"/>
  <c r="O12" i="21"/>
  <c r="Q12" i="21" s="1"/>
  <c r="J13" i="23"/>
  <c r="O13" i="23" s="1"/>
  <c r="Q13" i="23" s="1"/>
  <c r="M13" i="23"/>
  <c r="N13" i="23" s="1"/>
  <c r="H14" i="23"/>
  <c r="H14" i="21"/>
  <c r="J13" i="21"/>
  <c r="M13" i="21"/>
  <c r="N13" i="21" s="1"/>
  <c r="O12" i="23"/>
  <c r="Q12" i="23" s="1"/>
  <c r="H15" i="23" l="1"/>
  <c r="M14" i="23"/>
  <c r="N14" i="23" s="1"/>
  <c r="J14" i="23"/>
  <c r="I16" i="23"/>
  <c r="K15" i="23"/>
  <c r="M14" i="21"/>
  <c r="N14" i="21" s="1"/>
  <c r="H15" i="21"/>
  <c r="J14" i="21"/>
  <c r="K13" i="21"/>
  <c r="O13" i="21" s="1"/>
  <c r="Q13" i="21" s="1"/>
  <c r="I14" i="21"/>
  <c r="I17" i="23" l="1"/>
  <c r="K16" i="23"/>
  <c r="O14" i="23"/>
  <c r="Q14" i="23" s="1"/>
  <c r="I15" i="21"/>
  <c r="K14" i="21"/>
  <c r="O14" i="21" s="1"/>
  <c r="Q14" i="21" s="1"/>
  <c r="M15" i="23"/>
  <c r="N15" i="23" s="1"/>
  <c r="H16" i="23"/>
  <c r="J15" i="23"/>
  <c r="M15" i="21"/>
  <c r="N15" i="21" s="1"/>
  <c r="H16" i="21"/>
  <c r="J15" i="21"/>
  <c r="H17" i="23" l="1"/>
  <c r="J16" i="23"/>
  <c r="M16" i="23"/>
  <c r="N16" i="23" s="1"/>
  <c r="O15" i="23"/>
  <c r="Q15" i="23" s="1"/>
  <c r="I16" i="21"/>
  <c r="K15" i="21"/>
  <c r="O15" i="21" s="1"/>
  <c r="Q15" i="21" s="1"/>
  <c r="M16" i="21"/>
  <c r="N16" i="21" s="1"/>
  <c r="H17" i="21"/>
  <c r="J16" i="21"/>
  <c r="I18" i="23"/>
  <c r="K17" i="23"/>
  <c r="I17" i="21" l="1"/>
  <c r="K16" i="21"/>
  <c r="O16" i="23"/>
  <c r="Q16" i="23" s="1"/>
  <c r="H18" i="21"/>
  <c r="J17" i="21"/>
  <c r="M17" i="21"/>
  <c r="N17" i="21" s="1"/>
  <c r="I19" i="23"/>
  <c r="K18" i="23"/>
  <c r="O16" i="21"/>
  <c r="Q16" i="21" s="1"/>
  <c r="M17" i="23"/>
  <c r="N17" i="23" s="1"/>
  <c r="H18" i="23"/>
  <c r="J17" i="23"/>
  <c r="I20" i="23" l="1"/>
  <c r="K19" i="23"/>
  <c r="O17" i="23"/>
  <c r="Q17" i="23" s="1"/>
  <c r="M18" i="21"/>
  <c r="N18" i="21" s="1"/>
  <c r="H19" i="21"/>
  <c r="J18" i="21"/>
  <c r="J18" i="23"/>
  <c r="O18" i="23" s="1"/>
  <c r="Q18" i="23" s="1"/>
  <c r="H19" i="23"/>
  <c r="M18" i="23"/>
  <c r="N18" i="23" s="1"/>
  <c r="I18" i="21"/>
  <c r="K17" i="21"/>
  <c r="O17" i="21" s="1"/>
  <c r="Q17" i="21" s="1"/>
  <c r="M19" i="21" l="1"/>
  <c r="N19" i="21" s="1"/>
  <c r="H20" i="21"/>
  <c r="J19" i="21"/>
  <c r="I19" i="21"/>
  <c r="K18" i="21"/>
  <c r="O18" i="21"/>
  <c r="Q18" i="21" s="1"/>
  <c r="I21" i="23"/>
  <c r="K20" i="23"/>
  <c r="M19" i="23"/>
  <c r="N19" i="23" s="1"/>
  <c r="H20" i="23"/>
  <c r="J19" i="23"/>
  <c r="O19" i="23" s="1"/>
  <c r="Q19" i="23" s="1"/>
  <c r="I20" i="21" l="1"/>
  <c r="K19" i="21"/>
  <c r="O19" i="21" s="1"/>
  <c r="Q19" i="21" s="1"/>
  <c r="I22" i="23"/>
  <c r="K21" i="23"/>
  <c r="M20" i="21"/>
  <c r="N20" i="21" s="1"/>
  <c r="H21" i="21"/>
  <c r="J20" i="21"/>
  <c r="H21" i="23"/>
  <c r="J20" i="23"/>
  <c r="O20" i="23" s="1"/>
  <c r="Q20" i="23" s="1"/>
  <c r="M20" i="23"/>
  <c r="N20" i="23" s="1"/>
  <c r="I23" i="23" l="1"/>
  <c r="K22" i="23"/>
  <c r="H22" i="21"/>
  <c r="J21" i="21"/>
  <c r="M21" i="21"/>
  <c r="N21" i="21" s="1"/>
  <c r="M21" i="23"/>
  <c r="N21" i="23" s="1"/>
  <c r="H22" i="23"/>
  <c r="J21" i="23"/>
  <c r="I21" i="21"/>
  <c r="K20" i="21"/>
  <c r="O20" i="21" s="1"/>
  <c r="Q20" i="21" s="1"/>
  <c r="M22" i="21" l="1"/>
  <c r="N22" i="21" s="1"/>
  <c r="H23" i="21"/>
  <c r="J22" i="21"/>
  <c r="J22" i="23"/>
  <c r="M22" i="23"/>
  <c r="N22" i="23" s="1"/>
  <c r="H23" i="23"/>
  <c r="O21" i="21"/>
  <c r="Q21" i="21" s="1"/>
  <c r="I24" i="23"/>
  <c r="K23" i="23"/>
  <c r="I22" i="21"/>
  <c r="K21" i="21"/>
  <c r="O21" i="23"/>
  <c r="Q21" i="23" s="1"/>
  <c r="M23" i="21" l="1"/>
  <c r="N23" i="21" s="1"/>
  <c r="H24" i="21"/>
  <c r="J23" i="21"/>
  <c r="K22" i="21"/>
  <c r="I23" i="21"/>
  <c r="I25" i="23"/>
  <c r="K24" i="23"/>
  <c r="M23" i="23"/>
  <c r="N23" i="23" s="1"/>
  <c r="H24" i="23"/>
  <c r="J23" i="23"/>
  <c r="O22" i="23"/>
  <c r="Q22" i="23" s="1"/>
  <c r="O22" i="21"/>
  <c r="Q22" i="21" s="1"/>
  <c r="I26" i="23" l="1"/>
  <c r="K25" i="23"/>
  <c r="I24" i="21"/>
  <c r="K23" i="21"/>
  <c r="O23" i="21" s="1"/>
  <c r="Q23" i="21" s="1"/>
  <c r="O23" i="23"/>
  <c r="Q23" i="23" s="1"/>
  <c r="M24" i="21"/>
  <c r="N24" i="21" s="1"/>
  <c r="H25" i="21"/>
  <c r="J24" i="21"/>
  <c r="H25" i="23"/>
  <c r="J24" i="23"/>
  <c r="M24" i="23"/>
  <c r="N24" i="23" s="1"/>
  <c r="I25" i="21" l="1"/>
  <c r="K24" i="21"/>
  <c r="H26" i="21"/>
  <c r="J25" i="21"/>
  <c r="M25" i="21"/>
  <c r="N25" i="21" s="1"/>
  <c r="O24" i="23"/>
  <c r="Q24" i="23" s="1"/>
  <c r="M25" i="23"/>
  <c r="N25" i="23" s="1"/>
  <c r="H26" i="23"/>
  <c r="J25" i="23"/>
  <c r="O24" i="21"/>
  <c r="Q24" i="21" s="1"/>
  <c r="I27" i="23"/>
  <c r="K26" i="23"/>
  <c r="I28" i="23" l="1"/>
  <c r="K27" i="23"/>
  <c r="M26" i="23"/>
  <c r="N26" i="23" s="1"/>
  <c r="H27" i="23"/>
  <c r="J26" i="23"/>
  <c r="O26" i="23" s="1"/>
  <c r="Q26" i="23" s="1"/>
  <c r="M26" i="21"/>
  <c r="N26" i="21" s="1"/>
  <c r="H27" i="21"/>
  <c r="J26" i="21"/>
  <c r="O25" i="23"/>
  <c r="Q25" i="23" s="1"/>
  <c r="I26" i="21"/>
  <c r="K25" i="21"/>
  <c r="O25" i="21" s="1"/>
  <c r="Q25" i="21" s="1"/>
  <c r="M27" i="23" l="1"/>
  <c r="N27" i="23" s="1"/>
  <c r="H28" i="23"/>
  <c r="J27" i="23"/>
  <c r="M27" i="21"/>
  <c r="N27" i="21" s="1"/>
  <c r="H28" i="21"/>
  <c r="J27" i="21"/>
  <c r="K26" i="21"/>
  <c r="I27" i="21"/>
  <c r="O26" i="21"/>
  <c r="Q26" i="21" s="1"/>
  <c r="I29" i="23"/>
  <c r="K28" i="23"/>
  <c r="M28" i="21" l="1"/>
  <c r="N28" i="21" s="1"/>
  <c r="H29" i="21"/>
  <c r="J28" i="21"/>
  <c r="I30" i="23"/>
  <c r="K29" i="23"/>
  <c r="I28" i="21"/>
  <c r="K27" i="21"/>
  <c r="O27" i="21" s="1"/>
  <c r="Q27" i="21" s="1"/>
  <c r="O27" i="23"/>
  <c r="Q27" i="23" s="1"/>
  <c r="H29" i="23"/>
  <c r="J28" i="23"/>
  <c r="M28" i="23"/>
  <c r="N28" i="23" s="1"/>
  <c r="I29" i="21" l="1"/>
  <c r="K28" i="21"/>
  <c r="O28" i="21" s="1"/>
  <c r="Q28" i="21" s="1"/>
  <c r="I31" i="23"/>
  <c r="K30" i="23"/>
  <c r="H30" i="21"/>
  <c r="J29" i="21"/>
  <c r="M29" i="21"/>
  <c r="N29" i="21" s="1"/>
  <c r="O28" i="23"/>
  <c r="Q28" i="23" s="1"/>
  <c r="M29" i="23"/>
  <c r="N29" i="23" s="1"/>
  <c r="H30" i="23"/>
  <c r="J29" i="23"/>
  <c r="M30" i="21" l="1"/>
  <c r="N30" i="21" s="1"/>
  <c r="H31" i="21"/>
  <c r="J30" i="21"/>
  <c r="O29" i="23"/>
  <c r="Q29" i="23" s="1"/>
  <c r="J30" i="23"/>
  <c r="M30" i="23"/>
  <c r="N30" i="23" s="1"/>
  <c r="H31" i="23"/>
  <c r="I43" i="23"/>
  <c r="K31" i="23"/>
  <c r="K29" i="21"/>
  <c r="O29" i="21" s="1"/>
  <c r="Q29" i="21" s="1"/>
  <c r="I30" i="21"/>
  <c r="O30" i="23" l="1"/>
  <c r="Q30" i="23" s="1"/>
  <c r="M31" i="23"/>
  <c r="N31" i="23" s="1"/>
  <c r="J31" i="23"/>
  <c r="M31" i="21"/>
  <c r="N31" i="21" s="1"/>
  <c r="J31" i="21"/>
  <c r="I31" i="21"/>
  <c r="K30" i="21"/>
  <c r="O30" i="21" s="1"/>
  <c r="Q30" i="21" s="1"/>
  <c r="K31" i="21" l="1"/>
  <c r="I43" i="21"/>
  <c r="O31" i="21"/>
  <c r="Q31" i="21" s="1"/>
  <c r="G7" i="22" s="1"/>
  <c r="O31" i="23"/>
  <c r="Q31" i="23" s="1"/>
  <c r="Q34" i="23" s="1"/>
  <c r="R36" i="23" s="1"/>
  <c r="D34" i="18" l="1"/>
  <c r="D33" i="18"/>
  <c r="G33" i="18" s="1"/>
  <c r="D32" i="18"/>
  <c r="D31" i="18"/>
  <c r="D30" i="18"/>
  <c r="D29" i="18"/>
  <c r="G29" i="18" s="1"/>
  <c r="D28" i="18"/>
  <c r="D27" i="18"/>
  <c r="D26" i="18"/>
  <c r="G26" i="18" s="1"/>
  <c r="D25" i="18"/>
  <c r="G25" i="18" s="1"/>
  <c r="D24" i="18"/>
  <c r="D23" i="18"/>
  <c r="D22" i="18"/>
  <c r="G22" i="18" s="1"/>
  <c r="D21" i="18"/>
  <c r="G21" i="18" s="1"/>
  <c r="D20" i="18"/>
  <c r="D19" i="18"/>
  <c r="G19" i="18" s="1"/>
  <c r="D18" i="18"/>
  <c r="D17" i="18"/>
  <c r="G17" i="18" s="1"/>
  <c r="D34" i="17"/>
  <c r="G34" i="17" s="1"/>
  <c r="D33" i="17"/>
  <c r="G33" i="17" s="1"/>
  <c r="D32" i="17"/>
  <c r="D31" i="17"/>
  <c r="D30" i="17"/>
  <c r="D29" i="17"/>
  <c r="G29" i="17" s="1"/>
  <c r="D28" i="17"/>
  <c r="D27" i="17"/>
  <c r="G27" i="17" s="1"/>
  <c r="D26" i="17"/>
  <c r="G26" i="17" s="1"/>
  <c r="D25" i="17"/>
  <c r="G25" i="17" s="1"/>
  <c r="D24" i="17"/>
  <c r="D23" i="17"/>
  <c r="D22" i="17"/>
  <c r="D21" i="17"/>
  <c r="G21" i="17" s="1"/>
  <c r="D20" i="17"/>
  <c r="D19" i="17"/>
  <c r="D18" i="17"/>
  <c r="G18" i="17" s="1"/>
  <c r="D17" i="17"/>
  <c r="G34" i="18"/>
  <c r="P33" i="18"/>
  <c r="G32" i="18"/>
  <c r="G31" i="18"/>
  <c r="G30" i="18"/>
  <c r="P28" i="18"/>
  <c r="G28" i="18"/>
  <c r="G27" i="18"/>
  <c r="P25" i="18"/>
  <c r="G24" i="18"/>
  <c r="G23" i="18"/>
  <c r="P20" i="18"/>
  <c r="G20" i="18"/>
  <c r="M19" i="18"/>
  <c r="M20" i="18" s="1"/>
  <c r="M21" i="18" s="1"/>
  <c r="M22" i="18" s="1"/>
  <c r="M23" i="18" s="1"/>
  <c r="M24" i="18" s="1"/>
  <c r="M25" i="18" s="1"/>
  <c r="M26" i="18" s="1"/>
  <c r="M27" i="18" s="1"/>
  <c r="M28" i="18" s="1"/>
  <c r="M29" i="18" s="1"/>
  <c r="M30" i="18" s="1"/>
  <c r="M31" i="18" s="1"/>
  <c r="M32" i="18" s="1"/>
  <c r="M33" i="18" s="1"/>
  <c r="M34" i="18" s="1"/>
  <c r="G18" i="18"/>
  <c r="P17" i="18"/>
  <c r="M16" i="18"/>
  <c r="M17" i="18" s="1"/>
  <c r="M18" i="18" s="1"/>
  <c r="L16" i="18"/>
  <c r="D16" i="18"/>
  <c r="G16" i="18" s="1"/>
  <c r="C16" i="18"/>
  <c r="C17" i="18" s="1"/>
  <c r="C18" i="18" s="1"/>
  <c r="C19" i="18" s="1"/>
  <c r="C20" i="18" s="1"/>
  <c r="C21" i="18" s="1"/>
  <c r="C22" i="18" s="1"/>
  <c r="C23" i="18" s="1"/>
  <c r="C24" i="18" s="1"/>
  <c r="C25" i="18" s="1"/>
  <c r="C26" i="18" s="1"/>
  <c r="C27" i="18" s="1"/>
  <c r="C28" i="18" s="1"/>
  <c r="C29" i="18" s="1"/>
  <c r="C30" i="18" s="1"/>
  <c r="C31" i="18" s="1"/>
  <c r="C32" i="18" s="1"/>
  <c r="C33" i="18" s="1"/>
  <c r="C34" i="18" s="1"/>
  <c r="AB15" i="18"/>
  <c r="Y15" i="18"/>
  <c r="I15" i="18"/>
  <c r="J16" i="18" s="1"/>
  <c r="H15" i="18"/>
  <c r="G15" i="18"/>
  <c r="E15" i="18"/>
  <c r="E16" i="18" s="1"/>
  <c r="E17" i="18" s="1"/>
  <c r="E18" i="18" s="1"/>
  <c r="E19" i="18" s="1"/>
  <c r="E20" i="18" s="1"/>
  <c r="E21" i="18" s="1"/>
  <c r="E22" i="18" s="1"/>
  <c r="E23" i="18" s="1"/>
  <c r="D15" i="18"/>
  <c r="B12" i="18"/>
  <c r="I10" i="18"/>
  <c r="E10" i="18"/>
  <c r="P31" i="18" s="1"/>
  <c r="I9" i="18"/>
  <c r="E9" i="18"/>
  <c r="P15" i="18" s="1"/>
  <c r="N34" i="17"/>
  <c r="P33" i="17"/>
  <c r="G32" i="17"/>
  <c r="G31" i="17"/>
  <c r="G30" i="17"/>
  <c r="G28" i="17"/>
  <c r="P25" i="17"/>
  <c r="G24" i="17"/>
  <c r="G23" i="17"/>
  <c r="P22" i="17"/>
  <c r="G22" i="17"/>
  <c r="P21" i="17"/>
  <c r="G20" i="17"/>
  <c r="G19" i="17"/>
  <c r="M17" i="17"/>
  <c r="M18" i="17" s="1"/>
  <c r="M19" i="17" s="1"/>
  <c r="M20" i="17" s="1"/>
  <c r="M21" i="17" s="1"/>
  <c r="M22" i="17" s="1"/>
  <c r="M23" i="17" s="1"/>
  <c r="M24" i="17" s="1"/>
  <c r="M25" i="17" s="1"/>
  <c r="M26" i="17" s="1"/>
  <c r="M27" i="17" s="1"/>
  <c r="M28" i="17" s="1"/>
  <c r="M29" i="17" s="1"/>
  <c r="M30" i="17" s="1"/>
  <c r="M31" i="17" s="1"/>
  <c r="M32" i="17" s="1"/>
  <c r="M33" i="17" s="1"/>
  <c r="M34" i="17" s="1"/>
  <c r="L17" i="17"/>
  <c r="L18" i="17" s="1"/>
  <c r="G17" i="17"/>
  <c r="C17" i="17"/>
  <c r="C18" i="17" s="1"/>
  <c r="C19" i="17" s="1"/>
  <c r="C20" i="17" s="1"/>
  <c r="C21" i="17" s="1"/>
  <c r="C22" i="17" s="1"/>
  <c r="C23" i="17" s="1"/>
  <c r="C24" i="17" s="1"/>
  <c r="C25" i="17" s="1"/>
  <c r="C26" i="17" s="1"/>
  <c r="C27" i="17" s="1"/>
  <c r="C28" i="17" s="1"/>
  <c r="C29" i="17" s="1"/>
  <c r="C30" i="17" s="1"/>
  <c r="C31" i="17" s="1"/>
  <c r="C32" i="17" s="1"/>
  <c r="C33" i="17" s="1"/>
  <c r="C34" i="17" s="1"/>
  <c r="M16" i="17"/>
  <c r="L16" i="17"/>
  <c r="Y16" i="17" s="1"/>
  <c r="D16" i="17"/>
  <c r="G16" i="17" s="1"/>
  <c r="C16" i="17"/>
  <c r="AB15" i="17"/>
  <c r="Y15" i="17"/>
  <c r="E15" i="17"/>
  <c r="E16" i="17" s="1"/>
  <c r="E17" i="17" s="1"/>
  <c r="E18" i="17" s="1"/>
  <c r="D15" i="17"/>
  <c r="G15" i="17" s="1"/>
  <c r="B12" i="17"/>
  <c r="I10" i="17"/>
  <c r="E10" i="17"/>
  <c r="P17" i="17" s="1"/>
  <c r="E9" i="17"/>
  <c r="P15" i="17" s="1"/>
  <c r="E34" i="16"/>
  <c r="N34" i="18" s="1"/>
  <c r="E33" i="16"/>
  <c r="E32" i="16"/>
  <c r="E31" i="16"/>
  <c r="E30" i="16"/>
  <c r="N30" i="17" s="1"/>
  <c r="E29" i="16"/>
  <c r="N29" i="18" s="1"/>
  <c r="E28" i="16"/>
  <c r="E27" i="16"/>
  <c r="N27" i="17" s="1"/>
  <c r="E26" i="16"/>
  <c r="E25" i="16"/>
  <c r="N25" i="18" s="1"/>
  <c r="E24" i="16"/>
  <c r="N24" i="18" s="1"/>
  <c r="E23" i="16"/>
  <c r="E22" i="16"/>
  <c r="F22" i="16" s="1"/>
  <c r="E21" i="16"/>
  <c r="N21" i="18" s="1"/>
  <c r="E20" i="16"/>
  <c r="N20" i="18" s="1"/>
  <c r="E19" i="16"/>
  <c r="F19" i="16" s="1"/>
  <c r="E18" i="16"/>
  <c r="N18" i="18" s="1"/>
  <c r="E17" i="16"/>
  <c r="N17" i="18" s="1"/>
  <c r="E16" i="16"/>
  <c r="N16" i="18" s="1"/>
  <c r="C16" i="16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C32" i="16" s="1"/>
  <c r="C33" i="16" s="1"/>
  <c r="C34" i="16" s="1"/>
  <c r="B16" i="16"/>
  <c r="B17" i="16" s="1"/>
  <c r="B18" i="16" s="1"/>
  <c r="B19" i="16" s="1"/>
  <c r="B20" i="16" s="1"/>
  <c r="B21" i="16" s="1"/>
  <c r="B22" i="16" s="1"/>
  <c r="B23" i="16" s="1"/>
  <c r="B24" i="16" s="1"/>
  <c r="B25" i="16" s="1"/>
  <c r="B26" i="16" s="1"/>
  <c r="B27" i="16" s="1"/>
  <c r="B28" i="16" s="1"/>
  <c r="B29" i="16" s="1"/>
  <c r="B30" i="16" s="1"/>
  <c r="B31" i="16" s="1"/>
  <c r="B32" i="16" s="1"/>
  <c r="B33" i="16" s="1"/>
  <c r="B34" i="16" s="1"/>
  <c r="E15" i="16"/>
  <c r="N15" i="18" s="1"/>
  <c r="H10" i="16"/>
  <c r="D10" i="16"/>
  <c r="D9" i="16"/>
  <c r="H9" i="16" s="1"/>
  <c r="D8" i="14"/>
  <c r="D9" i="14" s="1"/>
  <c r="D10" i="14" s="1"/>
  <c r="D11" i="14" s="1"/>
  <c r="D12" i="14" s="1"/>
  <c r="D13" i="14" s="1"/>
  <c r="D14" i="14" s="1"/>
  <c r="D15" i="14" s="1"/>
  <c r="D7" i="14"/>
  <c r="D6" i="14"/>
  <c r="C15" i="14"/>
  <c r="C14" i="14"/>
  <c r="C13" i="14"/>
  <c r="C12" i="14"/>
  <c r="C11" i="14"/>
  <c r="C10" i="14"/>
  <c r="C9" i="14"/>
  <c r="C8" i="14"/>
  <c r="C7" i="14"/>
  <c r="C6" i="14"/>
  <c r="C18" i="13"/>
  <c r="C17" i="13"/>
  <c r="C16" i="13"/>
  <c r="C15" i="13"/>
  <c r="D15" i="13" s="1"/>
  <c r="G15" i="13" s="1"/>
  <c r="C14" i="13"/>
  <c r="D14" i="13" s="1"/>
  <c r="G14" i="13" s="1"/>
  <c r="H14" i="13" s="1"/>
  <c r="C13" i="13"/>
  <c r="C12" i="13"/>
  <c r="C11" i="13"/>
  <c r="D11" i="13" s="1"/>
  <c r="G11" i="13" s="1"/>
  <c r="C10" i="13"/>
  <c r="C9" i="13"/>
  <c r="C4" i="13"/>
  <c r="E18" i="13" s="1"/>
  <c r="F18" i="13" s="1"/>
  <c r="D18" i="13"/>
  <c r="G18" i="13" s="1"/>
  <c r="E17" i="13"/>
  <c r="F17" i="13" s="1"/>
  <c r="D17" i="13"/>
  <c r="G17" i="13" s="1"/>
  <c r="H17" i="13" s="1"/>
  <c r="E16" i="13"/>
  <c r="F16" i="13" s="1"/>
  <c r="D16" i="13"/>
  <c r="G16" i="13" s="1"/>
  <c r="E15" i="13"/>
  <c r="F15" i="13" s="1"/>
  <c r="E14" i="13"/>
  <c r="F14" i="13" s="1"/>
  <c r="E13" i="13"/>
  <c r="F13" i="13" s="1"/>
  <c r="D13" i="13"/>
  <c r="G13" i="13" s="1"/>
  <c r="E12" i="13"/>
  <c r="F12" i="13" s="1"/>
  <c r="D12" i="13"/>
  <c r="G12" i="13" s="1"/>
  <c r="E11" i="13"/>
  <c r="F11" i="13" s="1"/>
  <c r="E10" i="13"/>
  <c r="F10" i="13" s="1"/>
  <c r="D10" i="13"/>
  <c r="G10" i="13" s="1"/>
  <c r="H10" i="13" s="1"/>
  <c r="E9" i="13"/>
  <c r="F9" i="13" s="1"/>
  <c r="D9" i="13"/>
  <c r="G9" i="13" s="1"/>
  <c r="H9" i="13" s="1"/>
  <c r="I9" i="13"/>
  <c r="I10" i="13" s="1"/>
  <c r="B9" i="13"/>
  <c r="B10" i="13" s="1"/>
  <c r="B11" i="13" s="1"/>
  <c r="B12" i="13" s="1"/>
  <c r="B13" i="13" s="1"/>
  <c r="B14" i="13" s="1"/>
  <c r="B15" i="13" s="1"/>
  <c r="B16" i="13" s="1"/>
  <c r="B17" i="13" s="1"/>
  <c r="B18" i="13" s="1"/>
  <c r="I2" i="12"/>
  <c r="I11" i="12"/>
  <c r="I12" i="12" s="1"/>
  <c r="I13" i="12" s="1"/>
  <c r="I14" i="12" s="1"/>
  <c r="I15" i="12" s="1"/>
  <c r="I16" i="12" s="1"/>
  <c r="I17" i="12" s="1"/>
  <c r="I18" i="12" s="1"/>
  <c r="I10" i="12"/>
  <c r="I9" i="12"/>
  <c r="G18" i="12"/>
  <c r="G17" i="12"/>
  <c r="G16" i="12"/>
  <c r="G15" i="12"/>
  <c r="G14" i="12"/>
  <c r="G13" i="12"/>
  <c r="G12" i="12"/>
  <c r="G11" i="12"/>
  <c r="G10" i="12"/>
  <c r="G9" i="12"/>
  <c r="E18" i="12"/>
  <c r="F18" i="12" s="1"/>
  <c r="H18" i="12" s="1"/>
  <c r="E17" i="12"/>
  <c r="F17" i="12" s="1"/>
  <c r="H17" i="12" s="1"/>
  <c r="E16" i="12"/>
  <c r="F16" i="12" s="1"/>
  <c r="H16" i="12" s="1"/>
  <c r="E15" i="12"/>
  <c r="F15" i="12" s="1"/>
  <c r="H15" i="12" s="1"/>
  <c r="E14" i="12"/>
  <c r="F14" i="12" s="1"/>
  <c r="H14" i="12" s="1"/>
  <c r="E13" i="12"/>
  <c r="F13" i="12" s="1"/>
  <c r="H13" i="12" s="1"/>
  <c r="E12" i="12"/>
  <c r="F12" i="12" s="1"/>
  <c r="H12" i="12" s="1"/>
  <c r="E11" i="12"/>
  <c r="F11" i="12" s="1"/>
  <c r="H11" i="12" s="1"/>
  <c r="E10" i="12"/>
  <c r="F10" i="12" s="1"/>
  <c r="H10" i="12" s="1"/>
  <c r="D18" i="12"/>
  <c r="D17" i="12"/>
  <c r="D16" i="12"/>
  <c r="D15" i="12"/>
  <c r="D14" i="12"/>
  <c r="D13" i="12"/>
  <c r="D12" i="12"/>
  <c r="D11" i="12"/>
  <c r="D10" i="12"/>
  <c r="D9" i="12"/>
  <c r="E9" i="12"/>
  <c r="F9" i="12" s="1"/>
  <c r="H9" i="12" s="1"/>
  <c r="C18" i="12"/>
  <c r="C17" i="12"/>
  <c r="C16" i="12"/>
  <c r="C15" i="12"/>
  <c r="C14" i="12"/>
  <c r="C13" i="12"/>
  <c r="C12" i="12"/>
  <c r="C11" i="12"/>
  <c r="C10" i="12"/>
  <c r="C9" i="12"/>
  <c r="B10" i="12"/>
  <c r="B11" i="12" s="1"/>
  <c r="B12" i="12" s="1"/>
  <c r="B13" i="12" s="1"/>
  <c r="B14" i="12" s="1"/>
  <c r="B15" i="12" s="1"/>
  <c r="B16" i="12" s="1"/>
  <c r="B17" i="12" s="1"/>
  <c r="B18" i="12" s="1"/>
  <c r="B9" i="12"/>
  <c r="H5" i="11"/>
  <c r="C6" i="11"/>
  <c r="H8" i="11"/>
  <c r="H9" i="11" s="1"/>
  <c r="H6" i="11"/>
  <c r="H2" i="11"/>
  <c r="H4" i="11"/>
  <c r="E28" i="11"/>
  <c r="B31" i="11"/>
  <c r="B32" i="11" s="1"/>
  <c r="B33" i="11" s="1"/>
  <c r="B34" i="11" s="1"/>
  <c r="B35" i="11" s="1"/>
  <c r="B36" i="11" s="1"/>
  <c r="B37" i="11" s="1"/>
  <c r="B38" i="11" s="1"/>
  <c r="B39" i="11" s="1"/>
  <c r="B40" i="11" s="1"/>
  <c r="B41" i="11" s="1"/>
  <c r="B42" i="11" s="1"/>
  <c r="B43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74" i="11" s="1"/>
  <c r="B75" i="11" s="1"/>
  <c r="B76" i="11" s="1"/>
  <c r="B77" i="11" s="1"/>
  <c r="B78" i="11" s="1"/>
  <c r="B79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110" i="11" s="1"/>
  <c r="B111" i="11" s="1"/>
  <c r="B112" i="11" s="1"/>
  <c r="B113" i="11" s="1"/>
  <c r="B114" i="11" s="1"/>
  <c r="B115" i="11" s="1"/>
  <c r="B116" i="11" s="1"/>
  <c r="B117" i="11" s="1"/>
  <c r="B118" i="11" s="1"/>
  <c r="B119" i="11" s="1"/>
  <c r="B120" i="11" s="1"/>
  <c r="B121" i="11" s="1"/>
  <c r="B122" i="11" s="1"/>
  <c r="B123" i="11" s="1"/>
  <c r="B124" i="11" s="1"/>
  <c r="B125" i="11" s="1"/>
  <c r="B126" i="11" s="1"/>
  <c r="B127" i="11" s="1"/>
  <c r="B128" i="11" s="1"/>
  <c r="B129" i="11" s="1"/>
  <c r="B130" i="11" s="1"/>
  <c r="B131" i="11" s="1"/>
  <c r="B132" i="11" s="1"/>
  <c r="B133" i="11" s="1"/>
  <c r="B134" i="11" s="1"/>
  <c r="B135" i="11" s="1"/>
  <c r="B136" i="11" s="1"/>
  <c r="B137" i="11" s="1"/>
  <c r="B138" i="11" s="1"/>
  <c r="B139" i="11" s="1"/>
  <c r="B140" i="11" s="1"/>
  <c r="B141" i="11" s="1"/>
  <c r="B142" i="11" s="1"/>
  <c r="B143" i="11" s="1"/>
  <c r="B144" i="11" s="1"/>
  <c r="B145" i="11" s="1"/>
  <c r="B146" i="11" s="1"/>
  <c r="B147" i="11" s="1"/>
  <c r="B148" i="11" s="1"/>
  <c r="B30" i="11"/>
  <c r="D30" i="11" s="1"/>
  <c r="D29" i="11"/>
  <c r="D28" i="11"/>
  <c r="C147" i="11"/>
  <c r="C146" i="11"/>
  <c r="C145" i="11"/>
  <c r="C144" i="11"/>
  <c r="C143" i="11"/>
  <c r="C142" i="11"/>
  <c r="C141" i="11"/>
  <c r="C140" i="11"/>
  <c r="C139" i="11"/>
  <c r="C138" i="11"/>
  <c r="C137" i="11"/>
  <c r="C136" i="11"/>
  <c r="C135" i="11"/>
  <c r="C134" i="11"/>
  <c r="C133" i="11"/>
  <c r="C132" i="11"/>
  <c r="C131" i="11"/>
  <c r="C130" i="11"/>
  <c r="C129" i="11"/>
  <c r="C128" i="11"/>
  <c r="C127" i="11"/>
  <c r="C126" i="11"/>
  <c r="C125" i="11"/>
  <c r="C124" i="11"/>
  <c r="C123" i="11"/>
  <c r="C122" i="11"/>
  <c r="C121" i="11"/>
  <c r="C120" i="11"/>
  <c r="C119" i="11"/>
  <c r="C118" i="11"/>
  <c r="C117" i="11"/>
  <c r="C116" i="11"/>
  <c r="C115" i="11"/>
  <c r="C114" i="11"/>
  <c r="C113" i="11"/>
  <c r="C112" i="11"/>
  <c r="C111" i="11"/>
  <c r="C110" i="11"/>
  <c r="C109" i="11"/>
  <c r="C108" i="11"/>
  <c r="C107" i="11"/>
  <c r="C106" i="11"/>
  <c r="C105" i="11"/>
  <c r="C104" i="11"/>
  <c r="C103" i="11"/>
  <c r="C102" i="11"/>
  <c r="C101" i="11"/>
  <c r="C100" i="11"/>
  <c r="C99" i="11"/>
  <c r="C98" i="11"/>
  <c r="C97" i="11"/>
  <c r="C96" i="11"/>
  <c r="C95" i="11"/>
  <c r="C94" i="11"/>
  <c r="C93" i="11"/>
  <c r="C92" i="11"/>
  <c r="C91" i="11"/>
  <c r="C90" i="11"/>
  <c r="C89" i="11"/>
  <c r="C88" i="11"/>
  <c r="C87" i="11"/>
  <c r="C86" i="11"/>
  <c r="C85" i="11"/>
  <c r="C84" i="11"/>
  <c r="C83" i="11"/>
  <c r="C82" i="11"/>
  <c r="C81" i="11"/>
  <c r="C80" i="11"/>
  <c r="C79" i="11"/>
  <c r="C78" i="11"/>
  <c r="C77" i="11"/>
  <c r="C76" i="11"/>
  <c r="C75" i="11"/>
  <c r="C74" i="11"/>
  <c r="C73" i="11"/>
  <c r="C72" i="11"/>
  <c r="C71" i="11"/>
  <c r="C70" i="11"/>
  <c r="C69" i="11"/>
  <c r="C68" i="11"/>
  <c r="C67" i="11"/>
  <c r="C66" i="11"/>
  <c r="C65" i="11"/>
  <c r="C64" i="11"/>
  <c r="C63" i="11"/>
  <c r="C62" i="11"/>
  <c r="C61" i="11"/>
  <c r="C60" i="11"/>
  <c r="C59" i="11"/>
  <c r="C58" i="11"/>
  <c r="C57" i="11"/>
  <c r="C56" i="11"/>
  <c r="C55" i="11"/>
  <c r="C54" i="11"/>
  <c r="C53" i="11"/>
  <c r="C52" i="11"/>
  <c r="C51" i="11"/>
  <c r="C50" i="11"/>
  <c r="C49" i="11"/>
  <c r="C48" i="11"/>
  <c r="C47" i="11"/>
  <c r="C46" i="11"/>
  <c r="C45" i="11"/>
  <c r="C44" i="11"/>
  <c r="C43" i="11"/>
  <c r="C42" i="11"/>
  <c r="C41" i="11"/>
  <c r="C40" i="11"/>
  <c r="C39" i="11"/>
  <c r="C38" i="11"/>
  <c r="C37" i="11"/>
  <c r="C36" i="11"/>
  <c r="C35" i="11"/>
  <c r="C34" i="11"/>
  <c r="C33" i="11"/>
  <c r="C32" i="11"/>
  <c r="C31" i="11"/>
  <c r="C30" i="11"/>
  <c r="C29" i="11"/>
  <c r="C28" i="11"/>
  <c r="E12" i="11"/>
  <c r="D22" i="11"/>
  <c r="D21" i="11"/>
  <c r="D20" i="11"/>
  <c r="D19" i="11"/>
  <c r="D18" i="11"/>
  <c r="D17" i="11"/>
  <c r="D16" i="11"/>
  <c r="D15" i="11"/>
  <c r="D14" i="11"/>
  <c r="D13" i="11"/>
  <c r="B15" i="11"/>
  <c r="B16" i="11" s="1"/>
  <c r="B17" i="11" s="1"/>
  <c r="B18" i="11" s="1"/>
  <c r="B19" i="11" s="1"/>
  <c r="B20" i="11" s="1"/>
  <c r="B21" i="11" s="1"/>
  <c r="B22" i="11" s="1"/>
  <c r="B14" i="11"/>
  <c r="E24" i="18" l="1"/>
  <c r="E25" i="18" s="1"/>
  <c r="E26" i="18" s="1"/>
  <c r="E27" i="18" s="1"/>
  <c r="E28" i="18" s="1"/>
  <c r="E29" i="18" s="1"/>
  <c r="E30" i="18" s="1"/>
  <c r="E31" i="18" s="1"/>
  <c r="H23" i="18"/>
  <c r="I23" i="18" s="1"/>
  <c r="L19" i="17"/>
  <c r="Y18" i="17"/>
  <c r="O19" i="18"/>
  <c r="O19" i="17"/>
  <c r="H17" i="17"/>
  <c r="I17" i="17" s="1"/>
  <c r="H16" i="17"/>
  <c r="I16" i="17"/>
  <c r="E19" i="17"/>
  <c r="E20" i="17" s="1"/>
  <c r="E21" i="17" s="1"/>
  <c r="E22" i="17" s="1"/>
  <c r="E23" i="17" s="1"/>
  <c r="E24" i="17" s="1"/>
  <c r="E25" i="17" s="1"/>
  <c r="E26" i="17" s="1"/>
  <c r="E27" i="17" s="1"/>
  <c r="E28" i="17" s="1"/>
  <c r="H18" i="17"/>
  <c r="I18" i="17" s="1"/>
  <c r="O22" i="17"/>
  <c r="O22" i="18"/>
  <c r="I15" i="17"/>
  <c r="J16" i="17" s="1"/>
  <c r="H15" i="17"/>
  <c r="P18" i="17"/>
  <c r="N20" i="17"/>
  <c r="P27" i="17"/>
  <c r="P30" i="17"/>
  <c r="H18" i="18"/>
  <c r="I18" i="18" s="1"/>
  <c r="N19" i="18"/>
  <c r="H30" i="18"/>
  <c r="I30" i="18" s="1"/>
  <c r="N17" i="17"/>
  <c r="N24" i="17"/>
  <c r="N22" i="18"/>
  <c r="H26" i="18"/>
  <c r="I26" i="18" s="1"/>
  <c r="N27" i="18"/>
  <c r="Y17" i="17"/>
  <c r="P20" i="17"/>
  <c r="P28" i="17"/>
  <c r="H21" i="18"/>
  <c r="I21" i="18" s="1"/>
  <c r="N30" i="18"/>
  <c r="H34" i="18"/>
  <c r="I34" i="18" s="1"/>
  <c r="I9" i="17"/>
  <c r="N19" i="17"/>
  <c r="H17" i="18"/>
  <c r="I17" i="18" s="1"/>
  <c r="H29" i="18"/>
  <c r="I29" i="18" s="1"/>
  <c r="H27" i="18"/>
  <c r="I27" i="18" s="1"/>
  <c r="P31" i="17"/>
  <c r="P26" i="17"/>
  <c r="P34" i="17"/>
  <c r="P29" i="17"/>
  <c r="P32" i="17"/>
  <c r="P24" i="17"/>
  <c r="N15" i="17"/>
  <c r="N16" i="17"/>
  <c r="P23" i="17"/>
  <c r="H34" i="17"/>
  <c r="I34" i="17" s="1"/>
  <c r="AB16" i="18"/>
  <c r="I16" i="18"/>
  <c r="J17" i="18" s="1"/>
  <c r="H16" i="18"/>
  <c r="H25" i="18"/>
  <c r="I25" i="18" s="1"/>
  <c r="N23" i="18"/>
  <c r="N23" i="17"/>
  <c r="N26" i="18"/>
  <c r="N26" i="17"/>
  <c r="N28" i="18"/>
  <c r="N28" i="17"/>
  <c r="N31" i="18"/>
  <c r="N31" i="17"/>
  <c r="N32" i="18"/>
  <c r="N32" i="17"/>
  <c r="N33" i="18"/>
  <c r="N33" i="17"/>
  <c r="P19" i="17"/>
  <c r="N21" i="17"/>
  <c r="N22" i="17"/>
  <c r="N25" i="17"/>
  <c r="N29" i="17"/>
  <c r="L17" i="18"/>
  <c r="Y16" i="18"/>
  <c r="H20" i="18"/>
  <c r="I20" i="18" s="1"/>
  <c r="H24" i="18"/>
  <c r="I24" i="18" s="1"/>
  <c r="I22" i="18"/>
  <c r="H22" i="18"/>
  <c r="F15" i="16"/>
  <c r="F16" i="16"/>
  <c r="F17" i="16"/>
  <c r="F18" i="16"/>
  <c r="F20" i="16"/>
  <c r="F21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P16" i="17"/>
  <c r="N18" i="17"/>
  <c r="H19" i="18"/>
  <c r="I19" i="18" s="1"/>
  <c r="H28" i="18"/>
  <c r="I28" i="18" s="1"/>
  <c r="P22" i="18"/>
  <c r="P30" i="18"/>
  <c r="P19" i="18"/>
  <c r="P27" i="18"/>
  <c r="P16" i="18"/>
  <c r="P24" i="18"/>
  <c r="P32" i="18"/>
  <c r="P21" i="18"/>
  <c r="P29" i="18"/>
  <c r="P34" i="18"/>
  <c r="P18" i="18"/>
  <c r="P26" i="18"/>
  <c r="P23" i="18"/>
  <c r="I11" i="13"/>
  <c r="I12" i="13" s="1"/>
  <c r="I13" i="13" s="1"/>
  <c r="I14" i="13" s="1"/>
  <c r="I15" i="13" s="1"/>
  <c r="I16" i="13" s="1"/>
  <c r="I17" i="13" s="1"/>
  <c r="I18" i="13" s="1"/>
  <c r="H11" i="13"/>
  <c r="H12" i="13"/>
  <c r="H18" i="13"/>
  <c r="H16" i="13"/>
  <c r="H15" i="13"/>
  <c r="H13" i="13"/>
  <c r="J8" i="13" s="1"/>
  <c r="I2" i="13" s="1"/>
  <c r="J8" i="12"/>
  <c r="D38" i="11"/>
  <c r="D47" i="11"/>
  <c r="D71" i="11"/>
  <c r="D32" i="11"/>
  <c r="D40" i="11"/>
  <c r="D48" i="11"/>
  <c r="D56" i="11"/>
  <c r="D64" i="11"/>
  <c r="D72" i="11"/>
  <c r="D35" i="11"/>
  <c r="D39" i="11"/>
  <c r="D63" i="11"/>
  <c r="D33" i="11"/>
  <c r="D41" i="11"/>
  <c r="D49" i="11"/>
  <c r="D57" i="11"/>
  <c r="D65" i="11"/>
  <c r="D73" i="11"/>
  <c r="D81" i="11"/>
  <c r="D31" i="11"/>
  <c r="D55" i="11"/>
  <c r="D34" i="11"/>
  <c r="D42" i="11"/>
  <c r="D50" i="11"/>
  <c r="D74" i="11"/>
  <c r="D43" i="11"/>
  <c r="D51" i="11"/>
  <c r="D59" i="11"/>
  <c r="D67" i="11"/>
  <c r="D75" i="11"/>
  <c r="D83" i="11"/>
  <c r="D91" i="11"/>
  <c r="D36" i="11"/>
  <c r="D44" i="11"/>
  <c r="D52" i="11"/>
  <c r="D60" i="11"/>
  <c r="D68" i="11"/>
  <c r="D76" i="11"/>
  <c r="D84" i="11"/>
  <c r="D92" i="11"/>
  <c r="AB17" i="18" l="1"/>
  <c r="J18" i="18"/>
  <c r="O25" i="17"/>
  <c r="O25" i="18"/>
  <c r="O27" i="18"/>
  <c r="O27" i="17"/>
  <c r="O17" i="18"/>
  <c r="O17" i="17"/>
  <c r="Q26" i="18"/>
  <c r="Q24" i="17"/>
  <c r="H22" i="17"/>
  <c r="I22" i="17" s="1"/>
  <c r="H25" i="17"/>
  <c r="I25" i="17" s="1"/>
  <c r="J17" i="17"/>
  <c r="AB16" i="17"/>
  <c r="O34" i="18"/>
  <c r="O34" i="17"/>
  <c r="O26" i="18"/>
  <c r="O26" i="17"/>
  <c r="O16" i="18"/>
  <c r="O16" i="17"/>
  <c r="Q22" i="17"/>
  <c r="H27" i="17"/>
  <c r="I27" i="17" s="1"/>
  <c r="Q17" i="17"/>
  <c r="H26" i="17"/>
  <c r="I26" i="17" s="1"/>
  <c r="O32" i="18"/>
  <c r="O32" i="17"/>
  <c r="Q32" i="17" s="1"/>
  <c r="O24" i="18"/>
  <c r="O24" i="17"/>
  <c r="Q31" i="18"/>
  <c r="H24" i="17"/>
  <c r="I24" i="17" s="1"/>
  <c r="H21" i="17"/>
  <c r="I21" i="17" s="1"/>
  <c r="O31" i="18"/>
  <c r="O31" i="17"/>
  <c r="Q31" i="17" s="1"/>
  <c r="L18" i="18"/>
  <c r="Y17" i="18"/>
  <c r="Q23" i="17"/>
  <c r="Q19" i="17"/>
  <c r="H19" i="17"/>
  <c r="I19" i="17" s="1"/>
  <c r="E29" i="17"/>
  <c r="H28" i="17"/>
  <c r="I28" i="17" s="1"/>
  <c r="O23" i="18"/>
  <c r="Q23" i="18" s="1"/>
  <c r="O23" i="17"/>
  <c r="O30" i="17"/>
  <c r="O30" i="18"/>
  <c r="Q30" i="18" s="1"/>
  <c r="O21" i="18"/>
  <c r="O21" i="17"/>
  <c r="Q22" i="18"/>
  <c r="Q19" i="18"/>
  <c r="O15" i="18"/>
  <c r="O15" i="17"/>
  <c r="G15" i="16"/>
  <c r="H15" i="16" s="1"/>
  <c r="O29" i="18"/>
  <c r="O29" i="17"/>
  <c r="O20" i="18"/>
  <c r="O20" i="17"/>
  <c r="Q16" i="17"/>
  <c r="O33" i="18"/>
  <c r="Q33" i="18" s="1"/>
  <c r="O33" i="17"/>
  <c r="H23" i="17"/>
  <c r="I23" i="17" s="1"/>
  <c r="O28" i="18"/>
  <c r="O28" i="17"/>
  <c r="Q28" i="17" s="1"/>
  <c r="O18" i="18"/>
  <c r="O18" i="17"/>
  <c r="Q18" i="17" s="1"/>
  <c r="Q29" i="17"/>
  <c r="Q26" i="17"/>
  <c r="Q15" i="17"/>
  <c r="H20" i="17"/>
  <c r="I20" i="17" s="1"/>
  <c r="L20" i="17"/>
  <c r="Y19" i="17"/>
  <c r="E32" i="18"/>
  <c r="H31" i="18"/>
  <c r="I31" i="18" s="1"/>
  <c r="D110" i="11"/>
  <c r="D93" i="11"/>
  <c r="D107" i="11"/>
  <c r="D130" i="11"/>
  <c r="D102" i="11"/>
  <c r="D85" i="11"/>
  <c r="D90" i="11"/>
  <c r="D94" i="11"/>
  <c r="D77" i="11"/>
  <c r="D138" i="11"/>
  <c r="D119" i="11"/>
  <c r="D122" i="11"/>
  <c r="D144" i="11"/>
  <c r="D136" i="11"/>
  <c r="D70" i="11"/>
  <c r="D61" i="11"/>
  <c r="D116" i="11"/>
  <c r="D66" i="11"/>
  <c r="D97" i="11"/>
  <c r="D96" i="11"/>
  <c r="D111" i="11"/>
  <c r="D62" i="11"/>
  <c r="D53" i="11"/>
  <c r="D109" i="11"/>
  <c r="D98" i="11"/>
  <c r="D113" i="11"/>
  <c r="D100" i="11"/>
  <c r="D58" i="11"/>
  <c r="D89" i="11"/>
  <c r="D135" i="11"/>
  <c r="D80" i="11"/>
  <c r="D95" i="11"/>
  <c r="D46" i="11"/>
  <c r="D45" i="11"/>
  <c r="D139" i="11"/>
  <c r="D128" i="11"/>
  <c r="D140" i="11"/>
  <c r="D131" i="11"/>
  <c r="D114" i="11"/>
  <c r="D137" i="11"/>
  <c r="D103" i="11"/>
  <c r="D120" i="11"/>
  <c r="D86" i="11"/>
  <c r="D133" i="11"/>
  <c r="D69" i="11"/>
  <c r="D145" i="11"/>
  <c r="D141" i="11"/>
  <c r="D132" i="11"/>
  <c r="D123" i="11"/>
  <c r="D106" i="11"/>
  <c r="D129" i="11"/>
  <c r="D87" i="11"/>
  <c r="D112" i="11"/>
  <c r="D142" i="11"/>
  <c r="D78" i="11"/>
  <c r="D125" i="11"/>
  <c r="D124" i="11"/>
  <c r="D115" i="11"/>
  <c r="D121" i="11"/>
  <c r="D104" i="11"/>
  <c r="D134" i="11"/>
  <c r="D117" i="11"/>
  <c r="D147" i="11"/>
  <c r="D127" i="11"/>
  <c r="D126" i="11"/>
  <c r="D108" i="11"/>
  <c r="D99" i="11"/>
  <c r="D146" i="11"/>
  <c r="D82" i="11"/>
  <c r="D79" i="11"/>
  <c r="D105" i="11"/>
  <c r="D88" i="11"/>
  <c r="D143" i="11"/>
  <c r="D118" i="11"/>
  <c r="D54" i="11"/>
  <c r="D101" i="11"/>
  <c r="D37" i="11"/>
  <c r="Q15" i="18" l="1"/>
  <c r="Q33" i="17"/>
  <c r="R15" i="18"/>
  <c r="R15" i="17"/>
  <c r="Q21" i="17"/>
  <c r="Q24" i="18"/>
  <c r="Q32" i="18"/>
  <c r="Q34" i="18"/>
  <c r="Q17" i="18"/>
  <c r="L21" i="17"/>
  <c r="Y20" i="17"/>
  <c r="Q27" i="17"/>
  <c r="E30" i="17"/>
  <c r="H29" i="17"/>
  <c r="I29" i="17" s="1"/>
  <c r="Q27" i="18"/>
  <c r="Q20" i="18"/>
  <c r="Q25" i="18"/>
  <c r="Q21" i="18"/>
  <c r="Q20" i="17"/>
  <c r="L19" i="18"/>
  <c r="Y18" i="18"/>
  <c r="Q16" i="18"/>
  <c r="Q29" i="18"/>
  <c r="Q25" i="17"/>
  <c r="AB18" i="18"/>
  <c r="J19" i="18"/>
  <c r="AB17" i="17"/>
  <c r="J18" i="17"/>
  <c r="Q18" i="18"/>
  <c r="Q28" i="18"/>
  <c r="Q30" i="17"/>
  <c r="E33" i="18"/>
  <c r="H33" i="18" s="1"/>
  <c r="I33" i="18" s="1"/>
  <c r="H32" i="18"/>
  <c r="I32" i="18" s="1"/>
  <c r="Q34" i="17"/>
  <c r="I15" i="16"/>
  <c r="E31" i="17" l="1"/>
  <c r="H30" i="17"/>
  <c r="I30" i="17" s="1"/>
  <c r="AB18" i="17"/>
  <c r="J19" i="17"/>
  <c r="S15" i="18"/>
  <c r="U15" i="18" s="1"/>
  <c r="W15" i="18" s="1"/>
  <c r="X15" i="18" s="1"/>
  <c r="AA15" i="18" s="1"/>
  <c r="D16" i="16"/>
  <c r="S15" i="17"/>
  <c r="U15" i="17" s="1"/>
  <c r="W15" i="17" s="1"/>
  <c r="X15" i="17" s="1"/>
  <c r="AA15" i="17" s="1"/>
  <c r="AB19" i="18"/>
  <c r="J20" i="18"/>
  <c r="L20" i="18"/>
  <c r="Y19" i="18"/>
  <c r="L22" i="17"/>
  <c r="Y21" i="17"/>
  <c r="J21" i="18" l="1"/>
  <c r="AB20" i="18"/>
  <c r="E32" i="17"/>
  <c r="H31" i="17"/>
  <c r="I31" i="17" s="1"/>
  <c r="G16" i="16"/>
  <c r="L23" i="17"/>
  <c r="Y22" i="17"/>
  <c r="AB19" i="17"/>
  <c r="J20" i="17"/>
  <c r="Y20" i="18"/>
  <c r="L21" i="18"/>
  <c r="L22" i="18" l="1"/>
  <c r="Y21" i="18"/>
  <c r="AB20" i="17"/>
  <c r="J21" i="17"/>
  <c r="Y23" i="17"/>
  <c r="L24" i="17"/>
  <c r="E33" i="17"/>
  <c r="H33" i="17" s="1"/>
  <c r="I33" i="17" s="1"/>
  <c r="H32" i="17"/>
  <c r="I32" i="17" s="1"/>
  <c r="AB21" i="18"/>
  <c r="J22" i="18"/>
  <c r="H16" i="16"/>
  <c r="AB21" i="17" l="1"/>
  <c r="J22" i="17"/>
  <c r="L25" i="17"/>
  <c r="Y24" i="17"/>
  <c r="L23" i="18"/>
  <c r="Y22" i="18"/>
  <c r="R16" i="18"/>
  <c r="R16" i="17"/>
  <c r="AB22" i="18"/>
  <c r="J23" i="18"/>
  <c r="I16" i="16"/>
  <c r="Y23" i="18" l="1"/>
  <c r="L24" i="18"/>
  <c r="L26" i="17"/>
  <c r="Y25" i="17"/>
  <c r="J24" i="18"/>
  <c r="AB23" i="18"/>
  <c r="AB22" i="17"/>
  <c r="J23" i="17"/>
  <c r="S16" i="18"/>
  <c r="U16" i="18" s="1"/>
  <c r="W16" i="18" s="1"/>
  <c r="X16" i="18" s="1"/>
  <c r="AA16" i="18" s="1"/>
  <c r="D17" i="16"/>
  <c r="S16" i="17"/>
  <c r="U16" i="17" s="1"/>
  <c r="W16" i="17" s="1"/>
  <c r="X16" i="17" s="1"/>
  <c r="AA16" i="17" s="1"/>
  <c r="AB24" i="18" l="1"/>
  <c r="J25" i="18"/>
  <c r="L27" i="17"/>
  <c r="Y26" i="17"/>
  <c r="L25" i="18"/>
  <c r="Y24" i="18"/>
  <c r="G17" i="16"/>
  <c r="J24" i="17"/>
  <c r="AB23" i="17"/>
  <c r="L26" i="18" l="1"/>
  <c r="Y25" i="18"/>
  <c r="L28" i="17"/>
  <c r="Y27" i="17"/>
  <c r="AB24" i="17"/>
  <c r="J25" i="17"/>
  <c r="AB25" i="18"/>
  <c r="J26" i="18"/>
  <c r="H17" i="16"/>
  <c r="AB25" i="17" l="1"/>
  <c r="J26" i="17"/>
  <c r="Y28" i="17"/>
  <c r="L29" i="17"/>
  <c r="R17" i="18"/>
  <c r="R17" i="17"/>
  <c r="L27" i="18"/>
  <c r="Y26" i="18"/>
  <c r="AB26" i="18"/>
  <c r="J27" i="18"/>
  <c r="I17" i="16"/>
  <c r="L28" i="18" l="1"/>
  <c r="Y27" i="18"/>
  <c r="L30" i="17"/>
  <c r="Y29" i="17"/>
  <c r="S17" i="18"/>
  <c r="U17" i="18" s="1"/>
  <c r="W17" i="18" s="1"/>
  <c r="X17" i="18" s="1"/>
  <c r="AA17" i="18" s="1"/>
  <c r="S17" i="17"/>
  <c r="U17" i="17" s="1"/>
  <c r="W17" i="17" s="1"/>
  <c r="X17" i="17" s="1"/>
  <c r="AA17" i="17" s="1"/>
  <c r="D18" i="16"/>
  <c r="AB27" i="18"/>
  <c r="J28" i="18"/>
  <c r="AB26" i="17"/>
  <c r="J27" i="17"/>
  <c r="L31" i="17" l="1"/>
  <c r="Y30" i="17"/>
  <c r="AB27" i="17"/>
  <c r="J28" i="17"/>
  <c r="J29" i="18"/>
  <c r="AB28" i="18"/>
  <c r="G18" i="16"/>
  <c r="H18" i="16" s="1"/>
  <c r="Y28" i="18"/>
  <c r="L29" i="18"/>
  <c r="R18" i="18" l="1"/>
  <c r="R18" i="17"/>
  <c r="I18" i="16"/>
  <c r="J29" i="17"/>
  <c r="AB28" i="17"/>
  <c r="AB29" i="18"/>
  <c r="J30" i="18"/>
  <c r="L30" i="18"/>
  <c r="Y29" i="18"/>
  <c r="Y31" i="17"/>
  <c r="L32" i="17"/>
  <c r="AB30" i="18" l="1"/>
  <c r="J31" i="18"/>
  <c r="AB29" i="17"/>
  <c r="J30" i="17"/>
  <c r="L31" i="18"/>
  <c r="Y30" i="18"/>
  <c r="S18" i="18"/>
  <c r="U18" i="18" s="1"/>
  <c r="W18" i="18" s="1"/>
  <c r="X18" i="18" s="1"/>
  <c r="AA18" i="18" s="1"/>
  <c r="D19" i="16"/>
  <c r="S18" i="17"/>
  <c r="U18" i="17" s="1"/>
  <c r="W18" i="17" s="1"/>
  <c r="X18" i="17" s="1"/>
  <c r="AA18" i="17" s="1"/>
  <c r="L33" i="17"/>
  <c r="Y32" i="17"/>
  <c r="Y31" i="18" l="1"/>
  <c r="L32" i="18"/>
  <c r="G19" i="16"/>
  <c r="H19" i="16"/>
  <c r="AB30" i="17"/>
  <c r="J31" i="17"/>
  <c r="L34" i="17"/>
  <c r="Y34" i="17" s="1"/>
  <c r="Y33" i="17"/>
  <c r="J32" i="18"/>
  <c r="AB31" i="18"/>
  <c r="R19" i="18" l="1"/>
  <c r="R19" i="17"/>
  <c r="I19" i="16"/>
  <c r="J32" i="17"/>
  <c r="AB31" i="17"/>
  <c r="AB32" i="18"/>
  <c r="J33" i="18"/>
  <c r="L33" i="18"/>
  <c r="Y32" i="18"/>
  <c r="AB32" i="17" l="1"/>
  <c r="J33" i="17"/>
  <c r="L34" i="18"/>
  <c r="Y34" i="18" s="1"/>
  <c r="Y33" i="18"/>
  <c r="S19" i="18"/>
  <c r="U19" i="18" s="1"/>
  <c r="W19" i="18" s="1"/>
  <c r="X19" i="18" s="1"/>
  <c r="AA19" i="18" s="1"/>
  <c r="D20" i="16"/>
  <c r="S19" i="17"/>
  <c r="U19" i="17" s="1"/>
  <c r="W19" i="17" s="1"/>
  <c r="X19" i="17" s="1"/>
  <c r="AA19" i="17" s="1"/>
  <c r="AB33" i="18"/>
  <c r="J34" i="18"/>
  <c r="AB33" i="17" l="1"/>
  <c r="J34" i="17"/>
  <c r="AB34" i="17" s="1"/>
  <c r="G20" i="16"/>
  <c r="AB34" i="18"/>
  <c r="AE15" i="18" s="1"/>
  <c r="I20" i="16" l="1"/>
  <c r="H20" i="16"/>
  <c r="AE15" i="17"/>
  <c r="S20" i="18" l="1"/>
  <c r="S20" i="17"/>
  <c r="D21" i="16"/>
  <c r="R20" i="18"/>
  <c r="U20" i="18" s="1"/>
  <c r="W20" i="18" s="1"/>
  <c r="X20" i="18" s="1"/>
  <c r="AA20" i="18" s="1"/>
  <c r="R20" i="17"/>
  <c r="U20" i="17" s="1"/>
  <c r="W20" i="17" s="1"/>
  <c r="X20" i="17" s="1"/>
  <c r="AA20" i="17" s="1"/>
  <c r="G21" i="16" l="1"/>
  <c r="H21" i="16"/>
  <c r="I21" i="16" s="1"/>
  <c r="S21" i="18" l="1"/>
  <c r="D22" i="16"/>
  <c r="S21" i="17"/>
  <c r="R21" i="18"/>
  <c r="U21" i="18" s="1"/>
  <c r="W21" i="18" s="1"/>
  <c r="X21" i="18" s="1"/>
  <c r="AA21" i="18" s="1"/>
  <c r="R21" i="17"/>
  <c r="U21" i="17" s="1"/>
  <c r="W21" i="17" s="1"/>
  <c r="X21" i="17" s="1"/>
  <c r="AA21" i="17" s="1"/>
  <c r="G22" i="16" l="1"/>
  <c r="H22" i="16"/>
  <c r="I22" i="16" s="1"/>
  <c r="S22" i="18" l="1"/>
  <c r="S22" i="17"/>
  <c r="D23" i="16"/>
  <c r="R22" i="18"/>
  <c r="R22" i="17"/>
  <c r="U22" i="17" l="1"/>
  <c r="W22" i="17" s="1"/>
  <c r="X22" i="17" s="1"/>
  <c r="AA22" i="17" s="1"/>
  <c r="U22" i="18"/>
  <c r="W22" i="18" s="1"/>
  <c r="X22" i="18" s="1"/>
  <c r="AA22" i="18" s="1"/>
  <c r="G23" i="16"/>
  <c r="I23" i="16" s="1"/>
  <c r="H23" i="16"/>
  <c r="S23" i="18" l="1"/>
  <c r="D24" i="16"/>
  <c r="S23" i="17"/>
  <c r="R23" i="17"/>
  <c r="U23" i="17" s="1"/>
  <c r="W23" i="17" s="1"/>
  <c r="X23" i="17" s="1"/>
  <c r="AA23" i="17" s="1"/>
  <c r="R23" i="18"/>
  <c r="U23" i="18" s="1"/>
  <c r="W23" i="18" s="1"/>
  <c r="X23" i="18" s="1"/>
  <c r="AA23" i="18" s="1"/>
  <c r="G24" i="16" l="1"/>
  <c r="I24" i="16" l="1"/>
  <c r="H24" i="16"/>
  <c r="S24" i="18" l="1"/>
  <c r="D25" i="16"/>
  <c r="S24" i="17"/>
  <c r="R24" i="18"/>
  <c r="R24" i="17"/>
  <c r="U24" i="17" s="1"/>
  <c r="W24" i="17" s="1"/>
  <c r="X24" i="17" s="1"/>
  <c r="AA24" i="17" s="1"/>
  <c r="U24" i="18" l="1"/>
  <c r="W24" i="18" s="1"/>
  <c r="X24" i="18" s="1"/>
  <c r="AA24" i="18" s="1"/>
  <c r="G25" i="16"/>
  <c r="H25" i="16"/>
  <c r="I25" i="16" s="1"/>
  <c r="S25" i="18" l="1"/>
  <c r="S25" i="17"/>
  <c r="D26" i="16"/>
  <c r="R25" i="18"/>
  <c r="R25" i="17"/>
  <c r="U25" i="17" s="1"/>
  <c r="W25" i="17" s="1"/>
  <c r="X25" i="17" s="1"/>
  <c r="AA25" i="17" s="1"/>
  <c r="U25" i="18" l="1"/>
  <c r="W25" i="18" s="1"/>
  <c r="X25" i="18" s="1"/>
  <c r="AA25" i="18" s="1"/>
  <c r="G26" i="16"/>
  <c r="H26" i="16" l="1"/>
  <c r="R26" i="17" l="1"/>
  <c r="R26" i="18"/>
  <c r="I26" i="16"/>
  <c r="S26" i="17" l="1"/>
  <c r="U26" i="17" s="1"/>
  <c r="W26" i="17" s="1"/>
  <c r="X26" i="17" s="1"/>
  <c r="AA26" i="17" s="1"/>
  <c r="S26" i="18"/>
  <c r="D27" i="16"/>
  <c r="U26" i="18"/>
  <c r="W26" i="18" s="1"/>
  <c r="X26" i="18" s="1"/>
  <c r="AA26" i="18" s="1"/>
  <c r="G27" i="16" l="1"/>
  <c r="H27" i="16"/>
  <c r="I27" i="16" s="1"/>
  <c r="S27" i="18" l="1"/>
  <c r="S27" i="17"/>
  <c r="D28" i="16"/>
  <c r="R27" i="18"/>
  <c r="U27" i="18" s="1"/>
  <c r="W27" i="18" s="1"/>
  <c r="X27" i="18" s="1"/>
  <c r="AA27" i="18" s="1"/>
  <c r="R27" i="17"/>
  <c r="U27" i="17" s="1"/>
  <c r="W27" i="17" s="1"/>
  <c r="X27" i="17" s="1"/>
  <c r="AA27" i="17" s="1"/>
  <c r="G28" i="16" l="1"/>
  <c r="H28" i="16" s="1"/>
  <c r="R28" i="18" l="1"/>
  <c r="R28" i="17"/>
  <c r="I28" i="16"/>
  <c r="S28" i="18" l="1"/>
  <c r="S28" i="17"/>
  <c r="U28" i="17" s="1"/>
  <c r="W28" i="17" s="1"/>
  <c r="X28" i="17" s="1"/>
  <c r="AA28" i="17" s="1"/>
  <c r="D29" i="16"/>
  <c r="U28" i="18"/>
  <c r="W28" i="18" s="1"/>
  <c r="X28" i="18" s="1"/>
  <c r="AA28" i="18" s="1"/>
  <c r="G29" i="16" l="1"/>
  <c r="H29" i="16"/>
  <c r="I29" i="16" s="1"/>
  <c r="S29" i="18" l="1"/>
  <c r="S29" i="17"/>
  <c r="D30" i="16"/>
  <c r="R29" i="18"/>
  <c r="U29" i="18" s="1"/>
  <c r="W29" i="18" s="1"/>
  <c r="X29" i="18" s="1"/>
  <c r="AA29" i="18" s="1"/>
  <c r="R29" i="17"/>
  <c r="U29" i="17" l="1"/>
  <c r="W29" i="17" s="1"/>
  <c r="X29" i="17" s="1"/>
  <c r="AA29" i="17" s="1"/>
  <c r="G30" i="16"/>
  <c r="H30" i="16" s="1"/>
  <c r="R30" i="18" l="1"/>
  <c r="R30" i="17"/>
  <c r="I30" i="16"/>
  <c r="S30" i="18" l="1"/>
  <c r="S30" i="17"/>
  <c r="U30" i="17" s="1"/>
  <c r="W30" i="17" s="1"/>
  <c r="X30" i="17" s="1"/>
  <c r="AA30" i="17" s="1"/>
  <c r="D31" i="16"/>
  <c r="U30" i="18"/>
  <c r="W30" i="18" s="1"/>
  <c r="X30" i="18" s="1"/>
  <c r="AA30" i="18" s="1"/>
  <c r="G31" i="16" l="1"/>
  <c r="H31" i="16"/>
  <c r="I31" i="16" s="1"/>
  <c r="S31" i="18" l="1"/>
  <c r="S31" i="17"/>
  <c r="D32" i="16"/>
  <c r="R31" i="17"/>
  <c r="U31" i="17" s="1"/>
  <c r="W31" i="17" s="1"/>
  <c r="X31" i="17" s="1"/>
  <c r="AA31" i="17" s="1"/>
  <c r="R31" i="18"/>
  <c r="U31" i="18" s="1"/>
  <c r="W31" i="18" s="1"/>
  <c r="X31" i="18" s="1"/>
  <c r="AA31" i="18" s="1"/>
  <c r="G32" i="16" l="1"/>
  <c r="H32" i="16"/>
  <c r="I32" i="16" s="1"/>
  <c r="S32" i="18" l="1"/>
  <c r="S32" i="17"/>
  <c r="D33" i="16"/>
  <c r="R32" i="18"/>
  <c r="U32" i="18" s="1"/>
  <c r="W32" i="18" s="1"/>
  <c r="X32" i="18" s="1"/>
  <c r="AA32" i="18" s="1"/>
  <c r="R32" i="17"/>
  <c r="U32" i="17" s="1"/>
  <c r="W32" i="17" s="1"/>
  <c r="X32" i="17" s="1"/>
  <c r="AA32" i="17" s="1"/>
  <c r="G33" i="16" l="1"/>
  <c r="I33" i="16" l="1"/>
  <c r="H33" i="16"/>
  <c r="S33" i="18" l="1"/>
  <c r="S33" i="17"/>
  <c r="D34" i="16"/>
  <c r="R33" i="18"/>
  <c r="R33" i="17"/>
  <c r="U33" i="17" s="1"/>
  <c r="W33" i="17" s="1"/>
  <c r="X33" i="17" s="1"/>
  <c r="AA33" i="17" s="1"/>
  <c r="U33" i="18" l="1"/>
  <c r="W33" i="18" s="1"/>
  <c r="X33" i="18" s="1"/>
  <c r="AA33" i="18" s="1"/>
  <c r="G34" i="16"/>
  <c r="H34" i="16"/>
  <c r="R34" i="18" l="1"/>
  <c r="R34" i="17"/>
  <c r="I34" i="16"/>
  <c r="S34" i="18" l="1"/>
  <c r="U34" i="18" s="1"/>
  <c r="W34" i="18" s="1"/>
  <c r="X34" i="18" s="1"/>
  <c r="AA34" i="18" s="1"/>
  <c r="AD15" i="18" s="1"/>
  <c r="AF15" i="18" s="1"/>
  <c r="S34" i="17"/>
  <c r="U34" i="17" s="1"/>
  <c r="W34" i="17" s="1"/>
  <c r="X34" i="17" l="1"/>
  <c r="AA34" i="17" s="1"/>
  <c r="AD15" i="17" s="1"/>
  <c r="AF15" i="17" s="1"/>
</calcChain>
</file>

<file path=xl/sharedStrings.xml><?xml version="1.0" encoding="utf-8"?>
<sst xmlns="http://schemas.openxmlformats.org/spreadsheetml/2006/main" count="288" uniqueCount="147">
  <si>
    <t>AM92</t>
  </si>
  <si>
    <t>Age x</t>
  </si>
  <si>
    <t>qx</t>
  </si>
  <si>
    <t>lx</t>
  </si>
  <si>
    <t>dx</t>
  </si>
  <si>
    <t>Life Table</t>
  </si>
  <si>
    <t>l[x]</t>
  </si>
  <si>
    <t>l[x-1]+1</t>
  </si>
  <si>
    <t>d[x]</t>
  </si>
  <si>
    <t>d[x-1]+1</t>
  </si>
  <si>
    <t>Risk-free interest rate:  one year forward rates</t>
  </si>
  <si>
    <t>End of time step</t>
  </si>
  <si>
    <t>i</t>
  </si>
  <si>
    <t>term (years)</t>
  </si>
  <si>
    <t>interest rate  - annual</t>
  </si>
  <si>
    <t>Interest rate (effective monthly)</t>
  </si>
  <si>
    <t>Cash flow</t>
  </si>
  <si>
    <t>Discount factor for each payment</t>
  </si>
  <si>
    <t>Working for a:n (annual)</t>
  </si>
  <si>
    <t>Value of annuity function</t>
  </si>
  <si>
    <t>1 mark</t>
  </si>
  <si>
    <t>Working for a(due):n (monthly)</t>
  </si>
  <si>
    <t>end of each month</t>
  </si>
  <si>
    <t>end of each year</t>
  </si>
  <si>
    <t>0.5 mark</t>
  </si>
  <si>
    <t>a:n (annual)</t>
  </si>
  <si>
    <t>d(p)</t>
  </si>
  <si>
    <t>a:n (monthly) (A)</t>
  </si>
  <si>
    <t>i/d(p) * a:n (annual) (B)</t>
  </si>
  <si>
    <t>Check that A = B</t>
  </si>
  <si>
    <t>Nominal amount</t>
  </si>
  <si>
    <t>risk-free forward</t>
  </si>
  <si>
    <t>Floating rate</t>
  </si>
  <si>
    <t>Fixed rate</t>
  </si>
  <si>
    <t>Floating rate spread</t>
  </si>
  <si>
    <t>Fixed interest outgo</t>
  </si>
  <si>
    <t>Floating rate income</t>
  </si>
  <si>
    <t>Net cash flow</t>
  </si>
  <si>
    <t>Discount factor</t>
  </si>
  <si>
    <t>Present value</t>
  </si>
  <si>
    <t>(to be set equal to 0 using Goal Seek on cell C4)</t>
  </si>
  <si>
    <t>marks 1</t>
  </si>
  <si>
    <t>marks 2</t>
  </si>
  <si>
    <t>Answer</t>
  </si>
  <si>
    <t>This is a copy of 3(ii)</t>
  </si>
  <si>
    <t>Net profit</t>
  </si>
  <si>
    <t>Mark 1</t>
  </si>
  <si>
    <t>mark 1</t>
  </si>
  <si>
    <t>mark 0.5</t>
  </si>
  <si>
    <t>Spot rate</t>
  </si>
  <si>
    <t>4 marks</t>
  </si>
  <si>
    <t>Annual Premium</t>
  </si>
  <si>
    <t>Allocation % (1st Year)</t>
  </si>
  <si>
    <t>Risk Discount Rate</t>
  </si>
  <si>
    <t>Allocation % (2ndYr - 10Yr)</t>
  </si>
  <si>
    <t>Interest of Investment</t>
  </si>
  <si>
    <t>Management Fees</t>
  </si>
  <si>
    <t>Interest on Non Unit Fund</t>
  </si>
  <si>
    <t>B/O Spread</t>
  </si>
  <si>
    <t>Dealth Benefit</t>
  </si>
  <si>
    <t>Maturity Value</t>
  </si>
  <si>
    <t>% Per Month</t>
  </si>
  <si>
    <t>Total</t>
  </si>
  <si>
    <t>Initial Expenses</t>
  </si>
  <si>
    <t>Initial Commission</t>
  </si>
  <si>
    <t>Renewal</t>
  </si>
  <si>
    <t>Renewal Commission</t>
  </si>
  <si>
    <t>Marking</t>
  </si>
  <si>
    <t>Unit Fund Projection</t>
  </si>
  <si>
    <t>Year</t>
  </si>
  <si>
    <t>Age</t>
  </si>
  <si>
    <t>Value of Units at Start of year</t>
  </si>
  <si>
    <t>Allocation</t>
  </si>
  <si>
    <t xml:space="preserve">Interest </t>
  </si>
  <si>
    <t>Value of Units at end of year</t>
  </si>
  <si>
    <t>Surrender Rate</t>
  </si>
  <si>
    <t>Renewal Expenses</t>
  </si>
  <si>
    <r>
      <t>Qx</t>
    </r>
    <r>
      <rPr>
        <vertAlign val="superscript"/>
        <sz val="11"/>
        <color theme="1"/>
        <rFont val="Calibri (Body)"/>
      </rPr>
      <t>d</t>
    </r>
  </si>
  <si>
    <r>
      <t>Qx</t>
    </r>
    <r>
      <rPr>
        <vertAlign val="superscript"/>
        <sz val="11"/>
        <color theme="1"/>
        <rFont val="Calibri (Body)"/>
      </rPr>
      <t>s</t>
    </r>
  </si>
  <si>
    <r>
      <t>(aq)</t>
    </r>
    <r>
      <rPr>
        <vertAlign val="subscript"/>
        <sz val="11"/>
        <color theme="1"/>
        <rFont val="Calibri (Body)"/>
      </rPr>
      <t>x</t>
    </r>
    <r>
      <rPr>
        <vertAlign val="superscript"/>
        <sz val="11"/>
        <color theme="1"/>
        <rFont val="Calibri (Body)"/>
      </rPr>
      <t>d</t>
    </r>
  </si>
  <si>
    <r>
      <t>(aq)</t>
    </r>
    <r>
      <rPr>
        <vertAlign val="subscript"/>
        <sz val="11"/>
        <color theme="1"/>
        <rFont val="Calibri (Body)"/>
      </rPr>
      <t>x</t>
    </r>
    <r>
      <rPr>
        <vertAlign val="superscript"/>
        <sz val="11"/>
        <color theme="1"/>
        <rFont val="Calibri (Body)"/>
      </rPr>
      <t>s</t>
    </r>
  </si>
  <si>
    <t>(ap)</t>
  </si>
  <si>
    <r>
      <rPr>
        <vertAlign val="subscript"/>
        <sz val="11"/>
        <color theme="1"/>
        <rFont val="Calibri (Body)"/>
      </rPr>
      <t>t-1</t>
    </r>
    <r>
      <rPr>
        <sz val="11"/>
        <color theme="1"/>
        <rFont val="Calibri"/>
        <family val="2"/>
        <scheme val="minor"/>
      </rPr>
      <t>(ap)</t>
    </r>
  </si>
  <si>
    <t>Unallocated Premium</t>
  </si>
  <si>
    <t>Expenses &amp; Commission</t>
  </si>
  <si>
    <t>Interest</t>
  </si>
  <si>
    <t>Death Benefit</t>
  </si>
  <si>
    <t>Extra Maturity Benefit</t>
  </si>
  <si>
    <t>End of the Year Cashflow</t>
  </si>
  <si>
    <t>Profit Vector</t>
  </si>
  <si>
    <t>Profit Signature</t>
  </si>
  <si>
    <t>Discount Factor</t>
  </si>
  <si>
    <t>PV of Profits</t>
  </si>
  <si>
    <t>PV of Premiums</t>
  </si>
  <si>
    <t>Total PV of Profits</t>
  </si>
  <si>
    <t>Total PV of Premiums</t>
  </si>
  <si>
    <t>Profit Margin</t>
  </si>
  <si>
    <t>Solution</t>
  </si>
  <si>
    <t>Goal Seek Profit Margin by Changing Renewal Commission to target 5% Profit Margin.</t>
  </si>
  <si>
    <t>(for correctly copying)</t>
  </si>
  <si>
    <t>If mortality charge is levied, then the fund growth will reduce as additional charge is deducted each year where death benefit is more than fund value</t>
  </si>
  <si>
    <t>As projected fund value reduces, collection of annual management charge will also reduce</t>
  </si>
  <si>
    <t>Profit vector will be affected as:  profit increases due to collection of mortality charge and reduces due to lower AMC</t>
  </si>
  <si>
    <t>2 marks</t>
  </si>
  <si>
    <t>SA</t>
  </si>
  <si>
    <t>A37:23</t>
  </si>
  <si>
    <t>p</t>
  </si>
  <si>
    <t>Annual premium</t>
  </si>
  <si>
    <t>a due37:23</t>
  </si>
  <si>
    <t>v</t>
  </si>
  <si>
    <t>IE</t>
  </si>
  <si>
    <t>Initial expense</t>
  </si>
  <si>
    <t>P</t>
  </si>
  <si>
    <t>S</t>
  </si>
  <si>
    <t>Sum assured</t>
  </si>
  <si>
    <t>re</t>
  </si>
  <si>
    <t>Regular expense</t>
  </si>
  <si>
    <t>ce</t>
  </si>
  <si>
    <t>Claim expense</t>
  </si>
  <si>
    <t>t (end of period)</t>
  </si>
  <si>
    <t>px</t>
  </si>
  <si>
    <t>annuity due</t>
  </si>
  <si>
    <t>Term Assurance factor</t>
  </si>
  <si>
    <t>PV of premiums</t>
  </si>
  <si>
    <t>PV of SA+ claim expense</t>
  </si>
  <si>
    <t>PV of initial expenses</t>
  </si>
  <si>
    <t>PV of regular expense</t>
  </si>
  <si>
    <t>PV of Past expense</t>
  </si>
  <si>
    <t>PV of Income and outgo</t>
  </si>
  <si>
    <t>Accumulation factor</t>
  </si>
  <si>
    <t>Retro reserve</t>
  </si>
  <si>
    <t>Profit at maturity =</t>
  </si>
  <si>
    <t>Comments</t>
  </si>
  <si>
    <t>(one mark per valid comment)</t>
  </si>
  <si>
    <t>The retrospective reserve is the accumulation of policy cashflows at any particular duration of policy</t>
  </si>
  <si>
    <t>The company needs to keeps the reserves atleast as large as the maturity sum assured and claim expenses so that it may not make a loss on maturing policy</t>
  </si>
  <si>
    <t>otherwise the purpose of business is defeated.</t>
  </si>
  <si>
    <t>On the given assumption of 4% interest rate the company have money which is sufficient to meet the maturity payouts and claim expenses to generate a profit</t>
  </si>
  <si>
    <t>Had the actual interest rates are not expected the company can make provision for any shortfall so that all liabilities are met at portfolio level.</t>
  </si>
  <si>
    <t>T</t>
  </si>
  <si>
    <t>Profit margin</t>
  </si>
  <si>
    <t>for copying correctly</t>
  </si>
  <si>
    <t>Profit at maturity</t>
  </si>
  <si>
    <t>Required profit</t>
  </si>
  <si>
    <t>required profit</t>
  </si>
  <si>
    <t>correct goal seek</t>
  </si>
  <si>
    <t>ANSWER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</si>
</sst>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(* #,##0.00_);_(* \(#,##0.00\);_(* &quot;-&quot;??_);_(@_)"/>
    <numFmt numFmtId="164" formatCode="0.00000"/>
    <numFmt numFmtId="165" formatCode="#,##0.0000"/>
    <numFmt numFmtId="166" formatCode="0.0%"/>
    <numFmt numFmtId="167" formatCode="0.0000000000000%"/>
    <numFmt numFmtId="168" formatCode="0.00000000%"/>
    <numFmt numFmtId="169" formatCode="0.0000%"/>
    <numFmt numFmtId="170" formatCode="0.000%"/>
    <numFmt numFmtId="171" formatCode="0.000000"/>
    <numFmt numFmtId="172" formatCode="0.0000"/>
    <numFmt numFmtId="173" formatCode="_(* #,##0_);_(* \(#,##0\);_(* &quot;-&quot;??_);_(@_)"/>
    <numFmt numFmtId="174" formatCode="#,##0.00000"/>
    <numFmt numFmtId="175" formatCode="_ * #,##0.00_ ;_ * \-#,##0.00_ ;_ * &quot;-&quot;??_ ;_ @_ "/>
  </numFmts>
  <fonts count="13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color theme="1"/>
      <name val="Calibri (Body)"/>
    </font>
    <font>
      <vertAlign val="subscript"/>
      <sz val="11"/>
      <color theme="1"/>
      <name val="Calibri (Body)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75" fontId="5" fillId="0" borderId="0" applyFont="0" applyFill="0" applyBorder="0" applyAlignment="0" applyProtection="0"/>
  </cellStyleXfs>
  <cellXfs count="116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4" fontId="0" fillId="0" borderId="0" xfId="0" applyNumberFormat="1"/>
    <xf numFmtId="0" fontId="3" fillId="0" borderId="0" xfId="1"/>
    <xf numFmtId="0" fontId="3" fillId="0" borderId="1" xfId="1" applyBorder="1" applyAlignment="1">
      <alignment horizontal="center"/>
    </xf>
    <xf numFmtId="0" fontId="3" fillId="0" borderId="2" xfId="1" applyBorder="1" applyAlignment="1">
      <alignment horizontal="center"/>
    </xf>
    <xf numFmtId="0" fontId="4" fillId="0" borderId="2" xfId="1" applyFont="1" applyBorder="1" applyAlignment="1">
      <alignment horizontal="center"/>
    </xf>
    <xf numFmtId="165" fontId="3" fillId="0" borderId="2" xfId="1" applyNumberFormat="1" applyBorder="1"/>
    <xf numFmtId="165" fontId="3" fillId="0" borderId="0" xfId="1" applyNumberFormat="1"/>
    <xf numFmtId="10" fontId="0" fillId="0" borderId="0" xfId="0" applyNumberFormat="1"/>
    <xf numFmtId="9" fontId="0" fillId="0" borderId="0" xfId="0" applyNumberFormat="1"/>
    <xf numFmtId="166" fontId="0" fillId="0" borderId="0" xfId="0" applyNumberFormat="1"/>
    <xf numFmtId="0" fontId="6" fillId="0" borderId="0" xfId="0" applyFont="1"/>
    <xf numFmtId="0" fontId="7" fillId="0" borderId="0" xfId="0" applyFont="1"/>
    <xf numFmtId="43" fontId="0" fillId="0" borderId="0" xfId="2" applyFont="1"/>
    <xf numFmtId="43" fontId="0" fillId="0" borderId="0" xfId="2" applyNumberFormat="1" applyFont="1"/>
    <xf numFmtId="167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0" fontId="0" fillId="0" borderId="0" xfId="3" applyNumberFormat="1" applyFont="1"/>
    <xf numFmtId="169" fontId="0" fillId="0" borderId="0" xfId="3" applyNumberFormat="1" applyFont="1"/>
    <xf numFmtId="0" fontId="0" fillId="0" borderId="7" xfId="0" applyBorder="1"/>
    <xf numFmtId="0" fontId="0" fillId="0" borderId="8" xfId="0" applyBorder="1"/>
    <xf numFmtId="9" fontId="0" fillId="0" borderId="8" xfId="0" applyNumberFormat="1" applyBorder="1"/>
    <xf numFmtId="170" fontId="0" fillId="0" borderId="8" xfId="0" applyNumberFormat="1" applyBorder="1"/>
    <xf numFmtId="0" fontId="0" fillId="3" borderId="5" xfId="0" applyFill="1" applyBorder="1"/>
    <xf numFmtId="172" fontId="0" fillId="3" borderId="6" xfId="0" applyNumberFormat="1" applyFill="1" applyBorder="1"/>
    <xf numFmtId="0" fontId="0" fillId="3" borderId="7" xfId="0" applyFill="1" applyBorder="1"/>
    <xf numFmtId="0" fontId="0" fillId="3" borderId="8" xfId="0" applyFill="1" applyBorder="1"/>
    <xf numFmtId="0" fontId="6" fillId="0" borderId="3" xfId="0" applyFont="1" applyBorder="1"/>
    <xf numFmtId="172" fontId="6" fillId="0" borderId="4" xfId="0" applyNumberFormat="1" applyFont="1" applyBorder="1"/>
    <xf numFmtId="3" fontId="0" fillId="0" borderId="0" xfId="0" applyNumberFormat="1"/>
    <xf numFmtId="2" fontId="0" fillId="0" borderId="0" xfId="0" applyNumberFormat="1"/>
    <xf numFmtId="10" fontId="0" fillId="3" borderId="0" xfId="0" applyNumberFormat="1" applyFill="1"/>
    <xf numFmtId="10" fontId="6" fillId="0" borderId="4" xfId="0" applyNumberFormat="1" applyFont="1" applyBorder="1"/>
    <xf numFmtId="173" fontId="6" fillId="0" borderId="9" xfId="2" applyNumberFormat="1" applyFont="1" applyBorder="1"/>
    <xf numFmtId="0" fontId="6" fillId="0" borderId="4" xfId="0" applyFont="1" applyBorder="1"/>
    <xf numFmtId="168" fontId="0" fillId="0" borderId="0" xfId="3" applyNumberFormat="1" applyFont="1"/>
    <xf numFmtId="173" fontId="0" fillId="0" borderId="0" xfId="2" applyNumberFormat="1" applyFont="1"/>
    <xf numFmtId="173" fontId="0" fillId="0" borderId="0" xfId="2" applyNumberFormat="1" applyFont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43" fontId="0" fillId="0" borderId="2" xfId="2" applyFont="1" applyBorder="1"/>
    <xf numFmtId="2" fontId="0" fillId="0" borderId="2" xfId="0" applyNumberFormat="1" applyBorder="1"/>
    <xf numFmtId="0" fontId="0" fillId="0" borderId="2" xfId="0" applyBorder="1"/>
    <xf numFmtId="0" fontId="0" fillId="0" borderId="2" xfId="0" applyBorder="1" applyAlignment="1">
      <alignment wrapText="1"/>
    </xf>
    <xf numFmtId="9" fontId="0" fillId="0" borderId="2" xfId="0" applyNumberFormat="1" applyBorder="1"/>
    <xf numFmtId="164" fontId="0" fillId="0" borderId="2" xfId="0" applyNumberFormat="1" applyBorder="1"/>
    <xf numFmtId="171" fontId="0" fillId="0" borderId="2" xfId="0" applyNumberFormat="1" applyBorder="1"/>
    <xf numFmtId="43" fontId="0" fillId="0" borderId="2" xfId="0" applyNumberFormat="1" applyBorder="1"/>
    <xf numFmtId="173" fontId="0" fillId="0" borderId="2" xfId="0" applyNumberFormat="1" applyBorder="1"/>
    <xf numFmtId="173" fontId="0" fillId="0" borderId="2" xfId="2" applyNumberFormat="1" applyFont="1" applyBorder="1"/>
    <xf numFmtId="172" fontId="0" fillId="0" borderId="2" xfId="0" applyNumberFormat="1" applyBorder="1"/>
    <xf numFmtId="10" fontId="0" fillId="0" borderId="2" xfId="3" applyNumberFormat="1" applyFont="1" applyBorder="1"/>
    <xf numFmtId="10" fontId="0" fillId="4" borderId="0" xfId="0" applyNumberFormat="1" applyFill="1"/>
    <xf numFmtId="0" fontId="0" fillId="4" borderId="0" xfId="0" applyFill="1" applyAlignment="1">
      <alignment horizontal="center"/>
    </xf>
    <xf numFmtId="173" fontId="0" fillId="4" borderId="2" xfId="0" applyNumberFormat="1" applyFill="1" applyBorder="1"/>
    <xf numFmtId="10" fontId="0" fillId="4" borderId="2" xfId="3" applyNumberFormat="1" applyFont="1" applyFill="1" applyBorder="1"/>
    <xf numFmtId="173" fontId="7" fillId="0" borderId="2" xfId="2" applyNumberFormat="1" applyFont="1" applyBorder="1"/>
    <xf numFmtId="173" fontId="8" fillId="0" borderId="2" xfId="2" applyNumberFormat="1" applyFont="1" applyBorder="1"/>
    <xf numFmtId="10" fontId="0" fillId="0" borderId="2" xfId="0" applyNumberFormat="1" applyBorder="1"/>
    <xf numFmtId="0" fontId="11" fillId="0" borderId="0" xfId="0" applyFont="1"/>
    <xf numFmtId="0" fontId="2" fillId="0" borderId="2" xfId="0" applyFont="1" applyBorder="1" applyAlignment="1">
      <alignment horizontal="center"/>
    </xf>
    <xf numFmtId="10" fontId="8" fillId="5" borderId="2" xfId="0" applyNumberFormat="1" applyFont="1" applyFill="1" applyBorder="1" applyAlignment="1">
      <alignment horizontal="center"/>
    </xf>
    <xf numFmtId="165" fontId="0" fillId="0" borderId="0" xfId="0" applyNumberFormat="1"/>
    <xf numFmtId="3" fontId="0" fillId="5" borderId="2" xfId="0" applyNumberFormat="1" applyFill="1" applyBorder="1" applyAlignment="1">
      <alignment horizontal="center"/>
    </xf>
    <xf numFmtId="174" fontId="0" fillId="0" borderId="2" xfId="0" applyNumberFormat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2" fillId="0" borderId="0" xfId="0" applyFont="1" applyAlignment="1">
      <alignment horizontal="center"/>
    </xf>
    <xf numFmtId="174" fontId="0" fillId="0" borderId="0" xfId="0" applyNumberForma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172" fontId="7" fillId="0" borderId="0" xfId="0" applyNumberFormat="1" applyFont="1"/>
    <xf numFmtId="0" fontId="7" fillId="0" borderId="0" xfId="0" applyFont="1" applyAlignment="1">
      <alignment wrapText="1"/>
    </xf>
    <xf numFmtId="1" fontId="7" fillId="0" borderId="0" xfId="0" applyNumberFormat="1" applyFont="1" applyAlignment="1">
      <alignment wrapText="1"/>
    </xf>
    <xf numFmtId="1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64" fontId="0" fillId="0" borderId="0" xfId="3" applyNumberFormat="1" applyFont="1"/>
    <xf numFmtId="175" fontId="0" fillId="0" borderId="0" xfId="4" applyFont="1"/>
    <xf numFmtId="175" fontId="0" fillId="0" borderId="0" xfId="4" applyFont="1" applyFill="1"/>
    <xf numFmtId="175" fontId="0" fillId="0" borderId="0" xfId="0" applyNumberFormat="1"/>
    <xf numFmtId="0" fontId="12" fillId="0" borderId="5" xfId="0" applyFont="1" applyBorder="1"/>
    <xf numFmtId="0" fontId="12" fillId="0" borderId="11" xfId="0" applyFont="1" applyBorder="1"/>
    <xf numFmtId="0" fontId="12" fillId="0" borderId="6" xfId="0" applyFont="1" applyBorder="1"/>
    <xf numFmtId="0" fontId="12" fillId="0" borderId="7" xfId="0" applyFont="1" applyBorder="1"/>
    <xf numFmtId="0" fontId="12" fillId="0" borderId="0" xfId="0" applyFont="1"/>
    <xf numFmtId="175" fontId="12" fillId="0" borderId="8" xfId="0" applyNumberFormat="1" applyFont="1" applyBorder="1"/>
    <xf numFmtId="0" fontId="12" fillId="0" borderId="12" xfId="0" applyFont="1" applyBorder="1"/>
    <xf numFmtId="0" fontId="12" fillId="0" borderId="13" xfId="0" applyFont="1" applyBorder="1"/>
    <xf numFmtId="0" fontId="12" fillId="0" borderId="14" xfId="0" applyFont="1" applyBorder="1"/>
    <xf numFmtId="0" fontId="0" fillId="0" borderId="11" xfId="0" applyBorder="1"/>
    <xf numFmtId="0" fontId="0" fillId="0" borderId="6" xfId="0" applyBorder="1"/>
    <xf numFmtId="0" fontId="0" fillId="0" borderId="13" xfId="0" applyBorder="1"/>
    <xf numFmtId="0" fontId="0" fillId="0" borderId="14" xfId="0" applyBorder="1"/>
    <xf numFmtId="0" fontId="0" fillId="5" borderId="0" xfId="0" applyFill="1" applyAlignment="1">
      <alignment horizontal="center"/>
    </xf>
    <xf numFmtId="171" fontId="0" fillId="0" borderId="0" xfId="0" applyNumberFormat="1" applyAlignment="1">
      <alignment wrapText="1"/>
    </xf>
    <xf numFmtId="1" fontId="0" fillId="4" borderId="0" xfId="0" applyNumberFormat="1" applyFill="1"/>
    <xf numFmtId="171" fontId="0" fillId="4" borderId="0" xfId="0" applyNumberFormat="1" applyFill="1"/>
    <xf numFmtId="172" fontId="0" fillId="4" borderId="0" xfId="0" applyNumberFormat="1" applyFill="1"/>
    <xf numFmtId="2" fontId="0" fillId="4" borderId="0" xfId="0" applyNumberFormat="1" applyFill="1"/>
    <xf numFmtId="164" fontId="0" fillId="4" borderId="0" xfId="0" applyNumberFormat="1" applyFill="1"/>
    <xf numFmtId="175" fontId="0" fillId="4" borderId="0" xfId="4" applyFont="1" applyFill="1"/>
    <xf numFmtId="0" fontId="0" fillId="0" borderId="15" xfId="0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0" borderId="16" xfId="0" applyBorder="1" applyAlignment="1">
      <alignment horizontal="center"/>
    </xf>
    <xf numFmtId="3" fontId="0" fillId="5" borderId="17" xfId="0" applyNumberFormat="1" applyFill="1" applyBorder="1" applyAlignment="1">
      <alignment horizontal="center"/>
    </xf>
    <xf numFmtId="0" fontId="0" fillId="0" borderId="10" xfId="0" applyBorder="1" applyAlignment="1">
      <alignment horizontal="center"/>
    </xf>
    <xf numFmtId="3" fontId="0" fillId="4" borderId="2" xfId="0" applyNumberFormat="1" applyFill="1" applyBorder="1" applyAlignment="1">
      <alignment horizontal="center"/>
    </xf>
  </cellXfs>
  <cellStyles count="5">
    <cellStyle name="Comma" xfId="2" builtinId="3"/>
    <cellStyle name="Comma 2" xfId="4" xr:uid="{242B733E-03EC-4AD5-962A-8EFA9F9E6C61}"/>
    <cellStyle name="Normal" xfId="0" builtinId="0"/>
    <cellStyle name="Normal 2" xfId="1" xr:uid="{BB9C548B-BD43-4705-9FC8-F4E0E953E802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D639E-94B2-46CE-BDC8-F591E9EB63CB}">
  <dimension ref="A6:E112"/>
  <sheetViews>
    <sheetView tabSelected="1" workbookViewId="0"/>
  </sheetViews>
  <sheetFormatPr defaultRowHeight="14.5"/>
  <cols>
    <col min="3" max="3" width="12.453125" bestFit="1" customWidth="1"/>
    <col min="4" max="4" width="10" bestFit="1" customWidth="1"/>
  </cols>
  <sheetData>
    <row r="6" spans="1:5">
      <c r="E6" s="7"/>
    </row>
    <row r="7" spans="1:5" ht="44.4" customHeight="1">
      <c r="A7" s="1" t="s">
        <v>0</v>
      </c>
      <c r="B7" s="2"/>
      <c r="E7" s="7"/>
    </row>
    <row r="8" spans="1:5">
      <c r="A8" s="3" t="s">
        <v>1</v>
      </c>
      <c r="B8" s="3" t="s">
        <v>2</v>
      </c>
      <c r="C8" s="3" t="s">
        <v>3</v>
      </c>
      <c r="D8" s="3" t="s">
        <v>4</v>
      </c>
      <c r="E8" s="7"/>
    </row>
    <row r="9" spans="1:5">
      <c r="A9" s="4">
        <v>17</v>
      </c>
      <c r="B9" s="5">
        <v>5.9999999999999995E-4</v>
      </c>
      <c r="C9" s="6">
        <v>100000</v>
      </c>
      <c r="D9" s="6">
        <v>59.999999999999993</v>
      </c>
      <c r="E9" s="7"/>
    </row>
    <row r="10" spans="1:5">
      <c r="A10" s="4">
        <v>18</v>
      </c>
      <c r="B10" s="5">
        <v>5.9399999999999579E-4</v>
      </c>
      <c r="C10" s="6">
        <v>99940</v>
      </c>
      <c r="D10" s="6">
        <v>59.364359999999579</v>
      </c>
      <c r="E10" s="7"/>
    </row>
    <row r="11" spans="1:5">
      <c r="A11" s="4">
        <v>19</v>
      </c>
      <c r="B11" s="5">
        <v>5.8700000000002836E-4</v>
      </c>
      <c r="C11" s="6">
        <v>99880.635639999993</v>
      </c>
      <c r="D11" s="6">
        <v>58.629933120682828</v>
      </c>
      <c r="E11" s="7"/>
    </row>
    <row r="12" spans="1:5">
      <c r="A12" s="4">
        <v>20</v>
      </c>
      <c r="B12" s="5">
        <v>5.8200000000005307E-4</v>
      </c>
      <c r="C12" s="6">
        <v>99822.00570687931</v>
      </c>
      <c r="D12" s="6">
        <v>58.096407321409053</v>
      </c>
      <c r="E12" s="7"/>
    </row>
    <row r="13" spans="1:5">
      <c r="A13" s="4">
        <v>21</v>
      </c>
      <c r="B13" s="5">
        <v>5.770000000001309E-4</v>
      </c>
      <c r="C13" s="6">
        <v>99763.909299557898</v>
      </c>
      <c r="D13" s="6">
        <v>57.563775665857968</v>
      </c>
      <c r="E13" s="7"/>
    </row>
    <row r="14" spans="1:5">
      <c r="A14" s="4">
        <v>22</v>
      </c>
      <c r="B14" s="5">
        <v>5.7200000000001347E-4</v>
      </c>
      <c r="C14" s="6">
        <v>99706.345523892043</v>
      </c>
      <c r="D14" s="6">
        <v>57.032029639667591</v>
      </c>
      <c r="E14" s="7"/>
    </row>
    <row r="15" spans="1:5">
      <c r="A15" s="4">
        <v>23</v>
      </c>
      <c r="B15" s="5">
        <v>5.6899999999996168E-4</v>
      </c>
      <c r="C15" s="6">
        <v>99649.313494252376</v>
      </c>
      <c r="D15" s="6">
        <v>56.70045937822578</v>
      </c>
      <c r="E15" s="7"/>
    </row>
    <row r="16" spans="1:5">
      <c r="A16" s="4">
        <v>24</v>
      </c>
      <c r="B16" s="5">
        <v>5.6700000000006084E-4</v>
      </c>
      <c r="C16" s="6">
        <v>99592.613034874157</v>
      </c>
      <c r="D16" s="6">
        <v>56.469011590779708</v>
      </c>
      <c r="E16" s="7"/>
    </row>
    <row r="17" spans="1:5">
      <c r="A17" s="4">
        <v>25</v>
      </c>
      <c r="B17" s="5">
        <v>5.6599999999987151E-4</v>
      </c>
      <c r="C17" s="6">
        <v>99536.14402328337</v>
      </c>
      <c r="D17" s="6">
        <v>56.337457517165596</v>
      </c>
      <c r="E17" s="7"/>
    </row>
    <row r="18" spans="1:5">
      <c r="A18" s="4">
        <v>26</v>
      </c>
      <c r="B18" s="5">
        <v>5.6700000000002365E-4</v>
      </c>
      <c r="C18" s="6">
        <v>99479.806565766208</v>
      </c>
      <c r="D18" s="6">
        <v>56.405050322791794</v>
      </c>
      <c r="E18" s="7"/>
    </row>
    <row r="19" spans="1:5">
      <c r="A19" s="4">
        <v>27</v>
      </c>
      <c r="B19" s="5">
        <v>5.6999999999995379E-4</v>
      </c>
      <c r="C19" s="6">
        <v>99423.401515443416</v>
      </c>
      <c r="D19" s="6">
        <v>56.671338863798155</v>
      </c>
      <c r="E19" s="7"/>
    </row>
    <row r="20" spans="1:5">
      <c r="A20" s="4">
        <v>28</v>
      </c>
      <c r="B20" s="5">
        <v>5.7399999999987355E-4</v>
      </c>
      <c r="C20" s="6">
        <v>99366.730176579615</v>
      </c>
      <c r="D20" s="6">
        <v>57.036503121344133</v>
      </c>
      <c r="E20" s="7"/>
    </row>
    <row r="21" spans="1:5">
      <c r="A21" s="4">
        <v>29</v>
      </c>
      <c r="B21" s="5">
        <v>5.7999999999993387E-4</v>
      </c>
      <c r="C21" s="6">
        <v>99309.69367345827</v>
      </c>
      <c r="D21" s="6">
        <v>57.599622330599232</v>
      </c>
      <c r="E21" s="7"/>
    </row>
    <row r="22" spans="1:5">
      <c r="A22" s="4">
        <v>30</v>
      </c>
      <c r="B22" s="5">
        <v>5.9000000000003754E-4</v>
      </c>
      <c r="C22" s="6">
        <v>99252.094051127671</v>
      </c>
      <c r="D22" s="6">
        <v>58.558735490169049</v>
      </c>
      <c r="E22" s="7"/>
    </row>
    <row r="23" spans="1:5">
      <c r="A23" s="4">
        <v>31</v>
      </c>
      <c r="B23" s="5">
        <v>6.020000000000812E-4</v>
      </c>
      <c r="C23" s="6">
        <v>99193.535315637506</v>
      </c>
      <c r="D23" s="6">
        <v>59.71450826002183</v>
      </c>
      <c r="E23" s="7"/>
    </row>
    <row r="24" spans="1:5">
      <c r="A24" s="4">
        <v>32</v>
      </c>
      <c r="B24" s="5">
        <v>6.1699999999995309E-4</v>
      </c>
      <c r="C24" s="6">
        <v>99133.820807377488</v>
      </c>
      <c r="D24" s="6">
        <v>61.165567438147256</v>
      </c>
      <c r="E24" s="7"/>
    </row>
    <row r="25" spans="1:5">
      <c r="A25" s="4">
        <v>33</v>
      </c>
      <c r="B25" s="5">
        <v>6.3599999999992547E-4</v>
      </c>
      <c r="C25" s="6">
        <v>99072.65523993934</v>
      </c>
      <c r="D25" s="6">
        <v>63.010208732594037</v>
      </c>
      <c r="E25" s="7"/>
    </row>
    <row r="26" spans="1:5">
      <c r="A26" s="4">
        <v>34</v>
      </c>
      <c r="B26" s="5">
        <v>6.6000000000001095E-4</v>
      </c>
      <c r="C26" s="6">
        <v>99009.645031206746</v>
      </c>
      <c r="D26" s="6">
        <v>65.346365720597532</v>
      </c>
      <c r="E26" s="7"/>
    </row>
    <row r="27" spans="1:5">
      <c r="A27" s="4">
        <v>35</v>
      </c>
      <c r="B27" s="5">
        <v>6.8900000000002683E-4</v>
      </c>
      <c r="C27" s="6">
        <v>98944.298665486145</v>
      </c>
      <c r="D27" s="6">
        <v>68.172621780522604</v>
      </c>
      <c r="E27" s="7"/>
    </row>
    <row r="28" spans="1:5">
      <c r="A28" s="4">
        <v>36</v>
      </c>
      <c r="B28" s="5">
        <v>7.2400000000002031E-4</v>
      </c>
      <c r="C28" s="6">
        <v>98876.126043705619</v>
      </c>
      <c r="D28" s="6">
        <v>71.586315255644877</v>
      </c>
      <c r="E28" s="7"/>
    </row>
    <row r="29" spans="1:5">
      <c r="A29" s="4">
        <v>37</v>
      </c>
      <c r="B29" s="5">
        <v>7.6500000000007205E-4</v>
      </c>
      <c r="C29" s="6">
        <v>98804.539728449978</v>
      </c>
      <c r="D29" s="6">
        <v>75.585472892271355</v>
      </c>
      <c r="E29" s="7"/>
    </row>
    <row r="30" spans="1:5">
      <c r="A30" s="4">
        <v>38</v>
      </c>
      <c r="B30" s="5">
        <v>8.1299999999992305E-4</v>
      </c>
      <c r="C30" s="6">
        <v>98728.954255557706</v>
      </c>
      <c r="D30" s="6">
        <v>80.266639809760818</v>
      </c>
      <c r="E30" s="7"/>
    </row>
    <row r="31" spans="1:5">
      <c r="A31" s="4">
        <v>39</v>
      </c>
      <c r="B31" s="5">
        <v>8.7000000000008544E-4</v>
      </c>
      <c r="C31" s="6">
        <v>98648.687615747942</v>
      </c>
      <c r="D31" s="6">
        <v>85.824358225709133</v>
      </c>
      <c r="E31" s="7"/>
    </row>
    <row r="32" spans="1:5">
      <c r="A32" s="4">
        <v>40</v>
      </c>
      <c r="B32" s="5">
        <v>9.3699999999987576E-4</v>
      </c>
      <c r="C32" s="6">
        <v>98562.863257522229</v>
      </c>
      <c r="D32" s="6">
        <v>92.353402872286082</v>
      </c>
      <c r="E32" s="7"/>
    </row>
    <row r="33" spans="1:5">
      <c r="A33" s="4">
        <v>41</v>
      </c>
      <c r="B33" s="5">
        <v>1.0139999999998718E-3</v>
      </c>
      <c r="C33" s="6">
        <v>98470.50985464995</v>
      </c>
      <c r="D33" s="6">
        <v>99.849096992602426</v>
      </c>
      <c r="E33" s="7"/>
    </row>
    <row r="34" spans="1:5">
      <c r="A34" s="4">
        <v>42</v>
      </c>
      <c r="B34" s="5">
        <v>1.1040000000000186E-3</v>
      </c>
      <c r="C34" s="6">
        <v>98370.660757657344</v>
      </c>
      <c r="D34" s="6">
        <v>108.60120947645554</v>
      </c>
      <c r="E34" s="7"/>
    </row>
    <row r="35" spans="1:5">
      <c r="A35" s="4">
        <v>43</v>
      </c>
      <c r="B35" s="5">
        <v>1.2079999999999012E-3</v>
      </c>
      <c r="C35" s="6">
        <v>98262.059548180885</v>
      </c>
      <c r="D35" s="6">
        <v>118.7005679341928</v>
      </c>
      <c r="E35" s="7"/>
    </row>
    <row r="36" spans="1:5">
      <c r="A36" s="4">
        <v>44</v>
      </c>
      <c r="B36" s="5">
        <v>1.3270000000000194E-3</v>
      </c>
      <c r="C36" s="6">
        <v>98143.358980246689</v>
      </c>
      <c r="D36" s="6">
        <v>130.23623736678925</v>
      </c>
      <c r="E36" s="7"/>
    </row>
    <row r="37" spans="1:5">
      <c r="A37" s="4">
        <v>45</v>
      </c>
      <c r="B37" s="5">
        <v>1.4649999999999626E-3</v>
      </c>
      <c r="C37" s="6">
        <v>98013.122742879903</v>
      </c>
      <c r="D37" s="6">
        <v>143.58922481831539</v>
      </c>
      <c r="E37" s="7"/>
    </row>
    <row r="38" spans="1:5">
      <c r="A38" s="4">
        <v>46</v>
      </c>
      <c r="B38" s="5">
        <v>1.6220000000000613E-3</v>
      </c>
      <c r="C38" s="6">
        <v>97869.533518061595</v>
      </c>
      <c r="D38" s="6">
        <v>158.74438336630192</v>
      </c>
      <c r="E38" s="7"/>
    </row>
    <row r="39" spans="1:5">
      <c r="A39" s="4">
        <v>47</v>
      </c>
      <c r="B39" s="5">
        <v>1.8019999999999542E-3</v>
      </c>
      <c r="C39" s="6">
        <v>97710.789134695297</v>
      </c>
      <c r="D39" s="6">
        <v>176.07484202071646</v>
      </c>
      <c r="E39" s="7"/>
    </row>
    <row r="40" spans="1:5">
      <c r="A40" s="4">
        <v>48</v>
      </c>
      <c r="B40" s="5">
        <v>2.0079999999999599E-3</v>
      </c>
      <c r="C40" s="6">
        <v>97534.714292674587</v>
      </c>
      <c r="D40" s="6">
        <v>195.84970629968666</v>
      </c>
      <c r="E40" s="7"/>
    </row>
    <row r="41" spans="1:5">
      <c r="A41" s="4">
        <v>49</v>
      </c>
      <c r="B41" s="5">
        <v>2.2410000000001075E-3</v>
      </c>
      <c r="C41" s="6">
        <v>97338.864586374897</v>
      </c>
      <c r="D41" s="6">
        <v>218.13639553807661</v>
      </c>
      <c r="E41" s="7"/>
    </row>
    <row r="42" spans="1:5">
      <c r="A42" s="4">
        <v>50</v>
      </c>
      <c r="B42" s="5">
        <v>2.5079999999998615E-3</v>
      </c>
      <c r="C42" s="6">
        <v>97120.728190836817</v>
      </c>
      <c r="D42" s="6">
        <v>243.57878630260529</v>
      </c>
      <c r="E42" s="7"/>
    </row>
    <row r="43" spans="1:5">
      <c r="A43" s="4">
        <v>51</v>
      </c>
      <c r="B43" s="5">
        <v>2.8089999999999665E-3</v>
      </c>
      <c r="C43" s="6">
        <v>96877.149404534211</v>
      </c>
      <c r="D43" s="6">
        <v>272.12791267733337</v>
      </c>
      <c r="E43" s="7"/>
    </row>
    <row r="44" spans="1:5">
      <c r="A44" s="4">
        <v>52</v>
      </c>
      <c r="B44" s="5">
        <v>3.1519999999999829E-3</v>
      </c>
      <c r="C44" s="6">
        <v>96605.021491856882</v>
      </c>
      <c r="D44" s="6">
        <v>304.49902774233124</v>
      </c>
      <c r="E44" s="7"/>
    </row>
    <row r="45" spans="1:5">
      <c r="A45" s="4">
        <v>53</v>
      </c>
      <c r="B45" s="5">
        <v>3.5389999999999042E-3</v>
      </c>
      <c r="C45" s="6">
        <v>96300.522464114547</v>
      </c>
      <c r="D45" s="6">
        <v>340.80754900049214</v>
      </c>
      <c r="E45" s="7"/>
    </row>
    <row r="46" spans="1:5">
      <c r="A46" s="4">
        <v>54</v>
      </c>
      <c r="B46" s="5">
        <v>3.9760000000000177E-3</v>
      </c>
      <c r="C46" s="6">
        <v>95959.714915114047</v>
      </c>
      <c r="D46" s="6">
        <v>381.53582650249513</v>
      </c>
      <c r="E46" s="7"/>
    </row>
    <row r="47" spans="1:5">
      <c r="A47" s="4">
        <v>55</v>
      </c>
      <c r="B47" s="5">
        <v>4.4690000000000294E-3</v>
      </c>
      <c r="C47" s="6">
        <v>95578.179088611549</v>
      </c>
      <c r="D47" s="6">
        <v>427.13888234700784</v>
      </c>
      <c r="E47" s="7"/>
    </row>
    <row r="48" spans="1:5">
      <c r="A48" s="4">
        <v>56</v>
      </c>
      <c r="B48" s="5">
        <v>5.0249999999998846E-3</v>
      </c>
      <c r="C48" s="6">
        <v>95151.040206264544</v>
      </c>
      <c r="D48" s="6">
        <v>478.13397703646837</v>
      </c>
      <c r="E48" s="7"/>
    </row>
    <row r="49" spans="1:5">
      <c r="A49" s="4">
        <v>57</v>
      </c>
      <c r="B49" s="5">
        <v>5.6499999999999519E-3</v>
      </c>
      <c r="C49" s="6">
        <v>94672.906229228072</v>
      </c>
      <c r="D49" s="6">
        <v>534.90192019513404</v>
      </c>
      <c r="E49" s="7"/>
    </row>
    <row r="50" spans="1:5">
      <c r="A50" s="4">
        <v>58</v>
      </c>
      <c r="B50" s="5">
        <v>6.3520000000000633E-3</v>
      </c>
      <c r="C50" s="6">
        <v>94138.004309032942</v>
      </c>
      <c r="D50" s="6">
        <v>597.96460337098324</v>
      </c>
      <c r="E50" s="7"/>
    </row>
    <row r="51" spans="1:5">
      <c r="A51" s="4">
        <v>59</v>
      </c>
      <c r="B51" s="5">
        <v>7.1400000000001063E-3</v>
      </c>
      <c r="C51" s="6">
        <v>93540.039705661955</v>
      </c>
      <c r="D51" s="6">
        <v>667.87588349843634</v>
      </c>
      <c r="E51" s="7"/>
    </row>
    <row r="52" spans="1:5">
      <c r="A52" s="4">
        <v>60</v>
      </c>
      <c r="B52" s="5">
        <v>8.022000000000069E-3</v>
      </c>
      <c r="C52" s="6">
        <v>92872.163822163522</v>
      </c>
      <c r="D52" s="6">
        <v>745.02049818140222</v>
      </c>
      <c r="E52" s="7"/>
    </row>
    <row r="53" spans="1:5">
      <c r="A53" s="4">
        <v>61</v>
      </c>
      <c r="B53" s="5">
        <v>9.0090000000001332E-3</v>
      </c>
      <c r="C53" s="6">
        <v>92127.14332398212</v>
      </c>
      <c r="D53" s="6">
        <v>829.97343420576715</v>
      </c>
      <c r="E53" s="7"/>
    </row>
    <row r="54" spans="1:5">
      <c r="A54" s="4">
        <v>62</v>
      </c>
      <c r="B54" s="5">
        <v>1.0111999999999927E-2</v>
      </c>
      <c r="C54" s="6">
        <v>91297.169889776356</v>
      </c>
      <c r="D54" s="6">
        <v>923.19698192541182</v>
      </c>
      <c r="E54" s="7"/>
    </row>
    <row r="55" spans="1:5">
      <c r="A55" s="4">
        <v>63</v>
      </c>
      <c r="B55" s="5">
        <v>1.1344000000000009E-2</v>
      </c>
      <c r="C55" s="6">
        <v>90373.972907850941</v>
      </c>
      <c r="D55" s="6">
        <v>1025.2023486666619</v>
      </c>
      <c r="E55" s="7"/>
    </row>
    <row r="56" spans="1:5">
      <c r="A56" s="4">
        <v>64</v>
      </c>
      <c r="B56" s="5">
        <v>1.271599999999987E-2</v>
      </c>
      <c r="C56" s="6">
        <v>89348.770559184282</v>
      </c>
      <c r="D56" s="6">
        <v>1136.1589664305757</v>
      </c>
      <c r="E56" s="7"/>
    </row>
    <row r="57" spans="1:5">
      <c r="A57" s="4">
        <v>65</v>
      </c>
      <c r="B57" s="5">
        <v>1.4243000000000096E-2</v>
      </c>
      <c r="C57" s="6">
        <v>88212.611592753703</v>
      </c>
      <c r="D57" s="6">
        <v>1256.4122269155994</v>
      </c>
      <c r="E57" s="7"/>
    </row>
    <row r="58" spans="1:5">
      <c r="A58" s="4">
        <v>66</v>
      </c>
      <c r="B58" s="5">
        <v>1.5940000000000044E-2</v>
      </c>
      <c r="C58" s="6">
        <v>86956.199365838111</v>
      </c>
      <c r="D58" s="6">
        <v>1386.0818178914633</v>
      </c>
      <c r="E58" s="7"/>
    </row>
    <row r="59" spans="1:5">
      <c r="A59" s="4">
        <v>67</v>
      </c>
      <c r="B59" s="5">
        <v>1.7823999999999889E-2</v>
      </c>
      <c r="C59" s="6">
        <v>85570.117547946647</v>
      </c>
      <c r="D59" s="6">
        <v>1525.2017751745916</v>
      </c>
      <c r="E59" s="7"/>
    </row>
    <row r="60" spans="1:5">
      <c r="A60" s="4">
        <v>68</v>
      </c>
      <c r="B60" s="5">
        <v>1.9912999999999938E-2</v>
      </c>
      <c r="C60" s="6">
        <v>84044.915772772059</v>
      </c>
      <c r="D60" s="6">
        <v>1673.5864077832048</v>
      </c>
      <c r="E60" s="7"/>
    </row>
    <row r="61" spans="1:5">
      <c r="A61" s="4">
        <v>69</v>
      </c>
      <c r="B61" s="5">
        <v>2.2225999999999965E-2</v>
      </c>
      <c r="C61" s="6">
        <v>82371.329364988851</v>
      </c>
      <c r="D61" s="6">
        <v>1830.7851664662394</v>
      </c>
      <c r="E61" s="7"/>
    </row>
    <row r="62" spans="1:5">
      <c r="A62" s="4">
        <v>70</v>
      </c>
      <c r="B62" s="5">
        <v>2.4782999999999972E-2</v>
      </c>
      <c r="C62" s="6">
        <v>80540.544198522606</v>
      </c>
      <c r="D62" s="6">
        <v>1996.0363068719835</v>
      </c>
      <c r="E62" s="7"/>
    </row>
    <row r="63" spans="1:5">
      <c r="A63" s="4">
        <v>71</v>
      </c>
      <c r="B63" s="5">
        <v>2.7606000000000047E-2</v>
      </c>
      <c r="C63" s="6">
        <v>78544.507891650617</v>
      </c>
      <c r="D63" s="6">
        <v>2168.2996848569105</v>
      </c>
      <c r="E63" s="7"/>
    </row>
    <row r="64" spans="1:5">
      <c r="A64" s="4">
        <v>72</v>
      </c>
      <c r="B64" s="5">
        <v>3.0718000000000009E-2</v>
      </c>
      <c r="C64" s="6">
        <v>76376.208206793701</v>
      </c>
      <c r="D64" s="6">
        <v>2346.1243636962895</v>
      </c>
      <c r="E64" s="7"/>
    </row>
    <row r="65" spans="1:5">
      <c r="A65" s="4">
        <v>73</v>
      </c>
      <c r="B65" s="5">
        <v>3.4144000000000015E-2</v>
      </c>
      <c r="C65" s="6">
        <v>74030.083843097411</v>
      </c>
      <c r="D65" s="6">
        <v>2527.6831827387191</v>
      </c>
      <c r="E65" s="7"/>
    </row>
    <row r="66" spans="1:5">
      <c r="A66" s="4">
        <v>74</v>
      </c>
      <c r="B66" s="5">
        <v>3.7911000000000035E-2</v>
      </c>
      <c r="C66" s="6">
        <v>71502.400660358689</v>
      </c>
      <c r="D66" s="6">
        <v>2710.7275114348608</v>
      </c>
      <c r="E66" s="7"/>
    </row>
    <row r="67" spans="1:5">
      <c r="A67" s="4">
        <v>75</v>
      </c>
      <c r="B67" s="5">
        <v>4.2045999999999965E-2</v>
      </c>
      <c r="C67" s="6">
        <v>68791.67314892383</v>
      </c>
      <c r="D67" s="6">
        <v>2892.4146892196491</v>
      </c>
      <c r="E67" s="7"/>
    </row>
    <row r="68" spans="1:5">
      <c r="A68" s="4">
        <v>76</v>
      </c>
      <c r="B68" s="5">
        <v>4.6578000000000043E-2</v>
      </c>
      <c r="C68" s="6">
        <v>65899.258459704186</v>
      </c>
      <c r="D68" s="6">
        <v>3069.4556605361045</v>
      </c>
      <c r="E68" s="7"/>
    </row>
    <row r="69" spans="1:5">
      <c r="A69" s="4">
        <v>77</v>
      </c>
      <c r="B69" s="5">
        <v>5.1537999999999966E-2</v>
      </c>
      <c r="C69" s="6">
        <v>62829.802799168079</v>
      </c>
      <c r="D69" s="6">
        <v>3238.1223766635221</v>
      </c>
      <c r="E69" s="7"/>
    </row>
    <row r="70" spans="1:5">
      <c r="A70" s="4">
        <v>78</v>
      </c>
      <c r="B70" s="5">
        <v>5.6955999999999958E-2</v>
      </c>
      <c r="C70" s="6">
        <v>59591.680422504556</v>
      </c>
      <c r="D70" s="6">
        <v>3394.103750144167</v>
      </c>
      <c r="E70" s="7"/>
    </row>
    <row r="71" spans="1:5">
      <c r="A71" s="4">
        <v>79</v>
      </c>
      <c r="B71" s="5">
        <v>6.2867000000000006E-2</v>
      </c>
      <c r="C71" s="6">
        <v>56197.576672360388</v>
      </c>
      <c r="D71" s="6">
        <v>3532.9730526612807</v>
      </c>
      <c r="E71" s="7"/>
    </row>
    <row r="72" spans="1:5">
      <c r="A72" s="4">
        <v>80</v>
      </c>
      <c r="B72" s="5">
        <v>6.9303000000000017E-2</v>
      </c>
      <c r="C72" s="6">
        <v>52664.603619699104</v>
      </c>
      <c r="D72" s="6">
        <v>3649.8150246560081</v>
      </c>
      <c r="E72" s="7"/>
    </row>
    <row r="73" spans="1:5">
      <c r="A73" s="4">
        <v>81</v>
      </c>
      <c r="B73" s="5">
        <v>7.6300000000000007E-2</v>
      </c>
      <c r="C73" s="6">
        <v>49014.788595043094</v>
      </c>
      <c r="D73" s="6">
        <v>3739.8283698017885</v>
      </c>
      <c r="E73" s="7"/>
    </row>
    <row r="74" spans="1:5">
      <c r="A74" s="4">
        <v>82</v>
      </c>
      <c r="B74" s="5">
        <v>8.3893000000000079E-2</v>
      </c>
      <c r="C74" s="6">
        <v>45274.960225241302</v>
      </c>
      <c r="D74" s="6">
        <v>3798.2522381761723</v>
      </c>
      <c r="E74" s="7"/>
    </row>
    <row r="75" spans="1:5">
      <c r="A75" s="4">
        <v>83</v>
      </c>
      <c r="B75" s="5">
        <v>9.2116999999999977E-2</v>
      </c>
      <c r="C75" s="6">
        <v>41476.707987065129</v>
      </c>
      <c r="D75" s="6">
        <v>3820.7099096444776</v>
      </c>
      <c r="E75" s="7"/>
    </row>
    <row r="76" spans="1:5">
      <c r="A76" s="4">
        <v>84</v>
      </c>
      <c r="B76" s="5">
        <v>0.10100699999999992</v>
      </c>
      <c r="C76" s="6">
        <v>37655.998077420649</v>
      </c>
      <c r="D76" s="6">
        <v>3803.5193978060242</v>
      </c>
      <c r="E76" s="7"/>
    </row>
    <row r="77" spans="1:5">
      <c r="A77" s="4">
        <v>85</v>
      </c>
      <c r="B77" s="5">
        <v>0.11060000000000006</v>
      </c>
      <c r="C77" s="6">
        <v>33852.478679614622</v>
      </c>
      <c r="D77" s="6">
        <v>3744.0841419653793</v>
      </c>
      <c r="E77" s="7"/>
    </row>
    <row r="78" spans="1:5">
      <c r="A78" s="4">
        <v>86</v>
      </c>
      <c r="B78" s="5">
        <v>0.12092900000000001</v>
      </c>
      <c r="C78" s="6">
        <v>30108.394537649241</v>
      </c>
      <c r="D78" s="6">
        <v>3640.9780430433852</v>
      </c>
      <c r="E78" s="7"/>
    </row>
    <row r="79" spans="1:5">
      <c r="A79" s="4">
        <v>87</v>
      </c>
      <c r="B79" s="5">
        <v>0.13202800000000009</v>
      </c>
      <c r="C79" s="6">
        <v>26467.416494605855</v>
      </c>
      <c r="D79" s="6">
        <v>3494.4400649498243</v>
      </c>
      <c r="E79" s="7"/>
    </row>
    <row r="80" spans="1:5">
      <c r="A80" s="4">
        <v>88</v>
      </c>
      <c r="B80" s="5">
        <v>0.14392899999999995</v>
      </c>
      <c r="C80" s="6">
        <v>22972.976429656032</v>
      </c>
      <c r="D80" s="6">
        <v>3306.4775245439619</v>
      </c>
      <c r="E80" s="7"/>
    </row>
    <row r="81" spans="1:5">
      <c r="A81" s="4">
        <v>89</v>
      </c>
      <c r="B81" s="5">
        <v>0.15666000000000002</v>
      </c>
      <c r="C81" s="6">
        <v>19666.498905112068</v>
      </c>
      <c r="D81" s="6">
        <v>3080.9537184748569</v>
      </c>
      <c r="E81" s="7"/>
    </row>
    <row r="82" spans="1:5">
      <c r="A82" s="4">
        <v>90</v>
      </c>
      <c r="B82" s="5">
        <v>0.17024699999999998</v>
      </c>
      <c r="C82" s="6">
        <v>16585.54518663721</v>
      </c>
      <c r="D82" s="6">
        <v>2823.6393113894246</v>
      </c>
      <c r="E82" s="7"/>
    </row>
    <row r="83" spans="1:5">
      <c r="A83" s="4">
        <v>91</v>
      </c>
      <c r="B83" s="5">
        <v>0.18471399999999996</v>
      </c>
      <c r="C83" s="6">
        <v>13761.905875247785</v>
      </c>
      <c r="D83" s="6">
        <v>2542.0166818405187</v>
      </c>
      <c r="E83" s="7"/>
    </row>
    <row r="84" spans="1:5">
      <c r="A84" s="4">
        <v>92</v>
      </c>
      <c r="B84" s="5">
        <v>0.20007900000000001</v>
      </c>
      <c r="C84" s="6">
        <v>11219.889193407267</v>
      </c>
      <c r="D84" s="6">
        <v>2244.8642099277326</v>
      </c>
      <c r="E84" s="7"/>
    </row>
    <row r="85" spans="1:5">
      <c r="A85" s="4">
        <v>93</v>
      </c>
      <c r="B85" s="5">
        <v>0.21635399999999999</v>
      </c>
      <c r="C85" s="6">
        <v>8975.0249834795341</v>
      </c>
      <c r="D85" s="6">
        <v>1941.7825552757311</v>
      </c>
      <c r="E85" s="7"/>
    </row>
    <row r="86" spans="1:5">
      <c r="A86" s="4">
        <v>94</v>
      </c>
      <c r="B86" s="5">
        <v>0.23354800000000003</v>
      </c>
      <c r="C86" s="6">
        <v>7033.2424282038028</v>
      </c>
      <c r="D86" s="6">
        <v>1642.5997026221419</v>
      </c>
      <c r="E86" s="7"/>
    </row>
    <row r="87" spans="1:5">
      <c r="A87" s="4">
        <v>95</v>
      </c>
      <c r="B87" s="5">
        <v>0.25166200000000005</v>
      </c>
      <c r="C87" s="6">
        <v>5390.6427255816607</v>
      </c>
      <c r="D87" s="6">
        <v>1356.6199296053321</v>
      </c>
      <c r="E87" s="7"/>
    </row>
    <row r="88" spans="1:5">
      <c r="A88" s="4">
        <v>96</v>
      </c>
      <c r="B88" s="5">
        <v>0.27068800000000004</v>
      </c>
      <c r="C88" s="6">
        <v>4034.0227959763288</v>
      </c>
      <c r="D88" s="6">
        <v>1091.9615625972406</v>
      </c>
      <c r="E88" s="7"/>
    </row>
    <row r="89" spans="1:5">
      <c r="A89" s="4">
        <v>97</v>
      </c>
      <c r="B89" s="5">
        <v>0.29061299999999995</v>
      </c>
      <c r="C89" s="6">
        <v>2942.0612333790882</v>
      </c>
      <c r="D89" s="6">
        <v>855.00124121599686</v>
      </c>
      <c r="E89" s="7"/>
    </row>
    <row r="90" spans="1:5">
      <c r="A90" s="4">
        <v>98</v>
      </c>
      <c r="B90" s="5">
        <v>0.31141400000000008</v>
      </c>
      <c r="C90" s="6">
        <v>2087.0599921630915</v>
      </c>
      <c r="D90" s="6">
        <v>649.93970039947715</v>
      </c>
      <c r="E90" s="7"/>
    </row>
    <row r="91" spans="1:5">
      <c r="A91" s="4">
        <v>99</v>
      </c>
      <c r="B91" s="5">
        <v>0.33305800000000008</v>
      </c>
      <c r="C91" s="6">
        <v>1437.1202917636142</v>
      </c>
      <c r="D91" s="6">
        <v>478.64441013420594</v>
      </c>
      <c r="E91" s="7"/>
    </row>
    <row r="92" spans="1:5">
      <c r="A92" s="4">
        <v>100</v>
      </c>
      <c r="B92" s="5">
        <v>0.35550499999999996</v>
      </c>
      <c r="C92" s="6">
        <v>958.47588162940826</v>
      </c>
      <c r="D92" s="6">
        <v>340.74296829866273</v>
      </c>
      <c r="E92" s="7"/>
    </row>
    <row r="93" spans="1:5">
      <c r="A93" s="4">
        <v>101</v>
      </c>
      <c r="B93" s="5">
        <v>0.37870200000000004</v>
      </c>
      <c r="C93" s="6">
        <v>617.73291333074553</v>
      </c>
      <c r="D93" s="6">
        <v>233.93668974418003</v>
      </c>
      <c r="E93" s="7"/>
    </row>
    <row r="94" spans="1:5">
      <c r="A94" s="4">
        <v>102</v>
      </c>
      <c r="B94" s="5">
        <v>0.40258799999999995</v>
      </c>
      <c r="C94" s="6">
        <v>383.79622358656547</v>
      </c>
      <c r="D94" s="6">
        <v>154.51175406126819</v>
      </c>
      <c r="E94" s="7"/>
    </row>
    <row r="95" spans="1:5">
      <c r="A95" s="4">
        <v>103</v>
      </c>
      <c r="B95" s="5">
        <v>0.42708999999999997</v>
      </c>
      <c r="C95" s="6">
        <v>229.28446952529728</v>
      </c>
      <c r="D95" s="6">
        <v>97.925104089559213</v>
      </c>
      <c r="E95" s="7"/>
    </row>
    <row r="96" spans="1:5">
      <c r="A96" s="4">
        <v>104</v>
      </c>
      <c r="B96" s="5">
        <v>0.45212699999999995</v>
      </c>
      <c r="C96" s="6">
        <v>131.35936543573808</v>
      </c>
      <c r="D96" s="6">
        <v>59.391115816363943</v>
      </c>
      <c r="E96" s="7"/>
    </row>
    <row r="97" spans="1:5">
      <c r="A97" s="4">
        <v>105</v>
      </c>
      <c r="B97" s="5">
        <v>0.47760800000000003</v>
      </c>
      <c r="C97" s="6">
        <v>71.968249619374149</v>
      </c>
      <c r="D97" s="6">
        <v>34.372611764210049</v>
      </c>
      <c r="E97" s="7"/>
    </row>
    <row r="98" spans="1:5">
      <c r="A98" s="4">
        <v>106</v>
      </c>
      <c r="B98" s="5">
        <v>0.50343199999999999</v>
      </c>
      <c r="C98" s="6">
        <v>37.5956378551641</v>
      </c>
      <c r="D98" s="6">
        <v>18.926847156700973</v>
      </c>
      <c r="E98" s="7"/>
    </row>
    <row r="99" spans="1:5">
      <c r="A99" s="4">
        <v>107</v>
      </c>
      <c r="B99" s="5">
        <v>0.52949299999999999</v>
      </c>
      <c r="C99" s="6">
        <v>18.668790698463127</v>
      </c>
      <c r="D99" s="6">
        <v>9.884993993301336</v>
      </c>
      <c r="E99" s="7"/>
    </row>
    <row r="100" spans="1:5">
      <c r="A100" s="4">
        <v>108</v>
      </c>
      <c r="B100" s="5">
        <v>0.555674</v>
      </c>
      <c r="C100" s="6">
        <v>8.7837967051617909</v>
      </c>
      <c r="D100" s="6">
        <v>4.8809274503440729</v>
      </c>
      <c r="E100" s="7"/>
    </row>
    <row r="101" spans="1:5">
      <c r="A101" s="4">
        <v>109</v>
      </c>
      <c r="B101" s="5">
        <v>0.58185699999999996</v>
      </c>
      <c r="C101" s="6">
        <v>3.902869254817718</v>
      </c>
      <c r="D101" s="6">
        <v>2.2709117960004725</v>
      </c>
      <c r="E101" s="7"/>
    </row>
    <row r="102" spans="1:5">
      <c r="A102" s="4">
        <v>110</v>
      </c>
      <c r="B102" s="5">
        <v>0.60791799999999996</v>
      </c>
      <c r="C102" s="6">
        <v>1.6319574588172454</v>
      </c>
      <c r="D102" s="6">
        <v>0.99209631444926216</v>
      </c>
      <c r="E102" s="7"/>
    </row>
    <row r="103" spans="1:5">
      <c r="A103" s="4">
        <v>111</v>
      </c>
      <c r="B103" s="5">
        <v>0.63373100000000004</v>
      </c>
      <c r="C103" s="6">
        <v>0.63986114436798325</v>
      </c>
      <c r="D103" s="6">
        <v>0.4054998428814664</v>
      </c>
      <c r="E103" s="7"/>
    </row>
    <row r="104" spans="1:5">
      <c r="A104" s="4">
        <v>112</v>
      </c>
      <c r="B104" s="5">
        <v>0.65917099999999995</v>
      </c>
      <c r="C104" s="6">
        <v>0.23436130148651685</v>
      </c>
      <c r="D104" s="6">
        <v>0.15448417346216878</v>
      </c>
      <c r="E104" s="7"/>
    </row>
    <row r="105" spans="1:5">
      <c r="A105" s="4">
        <v>113</v>
      </c>
      <c r="B105" s="5">
        <v>0.684114</v>
      </c>
      <c r="C105" s="6">
        <v>7.9877128024348071E-2</v>
      </c>
      <c r="D105" s="6">
        <v>5.4645061561248855E-2</v>
      </c>
      <c r="E105" s="7"/>
    </row>
    <row r="106" spans="1:5">
      <c r="A106" s="4">
        <v>114</v>
      </c>
      <c r="B106" s="5">
        <v>0.70844200000000002</v>
      </c>
      <c r="C106" s="6">
        <v>2.5232066463099216E-2</v>
      </c>
      <c r="D106" s="6">
        <v>1.7875455629250935E-2</v>
      </c>
      <c r="E106" s="7"/>
    </row>
    <row r="107" spans="1:5">
      <c r="A107" s="4">
        <v>115</v>
      </c>
      <c r="B107" s="5">
        <v>0.73204199999999997</v>
      </c>
      <c r="C107" s="6">
        <v>7.3566108338482816E-3</v>
      </c>
      <c r="D107" s="6">
        <v>5.3853481080319635E-3</v>
      </c>
      <c r="E107" s="7"/>
    </row>
    <row r="108" spans="1:5">
      <c r="A108" s="4">
        <v>116</v>
      </c>
      <c r="B108" s="5">
        <v>0.75480899999999995</v>
      </c>
      <c r="C108" s="6">
        <v>1.9712627258163182E-3</v>
      </c>
      <c r="D108" s="6">
        <v>1.4879268468106892E-3</v>
      </c>
      <c r="E108" s="7"/>
    </row>
    <row r="109" spans="1:5">
      <c r="A109" s="4">
        <v>117</v>
      </c>
      <c r="B109" s="5">
        <v>0.77664800000000001</v>
      </c>
      <c r="C109" s="6">
        <v>4.8333587900562902E-4</v>
      </c>
      <c r="D109" s="6">
        <v>3.7538184375796377E-4</v>
      </c>
      <c r="E109" s="7"/>
    </row>
    <row r="110" spans="1:5">
      <c r="A110" s="4">
        <v>118</v>
      </c>
      <c r="B110" s="5">
        <v>0.79747699999999999</v>
      </c>
      <c r="C110" s="6">
        <v>1.0795403524766525E-4</v>
      </c>
      <c r="D110" s="6">
        <v>8.6090860167202342E-5</v>
      </c>
      <c r="E110" s="7"/>
    </row>
    <row r="111" spans="1:5">
      <c r="A111" s="4">
        <v>119</v>
      </c>
      <c r="B111" s="5">
        <v>0.81722500000000009</v>
      </c>
      <c r="C111" s="6">
        <v>2.1863175080462908E-5</v>
      </c>
      <c r="D111" s="6">
        <v>1.7867133255131302E-5</v>
      </c>
    </row>
    <row r="112" spans="1:5">
      <c r="A112" s="4">
        <v>120</v>
      </c>
      <c r="B112" s="5">
        <v>1</v>
      </c>
      <c r="C112" s="6">
        <v>3.9960418253316066E-6</v>
      </c>
      <c r="D112" s="6">
        <v>3.9960418253316066E-6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B3A52-0932-47FE-A4F4-4C1613BB23A3}">
  <dimension ref="A1:Q112"/>
  <sheetViews>
    <sheetView topLeftCell="H7" workbookViewId="0">
      <selection activeCell="J21" sqref="J21"/>
    </sheetView>
  </sheetViews>
  <sheetFormatPr defaultRowHeight="14.5"/>
  <cols>
    <col min="1" max="1" width="10" bestFit="1" customWidth="1"/>
    <col min="2" max="2" width="12" bestFit="1" customWidth="1"/>
    <col min="3" max="3" width="12.453125" bestFit="1" customWidth="1"/>
    <col min="4" max="4" width="10" bestFit="1" customWidth="1"/>
    <col min="6" max="6" width="14.1796875" bestFit="1" customWidth="1"/>
    <col min="7" max="7" width="13.1796875" customWidth="1"/>
    <col min="8" max="8" width="12" customWidth="1"/>
    <col min="9" max="9" width="10.54296875" bestFit="1" customWidth="1"/>
    <col min="10" max="10" width="13.453125" customWidth="1"/>
    <col min="11" max="11" width="14.6328125" bestFit="1" customWidth="1"/>
    <col min="12" max="12" width="13.81640625" customWidth="1"/>
    <col min="13" max="13" width="11.453125" customWidth="1"/>
    <col min="14" max="14" width="13.6328125" customWidth="1"/>
    <col min="15" max="15" width="9.54296875" bestFit="1" customWidth="1"/>
    <col min="16" max="16" width="10.81640625" customWidth="1"/>
    <col min="17" max="17" width="11.36328125" bestFit="1" customWidth="1"/>
  </cols>
  <sheetData>
    <row r="1" spans="1:17">
      <c r="A1" t="s">
        <v>104</v>
      </c>
    </row>
    <row r="2" spans="1:17">
      <c r="A2" t="s">
        <v>105</v>
      </c>
      <c r="F2" s="68" t="s">
        <v>12</v>
      </c>
      <c r="G2" s="69">
        <v>0.04</v>
      </c>
      <c r="H2" s="70" t="s">
        <v>85</v>
      </c>
      <c r="K2" s="47" t="s">
        <v>106</v>
      </c>
      <c r="L2" s="115">
        <v>2844</v>
      </c>
      <c r="M2" t="s">
        <v>107</v>
      </c>
    </row>
    <row r="3" spans="1:17">
      <c r="A3" t="s">
        <v>108</v>
      </c>
      <c r="F3" s="68" t="s">
        <v>109</v>
      </c>
      <c r="G3" s="72">
        <f>1/(1+G2)</f>
        <v>0.96153846153846145</v>
      </c>
      <c r="I3" s="18">
        <v>1</v>
      </c>
      <c r="K3" s="47" t="s">
        <v>110</v>
      </c>
      <c r="L3" s="73">
        <v>1000</v>
      </c>
      <c r="M3" t="s">
        <v>111</v>
      </c>
    </row>
    <row r="4" spans="1:17">
      <c r="A4" t="s">
        <v>112</v>
      </c>
      <c r="B4" s="38"/>
      <c r="F4" s="47" t="s">
        <v>113</v>
      </c>
      <c r="G4" s="71">
        <v>100000</v>
      </c>
      <c r="H4" t="s">
        <v>114</v>
      </c>
      <c r="K4" s="47" t="s">
        <v>115</v>
      </c>
      <c r="L4" s="73">
        <v>50</v>
      </c>
      <c r="M4" t="s">
        <v>116</v>
      </c>
    </row>
    <row r="5" spans="1:17">
      <c r="A5">
        <f>B5*1.04^23</f>
        <v>0</v>
      </c>
      <c r="F5" s="74"/>
      <c r="G5" s="75"/>
      <c r="J5" s="17"/>
      <c r="K5" s="47" t="s">
        <v>117</v>
      </c>
      <c r="L5" s="73">
        <v>500</v>
      </c>
      <c r="M5" t="s">
        <v>118</v>
      </c>
    </row>
    <row r="6" spans="1:17">
      <c r="E6" s="7"/>
      <c r="F6" s="24"/>
    </row>
    <row r="7" spans="1:17" s="18" customFormat="1">
      <c r="A7" s="76" t="s">
        <v>0</v>
      </c>
      <c r="B7" s="77"/>
      <c r="E7" s="78"/>
      <c r="F7" s="79"/>
      <c r="G7" s="80">
        <v>1</v>
      </c>
      <c r="H7" s="80">
        <v>4</v>
      </c>
      <c r="I7" s="81">
        <v>4</v>
      </c>
      <c r="J7" s="80">
        <v>2</v>
      </c>
      <c r="K7" s="80">
        <v>2</v>
      </c>
      <c r="L7" s="80">
        <v>1</v>
      </c>
      <c r="M7" s="80">
        <v>1</v>
      </c>
      <c r="N7" s="80">
        <v>1</v>
      </c>
      <c r="O7" s="80">
        <v>1</v>
      </c>
      <c r="P7" s="80">
        <v>2</v>
      </c>
      <c r="Q7" s="80">
        <v>1</v>
      </c>
    </row>
    <row r="8" spans="1:17" ht="43.5">
      <c r="A8" s="3" t="s">
        <v>1</v>
      </c>
      <c r="B8" s="3" t="s">
        <v>2</v>
      </c>
      <c r="C8" s="3" t="s">
        <v>3</v>
      </c>
      <c r="D8" s="3" t="s">
        <v>4</v>
      </c>
      <c r="E8" s="7"/>
      <c r="F8" s="82" t="s">
        <v>119</v>
      </c>
      <c r="G8" t="s">
        <v>120</v>
      </c>
      <c r="H8" s="2" t="s">
        <v>121</v>
      </c>
      <c r="I8" t="s">
        <v>122</v>
      </c>
      <c r="J8" s="2" t="s">
        <v>123</v>
      </c>
      <c r="K8" s="83" t="s">
        <v>124</v>
      </c>
      <c r="L8" s="84" t="s">
        <v>125</v>
      </c>
      <c r="M8" s="83" t="s">
        <v>126</v>
      </c>
      <c r="N8" s="83" t="s">
        <v>127</v>
      </c>
      <c r="O8" s="83" t="s">
        <v>128</v>
      </c>
      <c r="P8" s="83" t="s">
        <v>129</v>
      </c>
      <c r="Q8" s="83" t="s">
        <v>130</v>
      </c>
    </row>
    <row r="9" spans="1:17">
      <c r="A9" s="4">
        <v>17</v>
      </c>
      <c r="B9" s="5">
        <v>5.9999999999999995E-4</v>
      </c>
      <c r="C9" s="6">
        <v>100000</v>
      </c>
      <c r="D9" s="6">
        <v>59.999999999999993</v>
      </c>
      <c r="E9" s="7"/>
      <c r="F9" s="82">
        <v>1</v>
      </c>
      <c r="G9" s="23">
        <f>C30/$C$29</f>
        <v>0.99923499999999987</v>
      </c>
      <c r="H9" s="24">
        <v>1</v>
      </c>
      <c r="I9" s="23">
        <f>$G$3^F9*D29/$C$29</f>
        <v>7.3557692307699239E-4</v>
      </c>
      <c r="J9" s="38">
        <f>$L$2*H9</f>
        <v>2844</v>
      </c>
      <c r="K9" s="38">
        <f>($G$4+$L$5)*I9</f>
        <v>73.925480769237737</v>
      </c>
      <c r="L9" s="38">
        <f>$L$3</f>
        <v>1000</v>
      </c>
      <c r="M9">
        <v>0</v>
      </c>
      <c r="N9" s="38">
        <f>$L$9+M9</f>
        <v>1000</v>
      </c>
      <c r="O9" s="38">
        <f>J9-K9-N9</f>
        <v>1770.0745192307622</v>
      </c>
      <c r="P9" s="85">
        <f>(1+$G$2)^F9/G9</f>
        <v>1.0407962090999616</v>
      </c>
      <c r="Q9" s="86">
        <f>O9*P9</f>
        <v>1842.2868494398144</v>
      </c>
    </row>
    <row r="10" spans="1:17">
      <c r="A10" s="4">
        <v>18</v>
      </c>
      <c r="B10" s="5">
        <v>5.9399999999999579E-4</v>
      </c>
      <c r="C10" s="6">
        <v>99940</v>
      </c>
      <c r="D10" s="6">
        <v>59.364359999999579</v>
      </c>
      <c r="E10" s="7"/>
      <c r="F10" s="82">
        <v>2</v>
      </c>
      <c r="G10" s="23">
        <f t="shared" ref="G10:G31" si="0">C31/$C$29</f>
        <v>0.99842262194499998</v>
      </c>
      <c r="H10" s="24">
        <f t="shared" ref="H10:H31" si="1">H9+G9*$G$3^F9</f>
        <v>1.9608028846153844</v>
      </c>
      <c r="I10" s="23">
        <f>I9+$G$3^F10*D30/$C$29</f>
        <v>1.4866661011464478E-3</v>
      </c>
      <c r="J10" s="38">
        <f t="shared" ref="J10:J31" si="2">$L$2*H10</f>
        <v>5576.5234038461531</v>
      </c>
      <c r="K10" s="38">
        <f t="shared" ref="K10:K31" si="3">($G$4+$L$5)*I10</f>
        <v>149.40994316521801</v>
      </c>
      <c r="L10" s="38"/>
      <c r="M10" s="38">
        <f>$L$4*(H10-1)</f>
        <v>48.040144230769222</v>
      </c>
      <c r="N10" s="38">
        <f t="shared" ref="N10:N31" si="4">$L$9+M10</f>
        <v>1048.0401442307693</v>
      </c>
      <c r="O10" s="38">
        <f t="shared" ref="O10:O31" si="5">J10-K10-N10</f>
        <v>4379.0733164501662</v>
      </c>
      <c r="P10" s="85">
        <f>(1+$G$2)^F10/G10</f>
        <v>1.0833087875082041</v>
      </c>
      <c r="Q10" s="86">
        <f t="shared" ref="Q10:Q31" si="6">O10*P10</f>
        <v>4743.8886048531594</v>
      </c>
    </row>
    <row r="11" spans="1:17">
      <c r="A11" s="4">
        <v>19</v>
      </c>
      <c r="B11" s="5">
        <v>5.8700000000002836E-4</v>
      </c>
      <c r="C11" s="6">
        <v>99880.635639999993</v>
      </c>
      <c r="D11" s="6">
        <v>58.629933120682828</v>
      </c>
      <c r="E11" s="7"/>
      <c r="F11" s="82">
        <v>3</v>
      </c>
      <c r="G11" s="23">
        <f t="shared" si="0"/>
        <v>0.99755399426390767</v>
      </c>
      <c r="H11" s="24">
        <f t="shared" si="1"/>
        <v>2.8839007229521076</v>
      </c>
      <c r="I11" s="23">
        <f t="shared" ref="I11:I31" si="7">I10+$G$3^F11*D31/$C$29</f>
        <v>2.2588729466782053E-3</v>
      </c>
      <c r="J11" s="38">
        <f t="shared" si="2"/>
        <v>8201.8136560757939</v>
      </c>
      <c r="K11" s="38">
        <f t="shared" si="3"/>
        <v>227.01673114115962</v>
      </c>
      <c r="L11" s="38"/>
      <c r="M11" s="38">
        <f t="shared" ref="M11:M31" si="8">$L$4*(H11-1)</f>
        <v>94.195036147605379</v>
      </c>
      <c r="N11" s="38">
        <f t="shared" si="4"/>
        <v>1094.1950361476054</v>
      </c>
      <c r="O11" s="38">
        <f t="shared" si="5"/>
        <v>6880.6018887870287</v>
      </c>
      <c r="P11" s="85">
        <f t="shared" ref="P11:P31" si="9">(1+$G$2)^F11/G11</f>
        <v>1.1276221702966907</v>
      </c>
      <c r="Q11" s="86">
        <f t="shared" si="6"/>
        <v>7758.719234781538</v>
      </c>
    </row>
    <row r="12" spans="1:17">
      <c r="A12" s="4">
        <v>20</v>
      </c>
      <c r="B12" s="5">
        <v>5.8200000000005307E-4</v>
      </c>
      <c r="C12" s="6">
        <v>99822.00570687931</v>
      </c>
      <c r="D12" s="6">
        <v>58.096407321409053</v>
      </c>
      <c r="E12" s="7"/>
      <c r="F12" s="82">
        <v>4</v>
      </c>
      <c r="G12" s="23">
        <f t="shared" si="0"/>
        <v>0.99661928617128259</v>
      </c>
      <c r="H12" s="24">
        <f t="shared" si="1"/>
        <v>3.7707225914303479</v>
      </c>
      <c r="I12" s="23">
        <f t="shared" si="7"/>
        <v>3.0578653416435909E-3</v>
      </c>
      <c r="J12" s="38">
        <f t="shared" si="2"/>
        <v>10723.935050027909</v>
      </c>
      <c r="K12" s="38">
        <f t="shared" si="3"/>
        <v>307.31546683518087</v>
      </c>
      <c r="L12" s="38"/>
      <c r="M12" s="38">
        <f t="shared" si="8"/>
        <v>138.53612957151739</v>
      </c>
      <c r="N12" s="38">
        <f t="shared" si="4"/>
        <v>1138.5361295715174</v>
      </c>
      <c r="O12" s="38">
        <f t="shared" si="5"/>
        <v>9278.0834536212096</v>
      </c>
      <c r="P12" s="85">
        <f t="shared" si="9"/>
        <v>1.1738269329447273</v>
      </c>
      <c r="Q12" s="86">
        <f t="shared" si="6"/>
        <v>10890.864243969407</v>
      </c>
    </row>
    <row r="13" spans="1:17">
      <c r="A13" s="4">
        <v>21</v>
      </c>
      <c r="B13" s="5">
        <v>5.770000000001309E-4</v>
      </c>
      <c r="C13" s="6">
        <v>99763.909299557898</v>
      </c>
      <c r="D13" s="6">
        <v>57.563775665857968</v>
      </c>
      <c r="E13" s="7"/>
      <c r="F13" s="82">
        <v>5</v>
      </c>
      <c r="G13" s="23">
        <f t="shared" si="0"/>
        <v>0.995608714215105</v>
      </c>
      <c r="H13" s="24">
        <f t="shared" si="1"/>
        <v>4.6226369341106137</v>
      </c>
      <c r="I13" s="23">
        <f t="shared" si="7"/>
        <v>3.8884818257567452E-3</v>
      </c>
      <c r="J13" s="38">
        <f t="shared" si="2"/>
        <v>13146.779440610586</v>
      </c>
      <c r="K13" s="38">
        <f t="shared" si="3"/>
        <v>390.79242348855291</v>
      </c>
      <c r="L13" s="38"/>
      <c r="M13" s="38">
        <f t="shared" si="8"/>
        <v>181.13184670553068</v>
      </c>
      <c r="N13" s="38">
        <f t="shared" si="4"/>
        <v>1181.1318467055307</v>
      </c>
      <c r="O13" s="38">
        <f t="shared" si="5"/>
        <v>11574.855170416504</v>
      </c>
      <c r="P13" s="85">
        <f t="shared" si="9"/>
        <v>1.222019137668112</v>
      </c>
      <c r="Q13" s="86">
        <f t="shared" si="6"/>
        <v>14144.694533985663</v>
      </c>
    </row>
    <row r="14" spans="1:17">
      <c r="A14" s="4">
        <v>22</v>
      </c>
      <c r="B14" s="5">
        <v>5.7200000000001347E-4</v>
      </c>
      <c r="C14" s="6">
        <v>99706.345523892043</v>
      </c>
      <c r="D14" s="6">
        <v>57.032029639667591</v>
      </c>
      <c r="E14" s="7"/>
      <c r="F14" s="82">
        <v>6</v>
      </c>
      <c r="G14" s="23">
        <f t="shared" si="0"/>
        <v>0.99450956219461151</v>
      </c>
      <c r="H14" s="24">
        <f t="shared" si="1"/>
        <v>5.440954724049833</v>
      </c>
      <c r="I14" s="23">
        <f t="shared" si="7"/>
        <v>4.7571576335383925E-3</v>
      </c>
      <c r="J14" s="38">
        <f t="shared" si="2"/>
        <v>15474.075235197724</v>
      </c>
      <c r="K14" s="38">
        <f t="shared" si="3"/>
        <v>478.09434217060846</v>
      </c>
      <c r="L14" s="38"/>
      <c r="M14" s="38">
        <f t="shared" si="8"/>
        <v>222.04773620249165</v>
      </c>
      <c r="N14" s="38">
        <f t="shared" si="4"/>
        <v>1222.0477362024917</v>
      </c>
      <c r="O14" s="38">
        <f t="shared" si="5"/>
        <v>13773.933156824623</v>
      </c>
      <c r="P14" s="85">
        <f t="shared" si="9"/>
        <v>1.2723045273730564</v>
      </c>
      <c r="Q14" s="86">
        <f t="shared" si="6"/>
        <v>17524.637515161823</v>
      </c>
    </row>
    <row r="15" spans="1:17">
      <c r="A15" s="4">
        <v>23</v>
      </c>
      <c r="B15" s="5">
        <v>5.6899999999996168E-4</v>
      </c>
      <c r="C15" s="6">
        <v>99649.313494252376</v>
      </c>
      <c r="D15" s="6">
        <v>56.70045937822578</v>
      </c>
      <c r="E15" s="7"/>
      <c r="F15" s="82">
        <v>7</v>
      </c>
      <c r="G15" s="23">
        <f t="shared" si="0"/>
        <v>0.99330819464348041</v>
      </c>
      <c r="H15" s="24">
        <f t="shared" si="1"/>
        <v>6.2269300770297615</v>
      </c>
      <c r="I15" s="23">
        <f t="shared" si="7"/>
        <v>5.6700982358457736E-3</v>
      </c>
      <c r="J15" s="38">
        <f t="shared" si="2"/>
        <v>17709.389139072642</v>
      </c>
      <c r="K15" s="38">
        <f t="shared" si="3"/>
        <v>569.8448727025002</v>
      </c>
      <c r="L15" s="38"/>
      <c r="M15" s="38">
        <f t="shared" si="8"/>
        <v>261.34650385148808</v>
      </c>
      <c r="N15" s="38">
        <f t="shared" si="4"/>
        <v>1261.346503851488</v>
      </c>
      <c r="O15" s="38">
        <f t="shared" si="5"/>
        <v>15878.197762518656</v>
      </c>
      <c r="P15" s="85">
        <f t="shared" si="9"/>
        <v>1.3247970633204695</v>
      </c>
      <c r="Q15" s="86">
        <f t="shared" si="6"/>
        <v>21035.389766606364</v>
      </c>
    </row>
    <row r="16" spans="1:17">
      <c r="A16" s="4">
        <v>24</v>
      </c>
      <c r="B16" s="5">
        <v>5.6700000000006084E-4</v>
      </c>
      <c r="C16" s="6">
        <v>99592.613034874157</v>
      </c>
      <c r="D16" s="6">
        <v>56.469011590779708</v>
      </c>
      <c r="E16" s="7"/>
      <c r="F16" s="82">
        <v>8</v>
      </c>
      <c r="G16" s="23">
        <f t="shared" si="0"/>
        <v>0.99199007466918854</v>
      </c>
      <c r="H16" s="24">
        <f t="shared" si="1"/>
        <v>6.9817626681389244</v>
      </c>
      <c r="I16" s="23">
        <f t="shared" si="7"/>
        <v>6.6332355900783442E-3</v>
      </c>
      <c r="J16" s="38">
        <f t="shared" si="2"/>
        <v>19856.133028187101</v>
      </c>
      <c r="K16" s="38">
        <f t="shared" si="3"/>
        <v>666.64017680287361</v>
      </c>
      <c r="L16" s="38"/>
      <c r="M16" s="38">
        <f t="shared" si="8"/>
        <v>299.08813340694621</v>
      </c>
      <c r="N16" s="38">
        <f t="shared" si="4"/>
        <v>1299.0881334069463</v>
      </c>
      <c r="O16" s="38">
        <f t="shared" si="5"/>
        <v>17890.404717977282</v>
      </c>
      <c r="P16" s="85">
        <f t="shared" si="9"/>
        <v>1.3796197011967768</v>
      </c>
      <c r="Q16" s="86">
        <f t="shared" si="6"/>
        <v>24681.954811305222</v>
      </c>
    </row>
    <row r="17" spans="1:17">
      <c r="A17" s="4">
        <v>25</v>
      </c>
      <c r="B17" s="5">
        <v>5.6599999999987151E-4</v>
      </c>
      <c r="C17" s="6">
        <v>99536.14402328337</v>
      </c>
      <c r="D17" s="6">
        <v>56.337457517165596</v>
      </c>
      <c r="E17" s="7"/>
      <c r="F17" s="82">
        <v>9</v>
      </c>
      <c r="G17" s="23">
        <f t="shared" si="0"/>
        <v>0.99053680920979836</v>
      </c>
      <c r="H17" s="24">
        <f t="shared" si="1"/>
        <v>7.7066000991588863</v>
      </c>
      <c r="I17" s="23">
        <f t="shared" si="7"/>
        <v>7.6542806251208607E-3</v>
      </c>
      <c r="J17" s="38">
        <f t="shared" si="2"/>
        <v>21917.570682007874</v>
      </c>
      <c r="K17" s="38">
        <f t="shared" si="3"/>
        <v>769.25520282464652</v>
      </c>
      <c r="L17" s="38"/>
      <c r="M17" s="38">
        <f t="shared" si="8"/>
        <v>335.33000495794431</v>
      </c>
      <c r="N17" s="38">
        <f t="shared" si="4"/>
        <v>1335.3300049579443</v>
      </c>
      <c r="O17" s="38">
        <f t="shared" si="5"/>
        <v>19812.985474225283</v>
      </c>
      <c r="P17" s="85">
        <f t="shared" si="9"/>
        <v>1.4369095617526153</v>
      </c>
      <c r="Q17" s="86">
        <f t="shared" si="6"/>
        <v>28469.468274779985</v>
      </c>
    </row>
    <row r="18" spans="1:17">
      <c r="A18" s="4">
        <v>26</v>
      </c>
      <c r="B18" s="5">
        <v>5.6700000000002365E-4</v>
      </c>
      <c r="C18" s="6">
        <v>99479.806565766208</v>
      </c>
      <c r="D18" s="6">
        <v>56.405050322791794</v>
      </c>
      <c r="E18" s="7"/>
      <c r="F18" s="82">
        <v>10</v>
      </c>
      <c r="G18" s="23">
        <f t="shared" si="0"/>
        <v>0.98893015850526</v>
      </c>
      <c r="H18" s="24">
        <f t="shared" si="1"/>
        <v>8.4025381224122686</v>
      </c>
      <c r="I18" s="23">
        <f t="shared" si="7"/>
        <v>8.739676272925696E-3</v>
      </c>
      <c r="J18" s="38">
        <f t="shared" si="2"/>
        <v>23896.818420140491</v>
      </c>
      <c r="K18" s="38">
        <f t="shared" si="3"/>
        <v>878.33746542903248</v>
      </c>
      <c r="L18" s="38"/>
      <c r="M18" s="38">
        <f t="shared" si="8"/>
        <v>370.12690612061346</v>
      </c>
      <c r="N18" s="38">
        <f t="shared" si="4"/>
        <v>1370.1269061206135</v>
      </c>
      <c r="O18" s="38">
        <f t="shared" si="5"/>
        <v>21648.354048590845</v>
      </c>
      <c r="P18" s="85">
        <f t="shared" si="9"/>
        <v>1.4968137761676639</v>
      </c>
      <c r="Q18" s="86">
        <f t="shared" si="6"/>
        <v>32403.554571285797</v>
      </c>
    </row>
    <row r="19" spans="1:17">
      <c r="A19" s="4">
        <v>27</v>
      </c>
      <c r="B19" s="5">
        <v>5.6999999999995379E-4</v>
      </c>
      <c r="C19" s="6">
        <v>99423.401515443416</v>
      </c>
      <c r="D19" s="6">
        <v>56.671338863798155</v>
      </c>
      <c r="E19" s="7"/>
      <c r="F19" s="82">
        <v>11</v>
      </c>
      <c r="G19" s="23">
        <f t="shared" si="0"/>
        <v>0.98714810635963368</v>
      </c>
      <c r="H19" s="24">
        <f t="shared" si="1"/>
        <v>9.0706239029696398</v>
      </c>
      <c r="I19" s="23">
        <f t="shared" si="7"/>
        <v>9.8972633657760344E-3</v>
      </c>
      <c r="J19" s="38">
        <f t="shared" si="2"/>
        <v>25796.854380045657</v>
      </c>
      <c r="K19" s="38">
        <f t="shared" si="3"/>
        <v>994.67496826049148</v>
      </c>
      <c r="L19" s="38"/>
      <c r="M19" s="38">
        <f t="shared" si="8"/>
        <v>403.53119514848197</v>
      </c>
      <c r="N19" s="38">
        <f t="shared" si="4"/>
        <v>1403.5311951484819</v>
      </c>
      <c r="O19" s="38">
        <f t="shared" si="5"/>
        <v>23398.648216636684</v>
      </c>
      <c r="P19" s="85">
        <f t="shared" si="9"/>
        <v>1.559496539979413</v>
      </c>
      <c r="Q19" s="86">
        <f t="shared" si="6"/>
        <v>36490.110934040371</v>
      </c>
    </row>
    <row r="20" spans="1:17">
      <c r="A20" s="4">
        <v>28</v>
      </c>
      <c r="B20" s="5">
        <v>5.7399999999987355E-4</v>
      </c>
      <c r="C20" s="6">
        <v>99366.730176579615</v>
      </c>
      <c r="D20" s="6">
        <v>57.036503121344133</v>
      </c>
      <c r="E20" s="7"/>
      <c r="F20" s="82">
        <v>12</v>
      </c>
      <c r="G20" s="23">
        <f t="shared" si="0"/>
        <v>0.98516591296206346</v>
      </c>
      <c r="H20" s="24">
        <f t="shared" si="1"/>
        <v>9.7118564894896462</v>
      </c>
      <c r="I20" s="23">
        <f t="shared" si="7"/>
        <v>1.1135335513595405E-2</v>
      </c>
      <c r="J20" s="38">
        <f t="shared" si="2"/>
        <v>27620.519856108553</v>
      </c>
      <c r="K20" s="38">
        <f t="shared" si="3"/>
        <v>1119.1012191163381</v>
      </c>
      <c r="L20" s="38"/>
      <c r="M20" s="38">
        <f t="shared" si="8"/>
        <v>435.59282447448231</v>
      </c>
      <c r="N20" s="38">
        <f t="shared" si="4"/>
        <v>1435.5928244744823</v>
      </c>
      <c r="O20" s="38">
        <f t="shared" si="5"/>
        <v>25065.825812517731</v>
      </c>
      <c r="P20" s="85">
        <f t="shared" si="9"/>
        <v>1.6251396820601667</v>
      </c>
      <c r="Q20" s="86">
        <f t="shared" si="6"/>
        <v>40735.468191530585</v>
      </c>
    </row>
    <row r="21" spans="1:17">
      <c r="A21" s="4">
        <v>29</v>
      </c>
      <c r="B21" s="5">
        <v>5.7999999999993387E-4</v>
      </c>
      <c r="C21" s="6">
        <v>99309.69367345827</v>
      </c>
      <c r="D21" s="6">
        <v>57.599622330599232</v>
      </c>
      <c r="E21" s="7"/>
      <c r="F21" s="82">
        <v>13</v>
      </c>
      <c r="G21" s="23">
        <f t="shared" si="0"/>
        <v>0.98295815615111537</v>
      </c>
      <c r="H21" s="24">
        <f t="shared" si="1"/>
        <v>10.327188212072603</v>
      </c>
      <c r="I21" s="23">
        <f t="shared" si="7"/>
        <v>1.2461257042738165E-2</v>
      </c>
      <c r="J21" s="38">
        <f t="shared" si="2"/>
        <v>29370.523275134481</v>
      </c>
      <c r="K21" s="38">
        <f t="shared" si="3"/>
        <v>1252.3563327951856</v>
      </c>
      <c r="L21" s="38"/>
      <c r="M21" s="38">
        <f t="shared" si="8"/>
        <v>466.35941060363012</v>
      </c>
      <c r="N21" s="38">
        <f t="shared" si="4"/>
        <v>1466.3594106036301</v>
      </c>
      <c r="O21" s="38">
        <f t="shared" si="5"/>
        <v>26651.807531735667</v>
      </c>
      <c r="P21" s="85">
        <f t="shared" si="9"/>
        <v>1.6939413920020503</v>
      </c>
      <c r="Q21" s="86">
        <f t="shared" si="6"/>
        <v>45146.599949679046</v>
      </c>
    </row>
    <row r="22" spans="1:17">
      <c r="A22" s="4">
        <v>30</v>
      </c>
      <c r="B22" s="5">
        <v>5.9000000000003754E-4</v>
      </c>
      <c r="C22" s="6">
        <v>99252.094051127671</v>
      </c>
      <c r="D22" s="6">
        <v>58.558735490169049</v>
      </c>
      <c r="E22" s="7"/>
      <c r="F22" s="82">
        <v>14</v>
      </c>
      <c r="G22" s="23">
        <f t="shared" si="0"/>
        <v>0.98049289709548848</v>
      </c>
      <c r="H22" s="24">
        <f t="shared" si="1"/>
        <v>10.917527408411686</v>
      </c>
      <c r="I22" s="23">
        <f t="shared" si="7"/>
        <v>1.3884882720063493E-2</v>
      </c>
      <c r="J22" s="38">
        <f t="shared" si="2"/>
        <v>31049.447949522837</v>
      </c>
      <c r="K22" s="38">
        <f t="shared" si="3"/>
        <v>1395.430713366381</v>
      </c>
      <c r="L22" s="38"/>
      <c r="M22" s="38">
        <f t="shared" si="8"/>
        <v>495.87637042058429</v>
      </c>
      <c r="N22" s="38">
        <f t="shared" si="4"/>
        <v>1495.8763704205844</v>
      </c>
      <c r="O22" s="38">
        <f t="shared" si="5"/>
        <v>28158.14086573587</v>
      </c>
      <c r="P22" s="85">
        <f t="shared" si="9"/>
        <v>1.7661284979550032</v>
      </c>
      <c r="Q22" s="86">
        <f t="shared" si="6"/>
        <v>49730.895032407483</v>
      </c>
    </row>
    <row r="23" spans="1:17">
      <c r="A23" s="4">
        <v>31</v>
      </c>
      <c r="B23" s="5">
        <v>6.020000000000812E-4</v>
      </c>
      <c r="C23" s="6">
        <v>99193.535315637506</v>
      </c>
      <c r="D23" s="6">
        <v>59.71450826002183</v>
      </c>
      <c r="E23" s="7"/>
      <c r="F23" s="82">
        <v>15</v>
      </c>
      <c r="G23" s="23">
        <f t="shared" si="0"/>
        <v>0.97773869254754742</v>
      </c>
      <c r="H23" s="24">
        <f t="shared" si="1"/>
        <v>11.483737625368095</v>
      </c>
      <c r="I23" s="23">
        <f t="shared" si="7"/>
        <v>1.5414194738746698E-2</v>
      </c>
      <c r="J23" s="38">
        <f t="shared" si="2"/>
        <v>32659.749806546861</v>
      </c>
      <c r="K23" s="38">
        <f t="shared" si="3"/>
        <v>1549.1265712440431</v>
      </c>
      <c r="L23" s="38"/>
      <c r="M23" s="38">
        <f t="shared" si="8"/>
        <v>524.1868812684047</v>
      </c>
      <c r="N23" s="38">
        <f t="shared" si="4"/>
        <v>1524.1868812684047</v>
      </c>
      <c r="O23" s="38">
        <f t="shared" si="5"/>
        <v>29586.436354034413</v>
      </c>
      <c r="P23" s="85">
        <f t="shared" si="9"/>
        <v>1.8419476688750731</v>
      </c>
      <c r="Q23" s="86">
        <f t="shared" si="6"/>
        <v>54496.667472634406</v>
      </c>
    </row>
    <row r="24" spans="1:17">
      <c r="A24" s="4">
        <v>32</v>
      </c>
      <c r="B24" s="5">
        <v>6.1699999999995309E-4</v>
      </c>
      <c r="C24" s="6">
        <v>99133.820807377488</v>
      </c>
      <c r="D24" s="6">
        <v>61.165567438147256</v>
      </c>
      <c r="E24" s="7"/>
      <c r="F24" s="82">
        <v>16</v>
      </c>
      <c r="G24" s="23">
        <f t="shared" si="0"/>
        <v>0.97465686018863751</v>
      </c>
      <c r="H24" s="24">
        <f t="shared" si="1"/>
        <v>12.026641214269036</v>
      </c>
      <c r="I24" s="23">
        <f t="shared" si="7"/>
        <v>1.7059610231261849E-2</v>
      </c>
      <c r="J24" s="38">
        <f t="shared" si="2"/>
        <v>34203.76761338114</v>
      </c>
      <c r="K24" s="38">
        <f t="shared" si="3"/>
        <v>1714.490828241816</v>
      </c>
      <c r="L24" s="38"/>
      <c r="M24" s="38">
        <f t="shared" si="8"/>
        <v>551.33206071345182</v>
      </c>
      <c r="N24" s="38">
        <f t="shared" si="4"/>
        <v>1551.3320607134519</v>
      </c>
      <c r="O24" s="38">
        <f t="shared" si="5"/>
        <v>30937.944724425874</v>
      </c>
      <c r="P24" s="85">
        <f t="shared" si="9"/>
        <v>1.9216827195621362</v>
      </c>
      <c r="Q24" s="86">
        <f t="shared" si="6"/>
        <v>59452.913755697758</v>
      </c>
    </row>
    <row r="25" spans="1:17">
      <c r="A25" s="4">
        <v>33</v>
      </c>
      <c r="B25" s="5">
        <v>6.3599999999992547E-4</v>
      </c>
      <c r="C25" s="6">
        <v>99072.65523993934</v>
      </c>
      <c r="D25" s="6">
        <v>63.010208732594037</v>
      </c>
      <c r="E25" s="7"/>
      <c r="F25" s="82">
        <v>17</v>
      </c>
      <c r="G25" s="23">
        <f t="shared" si="0"/>
        <v>0.97120754956042987</v>
      </c>
      <c r="H25" s="24">
        <f t="shared" si="1"/>
        <v>12.54701848041204</v>
      </c>
      <c r="I25" s="23">
        <f t="shared" si="7"/>
        <v>1.8830394024415737E-2</v>
      </c>
      <c r="J25" s="38">
        <f t="shared" si="2"/>
        <v>35683.72055829184</v>
      </c>
      <c r="K25" s="38">
        <f t="shared" si="3"/>
        <v>1892.4545994537816</v>
      </c>
      <c r="L25" s="38"/>
      <c r="M25" s="38">
        <f t="shared" si="8"/>
        <v>577.35092402060206</v>
      </c>
      <c r="N25" s="38">
        <f t="shared" si="4"/>
        <v>1577.3509240206022</v>
      </c>
      <c r="O25" s="38">
        <f t="shared" si="5"/>
        <v>32213.915034817452</v>
      </c>
      <c r="P25" s="85">
        <f t="shared" si="9"/>
        <v>2.0056480166756367</v>
      </c>
      <c r="Q25" s="86">
        <f t="shared" si="6"/>
        <v>64609.774798939099</v>
      </c>
    </row>
    <row r="26" spans="1:17">
      <c r="A26" s="4">
        <v>34</v>
      </c>
      <c r="B26" s="5">
        <v>6.6000000000001095E-4</v>
      </c>
      <c r="C26" s="6">
        <v>99009.645031206746</v>
      </c>
      <c r="D26" s="6">
        <v>65.346365720597532</v>
      </c>
      <c r="E26" s="7"/>
      <c r="F26" s="82">
        <v>18</v>
      </c>
      <c r="G26" s="23">
        <f t="shared" si="0"/>
        <v>0.96734602834337757</v>
      </c>
      <c r="H26" s="24">
        <f t="shared" si="1"/>
        <v>13.045610452525622</v>
      </c>
      <c r="I26" s="23">
        <f t="shared" si="7"/>
        <v>2.073654948703459E-2</v>
      </c>
      <c r="J26" s="38">
        <f t="shared" si="2"/>
        <v>37101.716126982872</v>
      </c>
      <c r="K26" s="38">
        <f t="shared" si="3"/>
        <v>2084.0232234469763</v>
      </c>
      <c r="L26" s="38"/>
      <c r="M26" s="38">
        <f t="shared" si="8"/>
        <v>602.28052262628114</v>
      </c>
      <c r="N26" s="38">
        <f>$L$9+M26</f>
        <v>1602.2805226262813</v>
      </c>
      <c r="O26" s="38">
        <f t="shared" si="5"/>
        <v>33415.41238090962</v>
      </c>
      <c r="P26" s="7">
        <f t="shared" si="9"/>
        <v>2.0942004784449599</v>
      </c>
      <c r="Q26" s="87">
        <f t="shared" si="6"/>
        <v>69978.572595536563</v>
      </c>
    </row>
    <row r="27" spans="1:17">
      <c r="A27" s="4">
        <v>35</v>
      </c>
      <c r="B27" s="5">
        <v>6.8900000000002683E-4</v>
      </c>
      <c r="C27" s="6">
        <v>98944.298665486145</v>
      </c>
      <c r="D27" s="6">
        <v>68.172621780522604</v>
      </c>
      <c r="E27" s="7"/>
      <c r="F27" s="82">
        <v>19</v>
      </c>
      <c r="G27" s="23">
        <f t="shared" si="0"/>
        <v>0.96302295894271106</v>
      </c>
      <c r="H27" s="24">
        <f t="shared" si="1"/>
        <v>13.523119654864525</v>
      </c>
      <c r="I27" s="23">
        <f t="shared" si="7"/>
        <v>2.2788461626700517E-2</v>
      </c>
      <c r="J27" s="38">
        <f t="shared" si="2"/>
        <v>38459.752298434709</v>
      </c>
      <c r="K27" s="38">
        <f t="shared" si="3"/>
        <v>2290.2403934834019</v>
      </c>
      <c r="L27" s="38"/>
      <c r="M27" s="38">
        <f t="shared" si="8"/>
        <v>626.15598274322622</v>
      </c>
      <c r="N27" s="38">
        <f t="shared" si="4"/>
        <v>1626.1559827432261</v>
      </c>
      <c r="O27" s="38">
        <f t="shared" si="5"/>
        <v>34543.35592220808</v>
      </c>
      <c r="P27" s="85">
        <f t="shared" si="9"/>
        <v>2.1877455323669057</v>
      </c>
      <c r="Q27" s="86">
        <f t="shared" si="6"/>
        <v>75572.072591770615</v>
      </c>
    </row>
    <row r="28" spans="1:17">
      <c r="A28" s="4">
        <v>36</v>
      </c>
      <c r="B28" s="5">
        <v>7.2400000000002031E-4</v>
      </c>
      <c r="C28" s="6">
        <v>98876.126043705619</v>
      </c>
      <c r="D28" s="6">
        <v>71.586315255644877</v>
      </c>
      <c r="E28" s="7"/>
      <c r="F28" s="82">
        <v>20</v>
      </c>
      <c r="G28" s="23">
        <f t="shared" si="0"/>
        <v>0.95818376857402399</v>
      </c>
      <c r="H28" s="24">
        <f t="shared" si="1"/>
        <v>13.980211206512264</v>
      </c>
      <c r="I28" s="23">
        <f t="shared" si="7"/>
        <v>2.4997004941152284E-2</v>
      </c>
      <c r="J28" s="38">
        <f t="shared" si="2"/>
        <v>39759.72067132088</v>
      </c>
      <c r="K28" s="38">
        <f t="shared" si="3"/>
        <v>2512.1989965858047</v>
      </c>
      <c r="L28" s="38"/>
      <c r="M28" s="38">
        <f t="shared" si="8"/>
        <v>649.01056032561314</v>
      </c>
      <c r="N28" s="38">
        <f t="shared" si="4"/>
        <v>1649.0105603256131</v>
      </c>
      <c r="O28" s="38">
        <f t="shared" si="5"/>
        <v>35598.511114409463</v>
      </c>
      <c r="P28" s="85">
        <f t="shared" si="9"/>
        <v>2.2867462535858509</v>
      </c>
      <c r="Q28" s="86">
        <f t="shared" si="6"/>
        <v>81404.76192411012</v>
      </c>
    </row>
    <row r="29" spans="1:17">
      <c r="A29" s="4">
        <v>37</v>
      </c>
      <c r="B29" s="5">
        <v>7.6500000000007205E-4</v>
      </c>
      <c r="C29" s="6">
        <v>98804.539728449978</v>
      </c>
      <c r="D29" s="6">
        <v>75.585472892271355</v>
      </c>
      <c r="E29" s="7"/>
      <c r="F29" s="82">
        <v>21</v>
      </c>
      <c r="G29" s="23">
        <f t="shared" si="0"/>
        <v>0.9527700302815808</v>
      </c>
      <c r="H29" s="24">
        <f t="shared" si="1"/>
        <v>14.417513770551407</v>
      </c>
      <c r="I29" s="23">
        <f t="shared" si="7"/>
        <v>2.7372735216941842E-2</v>
      </c>
      <c r="J29" s="38">
        <f t="shared" si="2"/>
        <v>41003.409163448203</v>
      </c>
      <c r="K29" s="38">
        <f t="shared" si="3"/>
        <v>2750.959889302655</v>
      </c>
      <c r="L29" s="38"/>
      <c r="M29" s="38">
        <f t="shared" si="8"/>
        <v>670.87568852757033</v>
      </c>
      <c r="N29" s="38">
        <f t="shared" si="4"/>
        <v>1670.8756885275702</v>
      </c>
      <c r="O29" s="38">
        <f t="shared" si="5"/>
        <v>36581.573585617974</v>
      </c>
      <c r="P29" s="85">
        <f t="shared" si="9"/>
        <v>2.3917293746963195</v>
      </c>
      <c r="Q29" s="86">
        <f t="shared" si="6"/>
        <v>87493.224117337479</v>
      </c>
    </row>
    <row r="30" spans="1:17">
      <c r="A30" s="4">
        <v>38</v>
      </c>
      <c r="B30" s="5">
        <v>8.1299999999992305E-4</v>
      </c>
      <c r="C30" s="6">
        <v>98728.954255557706</v>
      </c>
      <c r="D30" s="6">
        <v>80.266639809760818</v>
      </c>
      <c r="E30" s="7"/>
      <c r="F30" s="82">
        <v>22</v>
      </c>
      <c r="G30" s="23">
        <f t="shared" si="0"/>
        <v>0.94671803504923213</v>
      </c>
      <c r="H30" s="24">
        <f t="shared" si="1"/>
        <v>14.835621274928641</v>
      </c>
      <c r="I30" s="23">
        <f t="shared" si="7"/>
        <v>2.9926407205215121E-2</v>
      </c>
      <c r="J30" s="38">
        <f t="shared" si="2"/>
        <v>42192.506905897055</v>
      </c>
      <c r="K30" s="38">
        <f t="shared" si="3"/>
        <v>3007.6039241241197</v>
      </c>
      <c r="L30" s="38"/>
      <c r="M30" s="38">
        <f t="shared" si="8"/>
        <v>691.7810637464321</v>
      </c>
      <c r="N30" s="38">
        <f t="shared" si="4"/>
        <v>1691.7810637464322</v>
      </c>
      <c r="O30" s="38">
        <f t="shared" si="5"/>
        <v>37493.121918026496</v>
      </c>
      <c r="P30" s="85">
        <f t="shared" si="9"/>
        <v>2.5032995081600049</v>
      </c>
      <c r="Q30" s="86">
        <f t="shared" si="6"/>
        <v>93856.513656778829</v>
      </c>
    </row>
    <row r="31" spans="1:17">
      <c r="A31" s="4">
        <v>39</v>
      </c>
      <c r="B31" s="5">
        <v>8.7000000000008544E-4</v>
      </c>
      <c r="C31" s="6">
        <v>98648.687615747942</v>
      </c>
      <c r="D31" s="6">
        <v>85.824358225709133</v>
      </c>
      <c r="E31" s="7"/>
      <c r="F31" s="82">
        <v>23</v>
      </c>
      <c r="G31" s="23">
        <f t="shared" si="0"/>
        <v>0.93995846827898055</v>
      </c>
      <c r="H31" s="24">
        <f t="shared" si="1"/>
        <v>15.235094049456938</v>
      </c>
      <c r="I31" s="23">
        <f t="shared" si="7"/>
        <v>3.266894144572674E-2</v>
      </c>
      <c r="J31" s="38">
        <f t="shared" si="2"/>
        <v>43328.607476655532</v>
      </c>
      <c r="K31" s="38">
        <f t="shared" si="3"/>
        <v>3283.2286152955376</v>
      </c>
      <c r="L31" s="38"/>
      <c r="M31" s="38">
        <f t="shared" si="8"/>
        <v>711.75470247284693</v>
      </c>
      <c r="N31" s="38">
        <f t="shared" si="4"/>
        <v>1711.7547024728469</v>
      </c>
      <c r="O31" s="38">
        <f t="shared" si="5"/>
        <v>38333.624158887149</v>
      </c>
      <c r="P31" s="85">
        <f t="shared" si="9"/>
        <v>2.6221536656592117</v>
      </c>
      <c r="Q31" s="86">
        <f t="shared" si="6"/>
        <v>100516.65310622845</v>
      </c>
    </row>
    <row r="32" spans="1:17">
      <c r="A32" s="4">
        <v>40</v>
      </c>
      <c r="B32" s="5">
        <v>9.3699999999987576E-4</v>
      </c>
      <c r="C32" s="6">
        <v>98562.863257522229</v>
      </c>
      <c r="D32" s="6">
        <v>92.353402872286082</v>
      </c>
      <c r="E32" s="7"/>
      <c r="F32" s="24"/>
      <c r="I32" s="23"/>
    </row>
    <row r="33" spans="1:17">
      <c r="A33" s="4">
        <v>41</v>
      </c>
      <c r="B33" s="5">
        <v>1.0139999999998718E-3</v>
      </c>
      <c r="C33" s="6">
        <v>98470.50985464995</v>
      </c>
      <c r="D33" s="6">
        <v>99.849096992602426</v>
      </c>
      <c r="E33" s="7"/>
      <c r="F33" s="24"/>
    </row>
    <row r="34" spans="1:17">
      <c r="A34" s="4">
        <v>42</v>
      </c>
      <c r="B34" s="5">
        <v>1.1040000000000186E-3</v>
      </c>
      <c r="C34" s="6">
        <v>98370.660757657344</v>
      </c>
      <c r="D34" s="6">
        <v>108.60120947645554</v>
      </c>
      <c r="E34" s="7"/>
      <c r="F34" s="24"/>
      <c r="Q34" s="88"/>
    </row>
    <row r="35" spans="1:17">
      <c r="A35" s="4">
        <v>43</v>
      </c>
      <c r="B35" s="5">
        <v>1.2079999999999012E-3</v>
      </c>
      <c r="C35" s="6">
        <v>98262.059548180885</v>
      </c>
      <c r="D35" s="6">
        <v>118.7005679341928</v>
      </c>
      <c r="E35" s="7"/>
      <c r="F35" s="24"/>
    </row>
    <row r="36" spans="1:17">
      <c r="A36" s="4">
        <v>44</v>
      </c>
      <c r="B36" s="5">
        <v>1.3270000000000194E-3</v>
      </c>
      <c r="C36" s="6">
        <v>98143.358980246689</v>
      </c>
      <c r="D36" s="6">
        <v>130.23623736678925</v>
      </c>
      <c r="E36" s="7"/>
      <c r="F36" s="24"/>
    </row>
    <row r="37" spans="1:17">
      <c r="A37" s="4">
        <v>45</v>
      </c>
      <c r="B37" s="5">
        <v>1.4649999999999626E-3</v>
      </c>
      <c r="C37" s="6">
        <v>98013.122742879903</v>
      </c>
      <c r="D37" s="6">
        <v>143.58922481831539</v>
      </c>
      <c r="E37" s="7"/>
      <c r="F37" s="24"/>
    </row>
    <row r="38" spans="1:17">
      <c r="A38" s="4">
        <v>46</v>
      </c>
      <c r="B38" s="5">
        <v>1.6220000000000613E-3</v>
      </c>
      <c r="C38" s="6">
        <v>97869.533518061595</v>
      </c>
      <c r="D38" s="6">
        <v>158.74438336630192</v>
      </c>
      <c r="E38" s="7"/>
      <c r="F38" s="24"/>
    </row>
    <row r="39" spans="1:17">
      <c r="A39" s="4">
        <v>47</v>
      </c>
      <c r="B39" s="5">
        <v>1.8019999999999542E-3</v>
      </c>
      <c r="C39" s="6">
        <v>97710.789134695297</v>
      </c>
      <c r="D39" s="6">
        <v>176.07484202071646</v>
      </c>
      <c r="E39" s="7"/>
      <c r="F39" s="24"/>
    </row>
    <row r="40" spans="1:17">
      <c r="A40" s="4">
        <v>48</v>
      </c>
      <c r="B40" s="5">
        <v>2.0079999999999599E-3</v>
      </c>
      <c r="C40" s="6">
        <v>97534.714292674587</v>
      </c>
      <c r="D40" s="6">
        <v>195.84970629968666</v>
      </c>
      <c r="E40" s="7"/>
      <c r="F40" s="24"/>
    </row>
    <row r="41" spans="1:17">
      <c r="A41" s="4">
        <v>49</v>
      </c>
      <c r="B41" s="5">
        <v>2.2410000000001075E-3</v>
      </c>
      <c r="C41" s="6">
        <v>97338.864586374897</v>
      </c>
      <c r="D41" s="6">
        <v>218.13639553807661</v>
      </c>
      <c r="E41" s="7"/>
      <c r="F41" s="24"/>
    </row>
    <row r="42" spans="1:17">
      <c r="A42" s="4">
        <v>50</v>
      </c>
      <c r="B42" s="5">
        <v>2.5079999999998615E-3</v>
      </c>
      <c r="C42" s="6">
        <v>97120.728190836817</v>
      </c>
      <c r="D42" s="6">
        <v>243.57878630260529</v>
      </c>
      <c r="E42" s="7"/>
      <c r="F42" s="24"/>
    </row>
    <row r="43" spans="1:17">
      <c r="A43" s="4">
        <v>51</v>
      </c>
      <c r="B43" s="5">
        <v>2.8089999999999665E-3</v>
      </c>
      <c r="C43" s="6">
        <v>96877.149404534211</v>
      </c>
      <c r="D43" s="6">
        <v>272.12791267733337</v>
      </c>
      <c r="E43" s="7"/>
      <c r="F43" s="24"/>
      <c r="I43" s="23">
        <f>B2-I31</f>
        <v>-3.266894144572674E-2</v>
      </c>
    </row>
    <row r="44" spans="1:17">
      <c r="A44" s="4">
        <v>52</v>
      </c>
      <c r="B44" s="5">
        <v>3.1519999999999829E-3</v>
      </c>
      <c r="C44" s="6">
        <v>96605.021491856882</v>
      </c>
      <c r="D44" s="6">
        <v>304.49902774233124</v>
      </c>
      <c r="E44" s="7"/>
      <c r="F44" s="24"/>
      <c r="I44" s="23">
        <f>C52/C29*1.04^-23</f>
        <v>0.38136590280592847</v>
      </c>
    </row>
    <row r="45" spans="1:17">
      <c r="A45" s="4">
        <v>53</v>
      </c>
      <c r="B45" s="5">
        <v>3.5389999999999042E-3</v>
      </c>
      <c r="C45" s="6">
        <v>96300.522464114547</v>
      </c>
      <c r="D45" s="6">
        <v>340.80754900049214</v>
      </c>
      <c r="E45" s="7"/>
      <c r="F45" s="24"/>
    </row>
    <row r="46" spans="1:17">
      <c r="A46" s="4">
        <v>54</v>
      </c>
      <c r="B46" s="5">
        <v>3.9760000000000177E-3</v>
      </c>
      <c r="C46" s="6">
        <v>95959.714915114047</v>
      </c>
      <c r="D46" s="6">
        <v>381.53582650249513</v>
      </c>
      <c r="E46" s="7"/>
      <c r="F46" s="24"/>
    </row>
    <row r="47" spans="1:17">
      <c r="A47" s="4">
        <v>55</v>
      </c>
      <c r="B47" s="5">
        <v>4.4690000000000294E-3</v>
      </c>
      <c r="C47" s="6">
        <v>95578.179088611549</v>
      </c>
      <c r="D47" s="6">
        <v>427.13888234700784</v>
      </c>
      <c r="E47" s="7"/>
      <c r="F47" s="24"/>
    </row>
    <row r="48" spans="1:17">
      <c r="A48" s="4">
        <v>56</v>
      </c>
      <c r="B48" s="5">
        <v>5.0249999999998846E-3</v>
      </c>
      <c r="C48" s="6">
        <v>95151.040206264544</v>
      </c>
      <c r="D48" s="6">
        <v>478.13397703646837</v>
      </c>
      <c r="E48" s="7"/>
      <c r="F48" s="24"/>
    </row>
    <row r="49" spans="1:6">
      <c r="A49" s="4">
        <v>57</v>
      </c>
      <c r="B49" s="5">
        <v>5.6499999999999519E-3</v>
      </c>
      <c r="C49" s="6">
        <v>94672.906229228072</v>
      </c>
      <c r="D49" s="6">
        <v>534.90192019513404</v>
      </c>
      <c r="E49" s="7"/>
      <c r="F49" s="24"/>
    </row>
    <row r="50" spans="1:6">
      <c r="A50" s="4">
        <v>58</v>
      </c>
      <c r="B50" s="5">
        <v>6.3520000000000633E-3</v>
      </c>
      <c r="C50" s="6">
        <v>94138.004309032942</v>
      </c>
      <c r="D50" s="6">
        <v>597.96460337098324</v>
      </c>
      <c r="E50" s="7"/>
      <c r="F50" s="24"/>
    </row>
    <row r="51" spans="1:6">
      <c r="A51" s="4">
        <v>59</v>
      </c>
      <c r="B51" s="5">
        <v>7.1400000000001063E-3</v>
      </c>
      <c r="C51" s="6">
        <v>93540.039705661955</v>
      </c>
      <c r="D51" s="6">
        <v>667.87588349843634</v>
      </c>
      <c r="E51" s="7"/>
      <c r="F51" s="24"/>
    </row>
    <row r="52" spans="1:6">
      <c r="A52" s="4">
        <v>60</v>
      </c>
      <c r="B52" s="5">
        <v>8.022000000000069E-3</v>
      </c>
      <c r="C52" s="6">
        <v>92872.163822163522</v>
      </c>
      <c r="D52" s="6">
        <v>745.02049818140222</v>
      </c>
      <c r="E52" s="7"/>
      <c r="F52" s="24"/>
    </row>
    <row r="53" spans="1:6">
      <c r="A53" s="4">
        <v>61</v>
      </c>
      <c r="B53" s="5">
        <v>9.0090000000001332E-3</v>
      </c>
      <c r="C53" s="6">
        <v>92127.14332398212</v>
      </c>
      <c r="D53" s="6">
        <v>829.97343420576715</v>
      </c>
      <c r="E53" s="7"/>
      <c r="F53" s="24"/>
    </row>
    <row r="54" spans="1:6">
      <c r="A54" s="4">
        <v>62</v>
      </c>
      <c r="B54" s="5">
        <v>1.0111999999999927E-2</v>
      </c>
      <c r="C54" s="6">
        <v>91297.169889776356</v>
      </c>
      <c r="D54" s="6">
        <v>923.19698192541182</v>
      </c>
      <c r="E54" s="7"/>
      <c r="F54" s="24"/>
    </row>
    <row r="55" spans="1:6">
      <c r="A55" s="4">
        <v>63</v>
      </c>
      <c r="B55" s="5">
        <v>1.1344000000000009E-2</v>
      </c>
      <c r="C55" s="6">
        <v>90373.972907850941</v>
      </c>
      <c r="D55" s="6">
        <v>1025.2023486666619</v>
      </c>
      <c r="E55" s="7"/>
      <c r="F55" s="24"/>
    </row>
    <row r="56" spans="1:6">
      <c r="A56" s="4">
        <v>64</v>
      </c>
      <c r="B56" s="5">
        <v>1.271599999999987E-2</v>
      </c>
      <c r="C56" s="6">
        <v>89348.770559184282</v>
      </c>
      <c r="D56" s="6">
        <v>1136.1589664305757</v>
      </c>
      <c r="E56" s="7"/>
      <c r="F56" s="24"/>
    </row>
    <row r="57" spans="1:6">
      <c r="A57" s="4">
        <v>65</v>
      </c>
      <c r="B57" s="5">
        <v>1.4243000000000096E-2</v>
      </c>
      <c r="C57" s="6">
        <v>88212.611592753703</v>
      </c>
      <c r="D57" s="6">
        <v>1256.4122269155994</v>
      </c>
      <c r="E57" s="7"/>
      <c r="F57" s="24"/>
    </row>
    <row r="58" spans="1:6">
      <c r="A58" s="4">
        <v>66</v>
      </c>
      <c r="B58" s="5">
        <v>1.5940000000000044E-2</v>
      </c>
      <c r="C58" s="6">
        <v>86956.199365838111</v>
      </c>
      <c r="D58" s="6">
        <v>1386.0818178914633</v>
      </c>
      <c r="E58" s="7"/>
      <c r="F58" s="24"/>
    </row>
    <row r="59" spans="1:6">
      <c r="A59" s="4">
        <v>67</v>
      </c>
      <c r="B59" s="5">
        <v>1.7823999999999889E-2</v>
      </c>
      <c r="C59" s="6">
        <v>85570.117547946647</v>
      </c>
      <c r="D59" s="6">
        <v>1525.2017751745916</v>
      </c>
      <c r="E59" s="7"/>
      <c r="F59" s="24"/>
    </row>
    <row r="60" spans="1:6">
      <c r="A60" s="4">
        <v>68</v>
      </c>
      <c r="B60" s="5">
        <v>1.9912999999999938E-2</v>
      </c>
      <c r="C60" s="6">
        <v>84044.915772772059</v>
      </c>
      <c r="D60" s="6">
        <v>1673.5864077832048</v>
      </c>
      <c r="E60" s="7"/>
      <c r="F60" s="24"/>
    </row>
    <row r="61" spans="1:6">
      <c r="A61" s="4">
        <v>69</v>
      </c>
      <c r="B61" s="5">
        <v>2.2225999999999965E-2</v>
      </c>
      <c r="C61" s="6">
        <v>82371.329364988851</v>
      </c>
      <c r="D61" s="6">
        <v>1830.7851664662394</v>
      </c>
      <c r="E61" s="7"/>
      <c r="F61" s="24"/>
    </row>
    <row r="62" spans="1:6">
      <c r="A62" s="4">
        <v>70</v>
      </c>
      <c r="B62" s="5">
        <v>2.4782999999999972E-2</v>
      </c>
      <c r="C62" s="6">
        <v>80540.544198522606</v>
      </c>
      <c r="D62" s="6">
        <v>1996.0363068719835</v>
      </c>
      <c r="E62" s="7"/>
      <c r="F62" s="24"/>
    </row>
    <row r="63" spans="1:6">
      <c r="A63" s="4">
        <v>71</v>
      </c>
      <c r="B63" s="5">
        <v>2.7606000000000047E-2</v>
      </c>
      <c r="C63" s="6">
        <v>78544.507891650617</v>
      </c>
      <c r="D63" s="6">
        <v>2168.2996848569105</v>
      </c>
      <c r="E63" s="7"/>
      <c r="F63" s="24"/>
    </row>
    <row r="64" spans="1:6">
      <c r="A64" s="4">
        <v>72</v>
      </c>
      <c r="B64" s="5">
        <v>3.0718000000000009E-2</v>
      </c>
      <c r="C64" s="6">
        <v>76376.208206793701</v>
      </c>
      <c r="D64" s="6">
        <v>2346.1243636962895</v>
      </c>
      <c r="E64" s="7"/>
      <c r="F64" s="24"/>
    </row>
    <row r="65" spans="1:6">
      <c r="A65" s="4">
        <v>73</v>
      </c>
      <c r="B65" s="5">
        <v>3.4144000000000015E-2</v>
      </c>
      <c r="C65" s="6">
        <v>74030.083843097411</v>
      </c>
      <c r="D65" s="6">
        <v>2527.6831827387191</v>
      </c>
      <c r="E65" s="7"/>
      <c r="F65" s="24"/>
    </row>
    <row r="66" spans="1:6">
      <c r="A66" s="4">
        <v>74</v>
      </c>
      <c r="B66" s="5">
        <v>3.7911000000000035E-2</v>
      </c>
      <c r="C66" s="6">
        <v>71502.400660358689</v>
      </c>
      <c r="D66" s="6">
        <v>2710.7275114348608</v>
      </c>
      <c r="E66" s="7"/>
      <c r="F66" s="24"/>
    </row>
    <row r="67" spans="1:6">
      <c r="A67" s="4">
        <v>75</v>
      </c>
      <c r="B67" s="5">
        <v>4.2045999999999965E-2</v>
      </c>
      <c r="C67" s="6">
        <v>68791.67314892383</v>
      </c>
      <c r="D67" s="6">
        <v>2892.4146892196491</v>
      </c>
      <c r="E67" s="7"/>
      <c r="F67" s="24"/>
    </row>
    <row r="68" spans="1:6">
      <c r="A68" s="4">
        <v>76</v>
      </c>
      <c r="B68" s="5">
        <v>4.6578000000000043E-2</v>
      </c>
      <c r="C68" s="6">
        <v>65899.258459704186</v>
      </c>
      <c r="D68" s="6">
        <v>3069.4556605361045</v>
      </c>
      <c r="E68" s="7"/>
      <c r="F68" s="24"/>
    </row>
    <row r="69" spans="1:6">
      <c r="A69" s="4">
        <v>77</v>
      </c>
      <c r="B69" s="5">
        <v>5.1537999999999966E-2</v>
      </c>
      <c r="C69" s="6">
        <v>62829.802799168079</v>
      </c>
      <c r="D69" s="6">
        <v>3238.1223766635221</v>
      </c>
      <c r="E69" s="7"/>
      <c r="F69" s="24"/>
    </row>
    <row r="70" spans="1:6">
      <c r="A70" s="4">
        <v>78</v>
      </c>
      <c r="B70" s="5">
        <v>5.6955999999999958E-2</v>
      </c>
      <c r="C70" s="6">
        <v>59591.680422504556</v>
      </c>
      <c r="D70" s="6">
        <v>3394.103750144167</v>
      </c>
      <c r="E70" s="7"/>
      <c r="F70" s="24"/>
    </row>
    <row r="71" spans="1:6">
      <c r="A71" s="4">
        <v>79</v>
      </c>
      <c r="B71" s="5">
        <v>6.2867000000000006E-2</v>
      </c>
      <c r="C71" s="6">
        <v>56197.576672360388</v>
      </c>
      <c r="D71" s="6">
        <v>3532.9730526612807</v>
      </c>
      <c r="E71" s="7"/>
      <c r="F71" s="24"/>
    </row>
    <row r="72" spans="1:6">
      <c r="A72" s="4">
        <v>80</v>
      </c>
      <c r="B72" s="5">
        <v>6.9303000000000017E-2</v>
      </c>
      <c r="C72" s="6">
        <v>52664.603619699104</v>
      </c>
      <c r="D72" s="6">
        <v>3649.8150246560081</v>
      </c>
      <c r="E72" s="7"/>
      <c r="F72" s="24"/>
    </row>
    <row r="73" spans="1:6">
      <c r="A73" s="4">
        <v>81</v>
      </c>
      <c r="B73" s="5">
        <v>7.6300000000000007E-2</v>
      </c>
      <c r="C73" s="6">
        <v>49014.788595043094</v>
      </c>
      <c r="D73" s="6">
        <v>3739.8283698017885</v>
      </c>
      <c r="E73" s="7"/>
      <c r="F73" s="24"/>
    </row>
    <row r="74" spans="1:6">
      <c r="A74" s="4">
        <v>82</v>
      </c>
      <c r="B74" s="5">
        <v>8.3893000000000079E-2</v>
      </c>
      <c r="C74" s="6">
        <v>45274.960225241302</v>
      </c>
      <c r="D74" s="6">
        <v>3798.2522381761723</v>
      </c>
      <c r="E74" s="7"/>
      <c r="F74" s="24"/>
    </row>
    <row r="75" spans="1:6">
      <c r="A75" s="4">
        <v>83</v>
      </c>
      <c r="B75" s="5">
        <v>9.2116999999999977E-2</v>
      </c>
      <c r="C75" s="6">
        <v>41476.707987065129</v>
      </c>
      <c r="D75" s="6">
        <v>3820.7099096444776</v>
      </c>
      <c r="E75" s="7"/>
      <c r="F75" s="24"/>
    </row>
    <row r="76" spans="1:6">
      <c r="A76" s="4">
        <v>84</v>
      </c>
      <c r="B76" s="5">
        <v>0.10100699999999992</v>
      </c>
      <c r="C76" s="6">
        <v>37655.998077420649</v>
      </c>
      <c r="D76" s="6">
        <v>3803.5193978060242</v>
      </c>
      <c r="E76" s="7"/>
      <c r="F76" s="24"/>
    </row>
    <row r="77" spans="1:6">
      <c r="A77" s="4">
        <v>85</v>
      </c>
      <c r="B77" s="5">
        <v>0.11060000000000006</v>
      </c>
      <c r="C77" s="6">
        <v>33852.478679614622</v>
      </c>
      <c r="D77" s="6">
        <v>3744.0841419653793</v>
      </c>
      <c r="E77" s="7"/>
      <c r="F77" s="24"/>
    </row>
    <row r="78" spans="1:6">
      <c r="A78" s="4">
        <v>86</v>
      </c>
      <c r="B78" s="5">
        <v>0.12092900000000001</v>
      </c>
      <c r="C78" s="6">
        <v>30108.394537649241</v>
      </c>
      <c r="D78" s="6">
        <v>3640.9780430433852</v>
      </c>
      <c r="E78" s="7"/>
      <c r="F78" s="24"/>
    </row>
    <row r="79" spans="1:6">
      <c r="A79" s="4">
        <v>87</v>
      </c>
      <c r="B79" s="5">
        <v>0.13202800000000009</v>
      </c>
      <c r="C79" s="6">
        <v>26467.416494605855</v>
      </c>
      <c r="D79" s="6">
        <v>3494.4400649498243</v>
      </c>
      <c r="E79" s="7"/>
      <c r="F79" s="24"/>
    </row>
    <row r="80" spans="1:6">
      <c r="A80" s="4">
        <v>88</v>
      </c>
      <c r="B80" s="5">
        <v>0.14392899999999995</v>
      </c>
      <c r="C80" s="6">
        <v>22972.976429656032</v>
      </c>
      <c r="D80" s="6">
        <v>3306.4775245439619</v>
      </c>
      <c r="E80" s="7"/>
      <c r="F80" s="24"/>
    </row>
    <row r="81" spans="1:6">
      <c r="A81" s="4">
        <v>89</v>
      </c>
      <c r="B81" s="5">
        <v>0.15666000000000002</v>
      </c>
      <c r="C81" s="6">
        <v>19666.498905112068</v>
      </c>
      <c r="D81" s="6">
        <v>3080.9537184748569</v>
      </c>
      <c r="E81" s="7"/>
      <c r="F81" s="24"/>
    </row>
    <row r="82" spans="1:6">
      <c r="A82" s="4">
        <v>90</v>
      </c>
      <c r="B82" s="5">
        <v>0.17024699999999998</v>
      </c>
      <c r="C82" s="6">
        <v>16585.54518663721</v>
      </c>
      <c r="D82" s="6">
        <v>2823.6393113894246</v>
      </c>
      <c r="E82" s="7"/>
      <c r="F82" s="24"/>
    </row>
    <row r="83" spans="1:6">
      <c r="A83" s="4">
        <v>91</v>
      </c>
      <c r="B83" s="5">
        <v>0.18471399999999996</v>
      </c>
      <c r="C83" s="6">
        <v>13761.905875247785</v>
      </c>
      <c r="D83" s="6">
        <v>2542.0166818405187</v>
      </c>
      <c r="E83" s="7"/>
      <c r="F83" s="24"/>
    </row>
    <row r="84" spans="1:6">
      <c r="A84" s="4">
        <v>92</v>
      </c>
      <c r="B84" s="5">
        <v>0.20007900000000001</v>
      </c>
      <c r="C84" s="6">
        <v>11219.889193407267</v>
      </c>
      <c r="D84" s="6">
        <v>2244.8642099277326</v>
      </c>
      <c r="E84" s="7"/>
      <c r="F84" s="24"/>
    </row>
    <row r="85" spans="1:6">
      <c r="A85" s="4">
        <v>93</v>
      </c>
      <c r="B85" s="5">
        <v>0.21635399999999999</v>
      </c>
      <c r="C85" s="6">
        <v>8975.0249834795341</v>
      </c>
      <c r="D85" s="6">
        <v>1941.7825552757311</v>
      </c>
      <c r="E85" s="7"/>
      <c r="F85" s="24"/>
    </row>
    <row r="86" spans="1:6">
      <c r="A86" s="4">
        <v>94</v>
      </c>
      <c r="B86" s="5">
        <v>0.23354800000000003</v>
      </c>
      <c r="C86" s="6">
        <v>7033.2424282038028</v>
      </c>
      <c r="D86" s="6">
        <v>1642.5997026221419</v>
      </c>
      <c r="E86" s="7"/>
      <c r="F86" s="24"/>
    </row>
    <row r="87" spans="1:6">
      <c r="A87" s="4">
        <v>95</v>
      </c>
      <c r="B87" s="5">
        <v>0.25166200000000005</v>
      </c>
      <c r="C87" s="6">
        <v>5390.6427255816607</v>
      </c>
      <c r="D87" s="6">
        <v>1356.6199296053321</v>
      </c>
      <c r="E87" s="7"/>
      <c r="F87" s="24"/>
    </row>
    <row r="88" spans="1:6">
      <c r="A88" s="4">
        <v>96</v>
      </c>
      <c r="B88" s="5">
        <v>0.27068800000000004</v>
      </c>
      <c r="C88" s="6">
        <v>4034.0227959763288</v>
      </c>
      <c r="D88" s="6">
        <v>1091.9615625972406</v>
      </c>
      <c r="E88" s="7"/>
      <c r="F88" s="24"/>
    </row>
    <row r="89" spans="1:6">
      <c r="A89" s="4">
        <v>97</v>
      </c>
      <c r="B89" s="5">
        <v>0.29061299999999995</v>
      </c>
      <c r="C89" s="6">
        <v>2942.0612333790882</v>
      </c>
      <c r="D89" s="6">
        <v>855.00124121599686</v>
      </c>
      <c r="E89" s="7"/>
      <c r="F89" s="24"/>
    </row>
    <row r="90" spans="1:6">
      <c r="A90" s="4">
        <v>98</v>
      </c>
      <c r="B90" s="5">
        <v>0.31141400000000008</v>
      </c>
      <c r="C90" s="6">
        <v>2087.0599921630915</v>
      </c>
      <c r="D90" s="6">
        <v>649.93970039947715</v>
      </c>
      <c r="E90" s="7"/>
      <c r="F90" s="24"/>
    </row>
    <row r="91" spans="1:6">
      <c r="A91" s="4">
        <v>99</v>
      </c>
      <c r="B91" s="5">
        <v>0.33305800000000008</v>
      </c>
      <c r="C91" s="6">
        <v>1437.1202917636142</v>
      </c>
      <c r="D91" s="6">
        <v>478.64441013420594</v>
      </c>
      <c r="E91" s="7"/>
      <c r="F91" s="24"/>
    </row>
    <row r="92" spans="1:6">
      <c r="A92" s="4">
        <v>100</v>
      </c>
      <c r="B92" s="5">
        <v>0.35550499999999996</v>
      </c>
      <c r="C92" s="6">
        <v>958.47588162940826</v>
      </c>
      <c r="D92" s="6">
        <v>340.74296829866273</v>
      </c>
      <c r="E92" s="7"/>
      <c r="F92" s="24"/>
    </row>
    <row r="93" spans="1:6">
      <c r="A93" s="4">
        <v>101</v>
      </c>
      <c r="B93" s="5">
        <v>0.37870200000000004</v>
      </c>
      <c r="C93" s="6">
        <v>617.73291333074553</v>
      </c>
      <c r="D93" s="6">
        <v>233.93668974418003</v>
      </c>
      <c r="E93" s="7"/>
      <c r="F93" s="24"/>
    </row>
    <row r="94" spans="1:6">
      <c r="A94" s="4">
        <v>102</v>
      </c>
      <c r="B94" s="5">
        <v>0.40258799999999995</v>
      </c>
      <c r="C94" s="6">
        <v>383.79622358656547</v>
      </c>
      <c r="D94" s="6">
        <v>154.51175406126819</v>
      </c>
      <c r="E94" s="7"/>
      <c r="F94" s="24"/>
    </row>
    <row r="95" spans="1:6">
      <c r="A95" s="4">
        <v>103</v>
      </c>
      <c r="B95" s="5">
        <v>0.42708999999999997</v>
      </c>
      <c r="C95" s="6">
        <v>229.28446952529728</v>
      </c>
      <c r="D95" s="6">
        <v>97.925104089559213</v>
      </c>
      <c r="E95" s="7"/>
      <c r="F95" s="24"/>
    </row>
    <row r="96" spans="1:6">
      <c r="A96" s="4">
        <v>104</v>
      </c>
      <c r="B96" s="5">
        <v>0.45212699999999995</v>
      </c>
      <c r="C96" s="6">
        <v>131.35936543573808</v>
      </c>
      <c r="D96" s="6">
        <v>59.391115816363943</v>
      </c>
      <c r="E96" s="7"/>
      <c r="F96" s="24"/>
    </row>
    <row r="97" spans="1:6">
      <c r="A97" s="4">
        <v>105</v>
      </c>
      <c r="B97" s="5">
        <v>0.47760800000000003</v>
      </c>
      <c r="C97" s="6">
        <v>71.968249619374149</v>
      </c>
      <c r="D97" s="6">
        <v>34.372611764210049</v>
      </c>
      <c r="E97" s="7"/>
      <c r="F97" s="24"/>
    </row>
    <row r="98" spans="1:6">
      <c r="A98" s="4">
        <v>106</v>
      </c>
      <c r="B98" s="5">
        <v>0.50343199999999999</v>
      </c>
      <c r="C98" s="6">
        <v>37.5956378551641</v>
      </c>
      <c r="D98" s="6">
        <v>18.926847156700973</v>
      </c>
      <c r="E98" s="7"/>
      <c r="F98" s="24"/>
    </row>
    <row r="99" spans="1:6">
      <c r="A99" s="4">
        <v>107</v>
      </c>
      <c r="B99" s="5">
        <v>0.52949299999999999</v>
      </c>
      <c r="C99" s="6">
        <v>18.668790698463127</v>
      </c>
      <c r="D99" s="6">
        <v>9.884993993301336</v>
      </c>
      <c r="E99" s="7"/>
      <c r="F99" s="24"/>
    </row>
    <row r="100" spans="1:6">
      <c r="A100" s="4">
        <v>108</v>
      </c>
      <c r="B100" s="5">
        <v>0.555674</v>
      </c>
      <c r="C100" s="6">
        <v>8.7837967051617909</v>
      </c>
      <c r="D100" s="6">
        <v>4.8809274503440729</v>
      </c>
      <c r="E100" s="7"/>
      <c r="F100" s="24"/>
    </row>
    <row r="101" spans="1:6">
      <c r="A101" s="4">
        <v>109</v>
      </c>
      <c r="B101" s="5">
        <v>0.58185699999999996</v>
      </c>
      <c r="C101" s="6">
        <v>3.902869254817718</v>
      </c>
      <c r="D101" s="6">
        <v>2.2709117960004725</v>
      </c>
      <c r="E101" s="7"/>
      <c r="F101" s="24"/>
    </row>
    <row r="102" spans="1:6">
      <c r="A102" s="4">
        <v>110</v>
      </c>
      <c r="B102" s="5">
        <v>0.60791799999999996</v>
      </c>
      <c r="C102" s="6">
        <v>1.6319574588172454</v>
      </c>
      <c r="D102" s="6">
        <v>0.99209631444926216</v>
      </c>
      <c r="E102" s="7"/>
      <c r="F102" s="24"/>
    </row>
    <row r="103" spans="1:6">
      <c r="A103" s="4">
        <v>111</v>
      </c>
      <c r="B103" s="5">
        <v>0.63373100000000004</v>
      </c>
      <c r="C103" s="6">
        <v>0.63986114436798325</v>
      </c>
      <c r="D103" s="6">
        <v>0.4054998428814664</v>
      </c>
      <c r="E103" s="7"/>
      <c r="F103" s="24"/>
    </row>
    <row r="104" spans="1:6">
      <c r="A104" s="4">
        <v>112</v>
      </c>
      <c r="B104" s="5">
        <v>0.65917099999999995</v>
      </c>
      <c r="C104" s="6">
        <v>0.23436130148651685</v>
      </c>
      <c r="D104" s="6">
        <v>0.15448417346216878</v>
      </c>
      <c r="E104" s="7"/>
      <c r="F104" s="24"/>
    </row>
    <row r="105" spans="1:6">
      <c r="A105" s="4">
        <v>113</v>
      </c>
      <c r="B105" s="5">
        <v>0.684114</v>
      </c>
      <c r="C105" s="6">
        <v>7.9877128024348071E-2</v>
      </c>
      <c r="D105" s="6">
        <v>5.4645061561248855E-2</v>
      </c>
      <c r="E105" s="7"/>
      <c r="F105" s="24"/>
    </row>
    <row r="106" spans="1:6">
      <c r="A106" s="4">
        <v>114</v>
      </c>
      <c r="B106" s="5">
        <v>0.70844200000000002</v>
      </c>
      <c r="C106" s="6">
        <v>2.5232066463099216E-2</v>
      </c>
      <c r="D106" s="6">
        <v>1.7875455629250935E-2</v>
      </c>
      <c r="E106" s="7"/>
      <c r="F106" s="24"/>
    </row>
    <row r="107" spans="1:6">
      <c r="A107" s="4">
        <v>115</v>
      </c>
      <c r="B107" s="5">
        <v>0.73204199999999997</v>
      </c>
      <c r="C107" s="6">
        <v>7.3566108338482816E-3</v>
      </c>
      <c r="D107" s="6">
        <v>5.3853481080319635E-3</v>
      </c>
      <c r="E107" s="7"/>
      <c r="F107" s="24"/>
    </row>
    <row r="108" spans="1:6">
      <c r="A108" s="4">
        <v>116</v>
      </c>
      <c r="B108" s="5">
        <v>0.75480899999999995</v>
      </c>
      <c r="C108" s="6">
        <v>1.9712627258163182E-3</v>
      </c>
      <c r="D108" s="6">
        <v>1.4879268468106892E-3</v>
      </c>
      <c r="E108" s="7"/>
      <c r="F108" s="24"/>
    </row>
    <row r="109" spans="1:6">
      <c r="A109" s="4">
        <v>117</v>
      </c>
      <c r="B109" s="5">
        <v>0.77664800000000001</v>
      </c>
      <c r="C109" s="6">
        <v>4.8333587900562902E-4</v>
      </c>
      <c r="D109" s="6">
        <v>3.7538184375796377E-4</v>
      </c>
      <c r="E109" s="7"/>
      <c r="F109" s="24"/>
    </row>
    <row r="110" spans="1:6">
      <c r="A110" s="4">
        <v>118</v>
      </c>
      <c r="B110" s="5">
        <v>0.79747699999999999</v>
      </c>
      <c r="C110" s="6">
        <v>1.0795403524766525E-4</v>
      </c>
      <c r="D110" s="6">
        <v>8.6090860167202342E-5</v>
      </c>
      <c r="E110" s="7"/>
    </row>
    <row r="111" spans="1:6">
      <c r="A111" s="4">
        <v>119</v>
      </c>
      <c r="B111" s="5">
        <v>0.81722500000000009</v>
      </c>
      <c r="C111" s="6">
        <v>2.1863175080462908E-5</v>
      </c>
      <c r="D111" s="6">
        <v>1.7867133255131302E-5</v>
      </c>
    </row>
    <row r="112" spans="1:6">
      <c r="A112" s="4">
        <v>120</v>
      </c>
      <c r="B112" s="5">
        <v>1</v>
      </c>
      <c r="C112" s="6">
        <v>3.9960418253316066E-6</v>
      </c>
      <c r="D112" s="6">
        <v>3.9960418253316066E-6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EAAB3-5C06-40A0-B3B6-B2E84A1E92D8}">
  <dimension ref="E5:V19"/>
  <sheetViews>
    <sheetView topLeftCell="D5" workbookViewId="0">
      <selection activeCell="G7" sqref="G7"/>
    </sheetView>
  </sheetViews>
  <sheetFormatPr defaultRowHeight="14.5"/>
  <cols>
    <col min="7" max="7" width="9.90625" bestFit="1" customWidth="1"/>
  </cols>
  <sheetData>
    <row r="5" spans="5:22" ht="15" thickBot="1"/>
    <row r="6" spans="5:22" ht="15.5">
      <c r="E6" s="89"/>
      <c r="F6" s="90"/>
      <c r="G6" s="91"/>
    </row>
    <row r="7" spans="5:22" ht="15.5">
      <c r="E7" s="92" t="s">
        <v>131</v>
      </c>
      <c r="F7" s="93"/>
      <c r="G7" s="94">
        <f>'1 (i)'!Q31-'1 (i)'!G4-'1 (i)'!L5</f>
        <v>16.653106228448451</v>
      </c>
      <c r="I7" s="18">
        <v>1</v>
      </c>
    </row>
    <row r="8" spans="5:22" ht="16" thickBot="1">
      <c r="E8" s="95"/>
      <c r="F8" s="96"/>
      <c r="G8" s="97"/>
      <c r="I8" s="18"/>
    </row>
    <row r="9" spans="5:22">
      <c r="I9" s="18"/>
    </row>
    <row r="10" spans="5:22" ht="15.5">
      <c r="E10" s="93" t="s">
        <v>132</v>
      </c>
      <c r="I10" s="18">
        <v>3</v>
      </c>
      <c r="J10" s="18" t="s">
        <v>133</v>
      </c>
    </row>
    <row r="11" spans="5:22" ht="15" thickBot="1"/>
    <row r="12" spans="5:22" ht="15.5">
      <c r="E12" s="89">
        <v>1</v>
      </c>
      <c r="F12" s="90" t="s">
        <v>134</v>
      </c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8"/>
      <c r="V12" s="99"/>
    </row>
    <row r="13" spans="5:22" ht="15.5">
      <c r="E13" s="92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V13" s="28"/>
    </row>
    <row r="14" spans="5:22" ht="15.5">
      <c r="E14" s="92">
        <v>2</v>
      </c>
      <c r="F14" s="93" t="s">
        <v>135</v>
      </c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V14" s="28"/>
    </row>
    <row r="15" spans="5:22" ht="15.5">
      <c r="E15" s="92"/>
      <c r="F15" s="93" t="s">
        <v>136</v>
      </c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V15" s="28"/>
    </row>
    <row r="16" spans="5:22" ht="15.5">
      <c r="E16" s="92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V16" s="28"/>
    </row>
    <row r="17" spans="5:22" ht="15.5">
      <c r="E17" s="92">
        <v>3</v>
      </c>
      <c r="F17" s="93" t="s">
        <v>137</v>
      </c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V17" s="28"/>
    </row>
    <row r="18" spans="5:22" ht="15.5">
      <c r="E18" s="92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V18" s="28"/>
    </row>
    <row r="19" spans="5:22" ht="16" thickBot="1">
      <c r="E19" s="95">
        <v>4</v>
      </c>
      <c r="F19" s="96" t="s">
        <v>138</v>
      </c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100"/>
      <c r="V19" s="101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46892-8881-44C0-BD74-3702236B89AC}">
  <dimension ref="A1:T112"/>
  <sheetViews>
    <sheetView topLeftCell="I1" workbookViewId="0">
      <selection activeCell="L8" sqref="L8"/>
    </sheetView>
  </sheetViews>
  <sheetFormatPr defaultRowHeight="14.5"/>
  <cols>
    <col min="1" max="1" width="10" bestFit="1" customWidth="1"/>
    <col min="2" max="2" width="12" bestFit="1" customWidth="1"/>
    <col min="3" max="3" width="12.453125" bestFit="1" customWidth="1"/>
    <col min="4" max="4" width="10" bestFit="1" customWidth="1"/>
    <col min="6" max="6" width="14.1796875" bestFit="1" customWidth="1"/>
    <col min="7" max="7" width="13.1796875" customWidth="1"/>
    <col min="8" max="8" width="12" customWidth="1"/>
    <col min="9" max="9" width="10.54296875" bestFit="1" customWidth="1"/>
    <col min="10" max="10" width="13.453125" customWidth="1"/>
    <col min="11" max="11" width="14.6328125" bestFit="1" customWidth="1"/>
    <col min="12" max="12" width="13.81640625" customWidth="1"/>
    <col min="13" max="13" width="11.453125" customWidth="1"/>
    <col min="14" max="14" width="13.6328125" customWidth="1"/>
    <col min="15" max="15" width="9.54296875" bestFit="1" customWidth="1"/>
    <col min="16" max="16" width="13.453125" customWidth="1"/>
    <col min="17" max="17" width="11.36328125" bestFit="1" customWidth="1"/>
    <col min="18" max="18" width="10.54296875" bestFit="1" customWidth="1"/>
  </cols>
  <sheetData>
    <row r="1" spans="1:17" ht="15" thickBot="1"/>
    <row r="2" spans="1:17" ht="15" thickBot="1">
      <c r="F2" s="68" t="s">
        <v>12</v>
      </c>
      <c r="G2" s="69">
        <v>0.04</v>
      </c>
      <c r="H2" s="70" t="s">
        <v>85</v>
      </c>
      <c r="K2" s="112" t="s">
        <v>106</v>
      </c>
      <c r="L2" s="113">
        <v>3213.6239342139465</v>
      </c>
      <c r="M2" t="s">
        <v>107</v>
      </c>
      <c r="N2" s="17" t="s">
        <v>146</v>
      </c>
    </row>
    <row r="3" spans="1:17">
      <c r="F3" s="68" t="s">
        <v>109</v>
      </c>
      <c r="G3" s="72">
        <f>1/(1+G2)</f>
        <v>0.96153846153846145</v>
      </c>
      <c r="K3" s="110" t="s">
        <v>110</v>
      </c>
      <c r="L3" s="111">
        <v>1000</v>
      </c>
      <c r="M3" t="s">
        <v>111</v>
      </c>
    </row>
    <row r="4" spans="1:17">
      <c r="B4" s="38"/>
      <c r="F4" s="47" t="s">
        <v>113</v>
      </c>
      <c r="G4" s="71">
        <v>100000</v>
      </c>
      <c r="H4" t="s">
        <v>114</v>
      </c>
      <c r="K4" s="47" t="s">
        <v>115</v>
      </c>
      <c r="L4" s="73">
        <v>50</v>
      </c>
      <c r="M4" t="s">
        <v>116</v>
      </c>
    </row>
    <row r="5" spans="1:17">
      <c r="F5" s="74" t="s">
        <v>139</v>
      </c>
      <c r="G5" s="73">
        <v>23</v>
      </c>
      <c r="J5" s="17"/>
      <c r="K5" s="47" t="s">
        <v>117</v>
      </c>
      <c r="L5" s="73">
        <v>500</v>
      </c>
      <c r="M5" t="s">
        <v>118</v>
      </c>
    </row>
    <row r="6" spans="1:17">
      <c r="E6" s="7"/>
      <c r="F6" s="24" t="s">
        <v>140</v>
      </c>
      <c r="G6" s="102">
        <v>0.2</v>
      </c>
    </row>
    <row r="7" spans="1:17">
      <c r="A7" s="1" t="s">
        <v>0</v>
      </c>
      <c r="B7" s="2"/>
      <c r="E7" s="7"/>
      <c r="F7" s="24"/>
      <c r="G7" s="83"/>
      <c r="H7" s="83"/>
      <c r="I7" s="103"/>
      <c r="J7" s="83"/>
      <c r="K7" s="83"/>
      <c r="L7" s="83"/>
      <c r="M7" s="83"/>
      <c r="N7" s="83"/>
    </row>
    <row r="8" spans="1:17" ht="43.5">
      <c r="A8" s="3" t="s">
        <v>1</v>
      </c>
      <c r="B8" s="3" t="s">
        <v>2</v>
      </c>
      <c r="C8" s="3" t="s">
        <v>3</v>
      </c>
      <c r="D8" s="3" t="s">
        <v>4</v>
      </c>
      <c r="E8" s="7"/>
      <c r="F8" s="82" t="s">
        <v>119</v>
      </c>
      <c r="G8" t="s">
        <v>120</v>
      </c>
      <c r="H8" s="2" t="s">
        <v>121</v>
      </c>
      <c r="I8" t="s">
        <v>122</v>
      </c>
      <c r="J8" s="2" t="s">
        <v>123</v>
      </c>
      <c r="K8" s="83" t="s">
        <v>124</v>
      </c>
      <c r="L8" s="84" t="s">
        <v>125</v>
      </c>
      <c r="M8" s="83" t="s">
        <v>126</v>
      </c>
      <c r="N8" s="83" t="s">
        <v>127</v>
      </c>
      <c r="O8" s="83" t="s">
        <v>128</v>
      </c>
      <c r="P8" s="83" t="s">
        <v>129</v>
      </c>
      <c r="Q8" s="83" t="s">
        <v>130</v>
      </c>
    </row>
    <row r="9" spans="1:17">
      <c r="A9" s="4">
        <v>17</v>
      </c>
      <c r="B9" s="5">
        <v>5.9999999999999995E-4</v>
      </c>
      <c r="C9" s="6">
        <v>100000</v>
      </c>
      <c r="D9" s="6">
        <v>59.999999999999993</v>
      </c>
      <c r="E9" s="7"/>
      <c r="F9" s="82">
        <v>1</v>
      </c>
      <c r="G9" s="23">
        <f>C30/$C$29</f>
        <v>0.99923499999999987</v>
      </c>
      <c r="H9" s="24">
        <v>1</v>
      </c>
      <c r="I9" s="23">
        <f>$G$3^F9*D29/$C$29</f>
        <v>7.3557692307699239E-4</v>
      </c>
      <c r="J9" s="38">
        <f>$L$2*H9</f>
        <v>3213.6239342139465</v>
      </c>
      <c r="K9" s="38">
        <f>($G$4+$L$5)*I9</f>
        <v>73.925480769237737</v>
      </c>
      <c r="L9" s="38">
        <f>$L$3</f>
        <v>1000</v>
      </c>
      <c r="M9">
        <v>0</v>
      </c>
      <c r="N9" s="38">
        <f>$L$9+M9</f>
        <v>1000</v>
      </c>
      <c r="O9" s="38">
        <f>J9-K9-N9</f>
        <v>2139.6984534447088</v>
      </c>
      <c r="P9" s="85">
        <f>(1+$G$2)^F9/G9</f>
        <v>1.0407962090999616</v>
      </c>
      <c r="Q9" s="86">
        <f>O9*P9</f>
        <v>2226.9900389623035</v>
      </c>
    </row>
    <row r="10" spans="1:17">
      <c r="A10" s="4">
        <v>18</v>
      </c>
      <c r="B10" s="5">
        <v>5.9399999999999579E-4</v>
      </c>
      <c r="C10" s="6">
        <v>99940</v>
      </c>
      <c r="D10" s="6">
        <v>59.364359999999579</v>
      </c>
      <c r="E10" s="7"/>
      <c r="F10" s="82">
        <v>2</v>
      </c>
      <c r="G10" s="23">
        <f t="shared" ref="G10:G31" si="0">C31/$C$29</f>
        <v>0.99842262194499998</v>
      </c>
      <c r="H10" s="24">
        <f t="shared" ref="H10:H31" si="1">H9+G9*$G$3^F9</f>
        <v>1.9608028846153844</v>
      </c>
      <c r="I10" s="23">
        <f>I9+$G$3^F10*D30/$C$29</f>
        <v>1.4866661011464478E-3</v>
      </c>
      <c r="J10" s="38">
        <f t="shared" ref="J10:J31" si="2">$L$2*H10</f>
        <v>6301.2830802757471</v>
      </c>
      <c r="K10" s="38">
        <f t="shared" ref="K10:K31" si="3">($G$4+$L$5)*I10</f>
        <v>149.40994316521801</v>
      </c>
      <c r="L10" s="38"/>
      <c r="M10" s="38">
        <f>$L$4*(H10-1)</f>
        <v>48.040144230769222</v>
      </c>
      <c r="N10" s="38">
        <f t="shared" ref="N10:N31" si="4">$L$9+M10</f>
        <v>1048.0401442307693</v>
      </c>
      <c r="O10" s="38">
        <f t="shared" ref="O10:O31" si="5">J10-K10-N10</f>
        <v>5103.8329928797602</v>
      </c>
      <c r="P10" s="85">
        <f t="shared" ref="P10:P31" si="6">(1+$G$2)^F10/G10</f>
        <v>1.0833087875082041</v>
      </c>
      <c r="Q10" s="86">
        <f t="shared" ref="Q10:Q31" si="7">O10*P10</f>
        <v>5529.0271311609422</v>
      </c>
    </row>
    <row r="11" spans="1:17">
      <c r="A11" s="4">
        <v>19</v>
      </c>
      <c r="B11" s="5">
        <v>5.8700000000002836E-4</v>
      </c>
      <c r="C11" s="6">
        <v>99880.635639999993</v>
      </c>
      <c r="D11" s="6">
        <v>58.629933120682828</v>
      </c>
      <c r="E11" s="7"/>
      <c r="F11" s="82">
        <v>3</v>
      </c>
      <c r="G11" s="23">
        <f t="shared" si="0"/>
        <v>0.99755399426390767</v>
      </c>
      <c r="H11" s="24">
        <f t="shared" si="1"/>
        <v>2.8839007229521076</v>
      </c>
      <c r="I11" s="23">
        <f t="shared" ref="I11:I31" si="8">I10+$G$3^F11*D31/$C$29</f>
        <v>2.2588729466782053E-3</v>
      </c>
      <c r="J11" s="38">
        <f t="shared" si="2"/>
        <v>9267.7723871757971</v>
      </c>
      <c r="K11" s="38">
        <f t="shared" si="3"/>
        <v>227.01673114115962</v>
      </c>
      <c r="L11" s="38"/>
      <c r="M11" s="38">
        <f t="shared" ref="M11:M31" si="9">$L$4*(H11-1)</f>
        <v>94.195036147605379</v>
      </c>
      <c r="N11" s="38">
        <f t="shared" si="4"/>
        <v>1094.1950361476054</v>
      </c>
      <c r="O11" s="38">
        <f t="shared" si="5"/>
        <v>7946.5606198870328</v>
      </c>
      <c r="P11" s="85">
        <f t="shared" si="6"/>
        <v>1.1276221702966907</v>
      </c>
      <c r="Q11" s="86">
        <f t="shared" si="7"/>
        <v>8960.7179325912311</v>
      </c>
    </row>
    <row r="12" spans="1:17">
      <c r="A12" s="4">
        <v>20</v>
      </c>
      <c r="B12" s="5">
        <v>5.8200000000005307E-4</v>
      </c>
      <c r="C12" s="6">
        <v>99822.00570687931</v>
      </c>
      <c r="D12" s="6">
        <v>58.096407321409053</v>
      </c>
      <c r="E12" s="7"/>
      <c r="F12" s="82">
        <v>4</v>
      </c>
      <c r="G12" s="23">
        <f t="shared" si="0"/>
        <v>0.99661928617128259</v>
      </c>
      <c r="H12" s="24">
        <f t="shared" si="1"/>
        <v>3.7707225914303479</v>
      </c>
      <c r="I12" s="23">
        <f t="shared" si="8"/>
        <v>3.0578653416435909E-3</v>
      </c>
      <c r="J12" s="38">
        <f t="shared" si="2"/>
        <v>12117.684369101802</v>
      </c>
      <c r="K12" s="38">
        <f t="shared" si="3"/>
        <v>307.31546683518087</v>
      </c>
      <c r="L12" s="38"/>
      <c r="M12" s="38">
        <f t="shared" si="9"/>
        <v>138.53612957151739</v>
      </c>
      <c r="N12" s="38">
        <f t="shared" si="4"/>
        <v>1138.5361295715174</v>
      </c>
      <c r="O12" s="38">
        <f t="shared" si="5"/>
        <v>10671.832772695103</v>
      </c>
      <c r="P12" s="85">
        <f t="shared" si="6"/>
        <v>1.1738269329447273</v>
      </c>
      <c r="Q12" s="86">
        <f t="shared" si="7"/>
        <v>12526.884732471717</v>
      </c>
    </row>
    <row r="13" spans="1:17">
      <c r="A13" s="4">
        <v>21</v>
      </c>
      <c r="B13" s="5">
        <v>5.770000000001309E-4</v>
      </c>
      <c r="C13" s="6">
        <v>99763.909299557898</v>
      </c>
      <c r="D13" s="6">
        <v>57.563775665857968</v>
      </c>
      <c r="E13" s="7"/>
      <c r="F13" s="82">
        <v>5</v>
      </c>
      <c r="G13" s="23">
        <f t="shared" si="0"/>
        <v>0.995608714215105</v>
      </c>
      <c r="H13" s="24">
        <f t="shared" si="1"/>
        <v>4.6226369341106137</v>
      </c>
      <c r="I13" s="23">
        <f t="shared" si="8"/>
        <v>3.8884818257567452E-3</v>
      </c>
      <c r="J13" s="38">
        <f t="shared" si="2"/>
        <v>14855.416690639246</v>
      </c>
      <c r="K13" s="38">
        <f t="shared" si="3"/>
        <v>390.79242348855291</v>
      </c>
      <c r="L13" s="38"/>
      <c r="M13" s="38">
        <f t="shared" si="9"/>
        <v>181.13184670553068</v>
      </c>
      <c r="N13" s="38">
        <f t="shared" si="4"/>
        <v>1181.1318467055307</v>
      </c>
      <c r="O13" s="38">
        <f t="shared" si="5"/>
        <v>13283.492420445164</v>
      </c>
      <c r="P13" s="85">
        <f t="shared" si="6"/>
        <v>1.222019137668112</v>
      </c>
      <c r="Q13" s="86">
        <f t="shared" si="7"/>
        <v>16232.6819528533</v>
      </c>
    </row>
    <row r="14" spans="1:17">
      <c r="A14" s="4">
        <v>22</v>
      </c>
      <c r="B14" s="5">
        <v>5.7200000000001347E-4</v>
      </c>
      <c r="C14" s="6">
        <v>99706.345523892043</v>
      </c>
      <c r="D14" s="6">
        <v>57.032029639667591</v>
      </c>
      <c r="E14" s="7"/>
      <c r="F14" s="82">
        <v>6</v>
      </c>
      <c r="G14" s="23">
        <f t="shared" si="0"/>
        <v>0.99450956219461151</v>
      </c>
      <c r="H14" s="24">
        <f t="shared" si="1"/>
        <v>5.440954724049833</v>
      </c>
      <c r="I14" s="23">
        <f t="shared" si="8"/>
        <v>4.7571576335383925E-3</v>
      </c>
      <c r="J14" s="38">
        <f t="shared" si="2"/>
        <v>17485.182326180984</v>
      </c>
      <c r="K14" s="38">
        <f t="shared" si="3"/>
        <v>478.09434217060846</v>
      </c>
      <c r="L14" s="38"/>
      <c r="M14" s="38">
        <f t="shared" si="9"/>
        <v>222.04773620249165</v>
      </c>
      <c r="N14" s="38">
        <f t="shared" si="4"/>
        <v>1222.0477362024917</v>
      </c>
      <c r="O14" s="38">
        <f t="shared" si="5"/>
        <v>15785.040247807885</v>
      </c>
      <c r="P14" s="85">
        <f t="shared" si="6"/>
        <v>1.2723045273730564</v>
      </c>
      <c r="Q14" s="86">
        <f t="shared" si="7"/>
        <v>20083.378172051885</v>
      </c>
    </row>
    <row r="15" spans="1:17">
      <c r="A15" s="4">
        <v>23</v>
      </c>
      <c r="B15" s="5">
        <v>5.6899999999996168E-4</v>
      </c>
      <c r="C15" s="6">
        <v>99649.313494252376</v>
      </c>
      <c r="D15" s="6">
        <v>56.70045937822578</v>
      </c>
      <c r="E15" s="7"/>
      <c r="F15" s="82">
        <v>7</v>
      </c>
      <c r="G15" s="23">
        <f t="shared" si="0"/>
        <v>0.99330819464348041</v>
      </c>
      <c r="H15" s="24">
        <f t="shared" si="1"/>
        <v>6.2269300770297615</v>
      </c>
      <c r="I15" s="23">
        <f t="shared" si="8"/>
        <v>5.6700982358457736E-3</v>
      </c>
      <c r="J15" s="38">
        <f t="shared" si="2"/>
        <v>20011.011532219534</v>
      </c>
      <c r="K15" s="38">
        <f t="shared" si="3"/>
        <v>569.8448727025002</v>
      </c>
      <c r="L15" s="38"/>
      <c r="M15" s="38">
        <f t="shared" si="9"/>
        <v>261.34650385148808</v>
      </c>
      <c r="N15" s="38">
        <f t="shared" si="4"/>
        <v>1261.346503851488</v>
      </c>
      <c r="O15" s="38">
        <f t="shared" si="5"/>
        <v>18179.820155665548</v>
      </c>
      <c r="P15" s="85">
        <f t="shared" si="6"/>
        <v>1.3247970633204695</v>
      </c>
      <c r="Q15" s="86">
        <f t="shared" si="7"/>
        <v>24084.572353919997</v>
      </c>
    </row>
    <row r="16" spans="1:17">
      <c r="A16" s="4">
        <v>24</v>
      </c>
      <c r="B16" s="5">
        <v>5.6700000000006084E-4</v>
      </c>
      <c r="C16" s="6">
        <v>99592.613034874157</v>
      </c>
      <c r="D16" s="6">
        <v>56.469011590779708</v>
      </c>
      <c r="E16" s="7"/>
      <c r="F16" s="82">
        <v>8</v>
      </c>
      <c r="G16" s="23">
        <f t="shared" si="0"/>
        <v>0.99199007466918854</v>
      </c>
      <c r="H16" s="24">
        <f t="shared" si="1"/>
        <v>6.9817626681389244</v>
      </c>
      <c r="I16" s="23">
        <f t="shared" si="8"/>
        <v>6.6332355900783442E-3</v>
      </c>
      <c r="J16" s="38">
        <f t="shared" si="2"/>
        <v>22436.75961333267</v>
      </c>
      <c r="K16" s="38">
        <f t="shared" si="3"/>
        <v>666.64017680287361</v>
      </c>
      <c r="L16" s="38"/>
      <c r="M16" s="38">
        <f t="shared" si="9"/>
        <v>299.08813340694621</v>
      </c>
      <c r="N16" s="38">
        <f t="shared" si="4"/>
        <v>1299.0881334069463</v>
      </c>
      <c r="O16" s="38">
        <f t="shared" si="5"/>
        <v>20471.031303122851</v>
      </c>
      <c r="P16" s="85">
        <f t="shared" si="6"/>
        <v>1.3796197011967768</v>
      </c>
      <c r="Q16" s="86">
        <f t="shared" si="7"/>
        <v>28242.238089604212</v>
      </c>
    </row>
    <row r="17" spans="1:17">
      <c r="A17" s="4">
        <v>25</v>
      </c>
      <c r="B17" s="5">
        <v>5.6599999999987151E-4</v>
      </c>
      <c r="C17" s="6">
        <v>99536.14402328337</v>
      </c>
      <c r="D17" s="6">
        <v>56.337457517165596</v>
      </c>
      <c r="E17" s="7"/>
      <c r="F17" s="82">
        <v>9</v>
      </c>
      <c r="G17" s="23">
        <f t="shared" si="0"/>
        <v>0.99053680920979836</v>
      </c>
      <c r="H17" s="24">
        <f t="shared" si="1"/>
        <v>7.7066000991588863</v>
      </c>
      <c r="I17" s="23">
        <f t="shared" si="8"/>
        <v>7.6542806251208607E-3</v>
      </c>
      <c r="J17" s="38">
        <f t="shared" si="2"/>
        <v>24766.114530072569</v>
      </c>
      <c r="K17" s="38">
        <f t="shared" si="3"/>
        <v>769.25520282464652</v>
      </c>
      <c r="L17" s="38"/>
      <c r="M17" s="38">
        <f t="shared" si="9"/>
        <v>335.33000495794431</v>
      </c>
      <c r="N17" s="38">
        <f t="shared" si="4"/>
        <v>1335.3300049579443</v>
      </c>
      <c r="O17" s="38">
        <f t="shared" si="5"/>
        <v>22661.529322289978</v>
      </c>
      <c r="P17" s="85">
        <f t="shared" si="6"/>
        <v>1.4369095617526153</v>
      </c>
      <c r="Q17" s="86">
        <f t="shared" si="7"/>
        <v>32562.568167135734</v>
      </c>
    </row>
    <row r="18" spans="1:17">
      <c r="A18" s="4">
        <v>26</v>
      </c>
      <c r="B18" s="5">
        <v>5.6700000000002365E-4</v>
      </c>
      <c r="C18" s="6">
        <v>99479.806565766208</v>
      </c>
      <c r="D18" s="6">
        <v>56.405050322791794</v>
      </c>
      <c r="E18" s="7"/>
      <c r="F18" s="82">
        <v>10</v>
      </c>
      <c r="G18" s="23">
        <f t="shared" si="0"/>
        <v>0.98893015850526</v>
      </c>
      <c r="H18" s="24">
        <f t="shared" si="1"/>
        <v>8.4025381224122686</v>
      </c>
      <c r="I18" s="23">
        <f t="shared" si="8"/>
        <v>8.739676272925696E-3</v>
      </c>
      <c r="J18" s="38">
        <f t="shared" si="2"/>
        <v>27002.597618329182</v>
      </c>
      <c r="K18" s="38">
        <f t="shared" si="3"/>
        <v>878.33746542903248</v>
      </c>
      <c r="L18" s="38"/>
      <c r="M18" s="38">
        <f t="shared" si="9"/>
        <v>370.12690612061346</v>
      </c>
      <c r="N18" s="38">
        <f t="shared" si="4"/>
        <v>1370.1269061206135</v>
      </c>
      <c r="O18" s="38">
        <f t="shared" si="5"/>
        <v>24754.133246779536</v>
      </c>
      <c r="P18" s="85">
        <f t="shared" si="6"/>
        <v>1.4968137761676639</v>
      </c>
      <c r="Q18" s="86">
        <f t="shared" si="7"/>
        <v>37052.327660869589</v>
      </c>
    </row>
    <row r="19" spans="1:17">
      <c r="A19" s="4">
        <v>27</v>
      </c>
      <c r="B19" s="5">
        <v>5.6999999999995379E-4</v>
      </c>
      <c r="C19" s="6">
        <v>99423.401515443416</v>
      </c>
      <c r="D19" s="6">
        <v>56.671338863798155</v>
      </c>
      <c r="E19" s="7"/>
      <c r="F19" s="82">
        <v>11</v>
      </c>
      <c r="G19" s="23">
        <f t="shared" si="0"/>
        <v>0.98714810635963368</v>
      </c>
      <c r="H19" s="24">
        <f t="shared" si="1"/>
        <v>9.0706239029696398</v>
      </c>
      <c r="I19" s="23">
        <f t="shared" si="8"/>
        <v>9.8972633657760344E-3</v>
      </c>
      <c r="J19" s="38">
        <f t="shared" si="2"/>
        <v>29149.574072836356</v>
      </c>
      <c r="K19" s="38">
        <f t="shared" si="3"/>
        <v>994.67496826049148</v>
      </c>
      <c r="L19" s="38"/>
      <c r="M19" s="38">
        <f t="shared" si="9"/>
        <v>403.53119514848197</v>
      </c>
      <c r="N19" s="38">
        <f t="shared" si="4"/>
        <v>1403.5311951484819</v>
      </c>
      <c r="O19" s="38">
        <f t="shared" si="5"/>
        <v>26751.367909427383</v>
      </c>
      <c r="P19" s="85">
        <f t="shared" si="6"/>
        <v>1.559496539979413</v>
      </c>
      <c r="Q19" s="86">
        <f t="shared" si="7"/>
        <v>41718.665694468305</v>
      </c>
    </row>
    <row r="20" spans="1:17">
      <c r="A20" s="4">
        <v>28</v>
      </c>
      <c r="B20" s="5">
        <v>5.7399999999987355E-4</v>
      </c>
      <c r="C20" s="6">
        <v>99366.730176579615</v>
      </c>
      <c r="D20" s="6">
        <v>57.036503121344133</v>
      </c>
      <c r="E20" s="7"/>
      <c r="F20" s="82">
        <v>12</v>
      </c>
      <c r="G20" s="23">
        <f t="shared" si="0"/>
        <v>0.98516591296206346</v>
      </c>
      <c r="H20" s="24">
        <f t="shared" si="1"/>
        <v>9.7118564894896462</v>
      </c>
      <c r="I20" s="23">
        <f t="shared" si="8"/>
        <v>1.1135335513595405E-2</v>
      </c>
      <c r="J20" s="38">
        <f t="shared" si="2"/>
        <v>31210.254460274966</v>
      </c>
      <c r="K20" s="38">
        <f t="shared" si="3"/>
        <v>1119.1012191163381</v>
      </c>
      <c r="L20" s="38"/>
      <c r="M20" s="38">
        <f t="shared" si="9"/>
        <v>435.59282447448231</v>
      </c>
      <c r="N20" s="38">
        <f t="shared" si="4"/>
        <v>1435.5928244744823</v>
      </c>
      <c r="O20" s="38">
        <f t="shared" si="5"/>
        <v>28655.560416684144</v>
      </c>
      <c r="P20" s="85">
        <f t="shared" si="6"/>
        <v>1.6251396820601667</v>
      </c>
      <c r="Q20" s="86">
        <f t="shared" si="7"/>
        <v>46569.288344825967</v>
      </c>
    </row>
    <row r="21" spans="1:17">
      <c r="A21" s="4">
        <v>29</v>
      </c>
      <c r="B21" s="5">
        <v>5.7999999999993387E-4</v>
      </c>
      <c r="C21" s="6">
        <v>99309.69367345827</v>
      </c>
      <c r="D21" s="6">
        <v>57.599622330599232</v>
      </c>
      <c r="E21" s="7"/>
      <c r="F21" s="82">
        <v>13</v>
      </c>
      <c r="G21" s="23">
        <f t="shared" si="0"/>
        <v>0.98295815615111537</v>
      </c>
      <c r="H21" s="24">
        <f t="shared" si="1"/>
        <v>10.327188212072603</v>
      </c>
      <c r="I21" s="23">
        <f t="shared" si="8"/>
        <v>1.2461257042738165E-2</v>
      </c>
      <c r="J21" s="38">
        <f t="shared" si="2"/>
        <v>33187.699211448649</v>
      </c>
      <c r="K21" s="38">
        <f t="shared" si="3"/>
        <v>1252.3563327951856</v>
      </c>
      <c r="L21" s="38"/>
      <c r="M21" s="38">
        <f t="shared" si="9"/>
        <v>466.35941060363012</v>
      </c>
      <c r="N21" s="38">
        <f t="shared" si="4"/>
        <v>1466.3594106036301</v>
      </c>
      <c r="O21" s="38">
        <f t="shared" si="5"/>
        <v>30468.983468049835</v>
      </c>
      <c r="P21" s="85">
        <f t="shared" si="6"/>
        <v>1.6939413920020503</v>
      </c>
      <c r="Q21" s="86">
        <f t="shared" si="7"/>
        <v>51612.672268755792</v>
      </c>
    </row>
    <row r="22" spans="1:17">
      <c r="A22" s="4">
        <v>30</v>
      </c>
      <c r="B22" s="5">
        <v>5.9000000000003754E-4</v>
      </c>
      <c r="C22" s="6">
        <v>99252.094051127671</v>
      </c>
      <c r="D22" s="6">
        <v>58.558735490169049</v>
      </c>
      <c r="E22" s="7"/>
      <c r="F22" s="82">
        <v>14</v>
      </c>
      <c r="G22" s="23">
        <f t="shared" si="0"/>
        <v>0.98049289709548848</v>
      </c>
      <c r="H22" s="24">
        <f t="shared" si="1"/>
        <v>10.917527408411686</v>
      </c>
      <c r="I22" s="23">
        <f t="shared" si="8"/>
        <v>1.3884882720063493E-2</v>
      </c>
      <c r="J22" s="38">
        <f t="shared" si="2"/>
        <v>35084.827382108553</v>
      </c>
      <c r="K22" s="38">
        <f t="shared" si="3"/>
        <v>1395.430713366381</v>
      </c>
      <c r="L22" s="38"/>
      <c r="M22" s="38">
        <f t="shared" si="9"/>
        <v>495.87637042058429</v>
      </c>
      <c r="N22" s="38">
        <f t="shared" si="4"/>
        <v>1495.8763704205844</v>
      </c>
      <c r="O22" s="38">
        <f t="shared" si="5"/>
        <v>32193.520298321586</v>
      </c>
      <c r="P22" s="85">
        <f t="shared" si="6"/>
        <v>1.7661284979550032</v>
      </c>
      <c r="Q22" s="86">
        <f t="shared" si="7"/>
        <v>56857.893648358608</v>
      </c>
    </row>
    <row r="23" spans="1:17">
      <c r="A23" s="4">
        <v>31</v>
      </c>
      <c r="B23" s="5">
        <v>6.020000000000812E-4</v>
      </c>
      <c r="C23" s="6">
        <v>99193.535315637506</v>
      </c>
      <c r="D23" s="6">
        <v>59.71450826002183</v>
      </c>
      <c r="E23" s="7"/>
      <c r="F23" s="82">
        <v>15</v>
      </c>
      <c r="G23" s="23">
        <f t="shared" si="0"/>
        <v>0.97773869254754742</v>
      </c>
      <c r="H23" s="24">
        <f t="shared" si="1"/>
        <v>11.483737625368095</v>
      </c>
      <c r="I23" s="23">
        <f t="shared" si="8"/>
        <v>1.5414194738746698E-2</v>
      </c>
      <c r="J23" s="38">
        <f t="shared" si="2"/>
        <v>36904.414087116143</v>
      </c>
      <c r="K23" s="38">
        <f t="shared" si="3"/>
        <v>1549.1265712440431</v>
      </c>
      <c r="L23" s="38"/>
      <c r="M23" s="38">
        <f t="shared" si="9"/>
        <v>524.1868812684047</v>
      </c>
      <c r="N23" s="38">
        <f t="shared" si="4"/>
        <v>1524.1868812684047</v>
      </c>
      <c r="O23" s="38">
        <f t="shared" si="5"/>
        <v>33831.100634603696</v>
      </c>
      <c r="P23" s="85">
        <f t="shared" si="6"/>
        <v>1.8419476688750731</v>
      </c>
      <c r="Q23" s="86">
        <f t="shared" si="7"/>
        <v>62315.116949386284</v>
      </c>
    </row>
    <row r="24" spans="1:17">
      <c r="A24" s="4">
        <v>32</v>
      </c>
      <c r="B24" s="5">
        <v>6.1699999999995309E-4</v>
      </c>
      <c r="C24" s="6">
        <v>99133.820807377488</v>
      </c>
      <c r="D24" s="6">
        <v>61.165567438147256</v>
      </c>
      <c r="E24" s="7"/>
      <c r="F24" s="82">
        <v>16</v>
      </c>
      <c r="G24" s="23">
        <f t="shared" si="0"/>
        <v>0.97465686018863751</v>
      </c>
      <c r="H24" s="24">
        <f t="shared" si="1"/>
        <v>12.026641214269036</v>
      </c>
      <c r="I24" s="23">
        <f t="shared" si="8"/>
        <v>1.7059610231261849E-2</v>
      </c>
      <c r="J24" s="38">
        <f t="shared" si="2"/>
        <v>38649.102054378855</v>
      </c>
      <c r="K24" s="38">
        <f t="shared" si="3"/>
        <v>1714.490828241816</v>
      </c>
      <c r="L24" s="38"/>
      <c r="M24" s="38">
        <f t="shared" si="9"/>
        <v>551.33206071345182</v>
      </c>
      <c r="N24" s="38">
        <f t="shared" si="4"/>
        <v>1551.3320607134519</v>
      </c>
      <c r="O24" s="38">
        <f t="shared" si="5"/>
        <v>35383.279165423584</v>
      </c>
      <c r="P24" s="85">
        <f t="shared" si="6"/>
        <v>1.9216827195621362</v>
      </c>
      <c r="Q24" s="86">
        <f t="shared" si="7"/>
        <v>67995.436133637471</v>
      </c>
    </row>
    <row r="25" spans="1:17">
      <c r="A25" s="4">
        <v>33</v>
      </c>
      <c r="B25" s="5">
        <v>6.3599999999992547E-4</v>
      </c>
      <c r="C25" s="6">
        <v>99072.65523993934</v>
      </c>
      <c r="D25" s="6">
        <v>63.010208732594037</v>
      </c>
      <c r="E25" s="7"/>
      <c r="F25" s="82">
        <v>17</v>
      </c>
      <c r="G25" s="23">
        <f t="shared" si="0"/>
        <v>0.97120754956042987</v>
      </c>
      <c r="H25" s="24">
        <f t="shared" si="1"/>
        <v>12.54701848041204</v>
      </c>
      <c r="I25" s="23">
        <f t="shared" si="8"/>
        <v>1.8830394024415737E-2</v>
      </c>
      <c r="J25" s="38">
        <f t="shared" si="2"/>
        <v>40321.398891676836</v>
      </c>
      <c r="K25" s="38">
        <f t="shared" si="3"/>
        <v>1892.4545994537816</v>
      </c>
      <c r="L25" s="38"/>
      <c r="M25" s="38">
        <f t="shared" si="9"/>
        <v>577.35092402060206</v>
      </c>
      <c r="N25" s="38">
        <f t="shared" si="4"/>
        <v>1577.3509240206022</v>
      </c>
      <c r="O25" s="38">
        <f t="shared" si="5"/>
        <v>36851.593368202448</v>
      </c>
      <c r="P25" s="85">
        <f t="shared" si="6"/>
        <v>2.0056480166756367</v>
      </c>
      <c r="Q25" s="86">
        <f t="shared" si="7"/>
        <v>73911.325150272285</v>
      </c>
    </row>
    <row r="26" spans="1:17">
      <c r="A26" s="4">
        <v>34</v>
      </c>
      <c r="B26" s="5">
        <v>6.6000000000001095E-4</v>
      </c>
      <c r="C26" s="6">
        <v>99009.645031206746</v>
      </c>
      <c r="D26" s="6">
        <v>65.346365720597532</v>
      </c>
      <c r="E26" s="7"/>
      <c r="F26" s="104">
        <v>18</v>
      </c>
      <c r="G26" s="105">
        <f t="shared" si="0"/>
        <v>0.96734602834337757</v>
      </c>
      <c r="H26" s="106">
        <f t="shared" si="1"/>
        <v>13.045610452525622</v>
      </c>
      <c r="I26" s="105">
        <f t="shared" si="8"/>
        <v>2.073654948703459E-2</v>
      </c>
      <c r="J26" s="107">
        <f t="shared" si="2"/>
        <v>41923.685986667973</v>
      </c>
      <c r="K26" s="107">
        <f t="shared" si="3"/>
        <v>2084.0232234469763</v>
      </c>
      <c r="L26" s="107"/>
      <c r="M26" s="107">
        <f t="shared" si="9"/>
        <v>602.28052262628114</v>
      </c>
      <c r="N26" s="107">
        <f>$L$9+M26</f>
        <v>1602.2805226262813</v>
      </c>
      <c r="O26" s="107">
        <f t="shared" si="5"/>
        <v>38237.382240594721</v>
      </c>
      <c r="P26" s="108">
        <f t="shared" si="6"/>
        <v>2.0942004784449599</v>
      </c>
      <c r="Q26" s="109">
        <f t="shared" si="7"/>
        <v>80076.744182736278</v>
      </c>
    </row>
    <row r="27" spans="1:17">
      <c r="A27" s="4">
        <v>35</v>
      </c>
      <c r="B27" s="5">
        <v>6.8900000000002683E-4</v>
      </c>
      <c r="C27" s="6">
        <v>98944.298665486145</v>
      </c>
      <c r="D27" s="6">
        <v>68.172621780522604</v>
      </c>
      <c r="E27" s="7"/>
      <c r="F27" s="82">
        <v>19</v>
      </c>
      <c r="G27" s="23">
        <f t="shared" si="0"/>
        <v>0.96302295894271106</v>
      </c>
      <c r="H27" s="24">
        <f t="shared" si="1"/>
        <v>13.523119654864525</v>
      </c>
      <c r="I27" s="23">
        <f t="shared" si="8"/>
        <v>2.2788461626700517E-2</v>
      </c>
      <c r="J27" s="38">
        <f t="shared" si="2"/>
        <v>43458.22098811168</v>
      </c>
      <c r="K27" s="38">
        <f t="shared" si="3"/>
        <v>2290.2403934834019</v>
      </c>
      <c r="L27" s="38"/>
      <c r="M27" s="38">
        <f t="shared" si="9"/>
        <v>626.15598274322622</v>
      </c>
      <c r="N27" s="38">
        <f t="shared" si="4"/>
        <v>1626.1559827432261</v>
      </c>
      <c r="O27" s="38">
        <f t="shared" si="5"/>
        <v>39541.824611885051</v>
      </c>
      <c r="P27" s="85">
        <f t="shared" si="6"/>
        <v>2.1877455323669057</v>
      </c>
      <c r="Q27" s="86">
        <f t="shared" si="7"/>
        <v>86507.450136287283</v>
      </c>
    </row>
    <row r="28" spans="1:17">
      <c r="A28" s="4">
        <v>36</v>
      </c>
      <c r="B28" s="5">
        <v>7.2400000000002031E-4</v>
      </c>
      <c r="C28" s="6">
        <v>98876.126043705619</v>
      </c>
      <c r="D28" s="6">
        <v>71.586315255644877</v>
      </c>
      <c r="E28" s="7"/>
      <c r="F28" s="82">
        <v>20</v>
      </c>
      <c r="G28" s="23">
        <f t="shared" si="0"/>
        <v>0.95818376857402399</v>
      </c>
      <c r="H28" s="24">
        <f t="shared" si="1"/>
        <v>13.980211206512264</v>
      </c>
      <c r="I28" s="23">
        <f t="shared" si="8"/>
        <v>2.4997004941152284E-2</v>
      </c>
      <c r="J28" s="38">
        <f t="shared" si="2"/>
        <v>44927.141338613845</v>
      </c>
      <c r="K28" s="38">
        <f t="shared" si="3"/>
        <v>2512.1989965858047</v>
      </c>
      <c r="L28" s="38"/>
      <c r="M28" s="38">
        <f t="shared" si="9"/>
        <v>649.01056032561314</v>
      </c>
      <c r="N28" s="38">
        <f t="shared" si="4"/>
        <v>1649.0105603256131</v>
      </c>
      <c r="O28" s="38">
        <f t="shared" si="5"/>
        <v>40765.93178170242</v>
      </c>
      <c r="P28" s="85">
        <f t="shared" si="6"/>
        <v>2.2867462535858509</v>
      </c>
      <c r="Q28" s="86">
        <f t="shared" si="7"/>
        <v>93221.341775744382</v>
      </c>
    </row>
    <row r="29" spans="1:17">
      <c r="A29" s="4">
        <v>37</v>
      </c>
      <c r="B29" s="5">
        <v>7.6500000000007205E-4</v>
      </c>
      <c r="C29" s="6">
        <v>98804.539728449978</v>
      </c>
      <c r="D29" s="6">
        <v>75.585472892271355</v>
      </c>
      <c r="E29" s="7"/>
      <c r="F29" s="82">
        <v>21</v>
      </c>
      <c r="G29" s="23">
        <f t="shared" si="0"/>
        <v>0.9527700302815808</v>
      </c>
      <c r="H29" s="24">
        <f t="shared" si="1"/>
        <v>14.417513770551407</v>
      </c>
      <c r="I29" s="23">
        <f t="shared" si="8"/>
        <v>2.7372735216941842E-2</v>
      </c>
      <c r="J29" s="38">
        <f t="shared" si="2"/>
        <v>46332.467324903162</v>
      </c>
      <c r="K29" s="38">
        <f t="shared" si="3"/>
        <v>2750.959889302655</v>
      </c>
      <c r="L29" s="38"/>
      <c r="M29" s="38">
        <f t="shared" si="9"/>
        <v>670.87568852757033</v>
      </c>
      <c r="N29" s="38">
        <f t="shared" si="4"/>
        <v>1670.8756885275702</v>
      </c>
      <c r="O29" s="38">
        <f t="shared" si="5"/>
        <v>41910.631747072934</v>
      </c>
      <c r="P29" s="85">
        <f t="shared" si="6"/>
        <v>2.3917293746963195</v>
      </c>
      <c r="Q29" s="86">
        <f t="shared" si="7"/>
        <v>100238.88906155447</v>
      </c>
    </row>
    <row r="30" spans="1:17">
      <c r="A30" s="4">
        <v>38</v>
      </c>
      <c r="B30" s="5">
        <v>8.1299999999992305E-4</v>
      </c>
      <c r="C30" s="6">
        <v>98728.954255557706</v>
      </c>
      <c r="D30" s="6">
        <v>80.266639809760818</v>
      </c>
      <c r="E30" s="7"/>
      <c r="F30" s="82">
        <v>22</v>
      </c>
      <c r="G30" s="23">
        <f t="shared" si="0"/>
        <v>0.94671803504923213</v>
      </c>
      <c r="H30" s="24">
        <f t="shared" si="1"/>
        <v>14.835621274928641</v>
      </c>
      <c r="I30" s="23">
        <f t="shared" si="8"/>
        <v>2.9926407205215121E-2</v>
      </c>
      <c r="J30" s="38">
        <f t="shared" si="2"/>
        <v>47676.107608044309</v>
      </c>
      <c r="K30" s="38">
        <f t="shared" si="3"/>
        <v>3007.6039241241197</v>
      </c>
      <c r="L30" s="38"/>
      <c r="M30" s="38">
        <f t="shared" si="9"/>
        <v>691.7810637464321</v>
      </c>
      <c r="N30" s="38">
        <f t="shared" si="4"/>
        <v>1691.7810637464322</v>
      </c>
      <c r="O30" s="38">
        <f t="shared" si="5"/>
        <v>42976.722620173758</v>
      </c>
      <c r="P30" s="85">
        <f t="shared" si="6"/>
        <v>2.5032995081600049</v>
      </c>
      <c r="Q30" s="86">
        <f t="shared" si="7"/>
        <v>107583.60859740993</v>
      </c>
    </row>
    <row r="31" spans="1:17">
      <c r="A31" s="4">
        <v>39</v>
      </c>
      <c r="B31" s="5">
        <v>8.7000000000008544E-4</v>
      </c>
      <c r="C31" s="6">
        <v>98648.687615747942</v>
      </c>
      <c r="D31" s="6">
        <v>85.824358225709133</v>
      </c>
      <c r="E31" s="7"/>
      <c r="F31" s="82">
        <v>23</v>
      </c>
      <c r="G31" s="23">
        <f t="shared" si="0"/>
        <v>0.93995846827898055</v>
      </c>
      <c r="H31" s="24">
        <f t="shared" si="1"/>
        <v>15.235094049456938</v>
      </c>
      <c r="I31" s="23">
        <f t="shared" si="8"/>
        <v>3.266894144572674E-2</v>
      </c>
      <c r="J31" s="38">
        <f t="shared" si="2"/>
        <v>48959.86287733529</v>
      </c>
      <c r="K31" s="38">
        <f t="shared" si="3"/>
        <v>3283.2286152955376</v>
      </c>
      <c r="L31" s="38"/>
      <c r="M31" s="38">
        <f t="shared" si="9"/>
        <v>711.75470247284693</v>
      </c>
      <c r="N31" s="38">
        <f t="shared" si="4"/>
        <v>1711.7547024728469</v>
      </c>
      <c r="O31" s="38">
        <f t="shared" si="5"/>
        <v>43964.879559566907</v>
      </c>
      <c r="P31" s="85">
        <f t="shared" si="6"/>
        <v>2.6221536656592117</v>
      </c>
      <c r="Q31" s="86">
        <f t="shared" si="7"/>
        <v>115282.67009738412</v>
      </c>
    </row>
    <row r="32" spans="1:17">
      <c r="A32" s="4">
        <v>40</v>
      </c>
      <c r="B32" s="5">
        <v>9.3699999999987576E-4</v>
      </c>
      <c r="C32" s="6">
        <v>98562.863257522229</v>
      </c>
      <c r="D32" s="6">
        <v>92.353402872286082</v>
      </c>
      <c r="E32" s="7"/>
      <c r="F32" s="24"/>
      <c r="I32" s="23"/>
    </row>
    <row r="33" spans="1:20">
      <c r="A33" s="4">
        <v>41</v>
      </c>
      <c r="B33" s="5">
        <v>1.0139999999998718E-3</v>
      </c>
      <c r="C33" s="6">
        <v>98470.50985464995</v>
      </c>
      <c r="D33" s="6">
        <v>99.849096992602426</v>
      </c>
      <c r="E33" s="7"/>
      <c r="F33" s="24"/>
      <c r="S33" s="18">
        <v>1</v>
      </c>
      <c r="T33" t="s">
        <v>141</v>
      </c>
    </row>
    <row r="34" spans="1:20">
      <c r="A34" s="4">
        <v>42</v>
      </c>
      <c r="B34" s="5">
        <v>1.1040000000000186E-3</v>
      </c>
      <c r="C34" s="6">
        <v>98370.660757657344</v>
      </c>
      <c r="D34" s="6">
        <v>108.60120947645554</v>
      </c>
      <c r="E34" s="7"/>
      <c r="F34" s="24"/>
      <c r="P34" t="s">
        <v>142</v>
      </c>
      <c r="Q34" s="88">
        <f>Q31-G4-L5</f>
        <v>14782.670097384122</v>
      </c>
      <c r="S34" s="18">
        <v>1</v>
      </c>
    </row>
    <row r="35" spans="1:20">
      <c r="A35" s="4">
        <v>43</v>
      </c>
      <c r="B35" s="5">
        <v>1.2079999999999012E-3</v>
      </c>
      <c r="C35" s="6">
        <v>98262.059548180885</v>
      </c>
      <c r="D35" s="6">
        <v>118.7005679341928</v>
      </c>
      <c r="E35" s="7"/>
      <c r="F35" s="24"/>
      <c r="S35" s="18"/>
    </row>
    <row r="36" spans="1:20">
      <c r="A36" s="4">
        <v>44</v>
      </c>
      <c r="B36" s="5">
        <v>1.3270000000000194E-3</v>
      </c>
      <c r="C36" s="6">
        <v>98143.358980246689</v>
      </c>
      <c r="D36" s="6">
        <v>130.23623736678925</v>
      </c>
      <c r="E36" s="7"/>
      <c r="F36" s="24"/>
      <c r="P36" t="s">
        <v>143</v>
      </c>
      <c r="Q36" s="38">
        <f>L2*G5*G6</f>
        <v>14782.670097384154</v>
      </c>
      <c r="R36" s="88">
        <f>Q34-Q36</f>
        <v>-3.2741809263825417E-11</v>
      </c>
      <c r="S36" s="18">
        <v>1</v>
      </c>
      <c r="T36" t="s">
        <v>144</v>
      </c>
    </row>
    <row r="37" spans="1:20">
      <c r="A37" s="4">
        <v>45</v>
      </c>
      <c r="B37" s="5">
        <v>1.4649999999999626E-3</v>
      </c>
      <c r="C37" s="6">
        <v>98013.122742879903</v>
      </c>
      <c r="D37" s="6">
        <v>143.58922481831539</v>
      </c>
      <c r="E37" s="7"/>
      <c r="F37" s="24"/>
      <c r="S37" s="18">
        <v>2</v>
      </c>
      <c r="T37" t="s">
        <v>145</v>
      </c>
    </row>
    <row r="38" spans="1:20">
      <c r="A38" s="4">
        <v>46</v>
      </c>
      <c r="B38" s="5">
        <v>1.6220000000000613E-3</v>
      </c>
      <c r="C38" s="6">
        <v>97869.533518061595</v>
      </c>
      <c r="D38" s="6">
        <v>158.74438336630192</v>
      </c>
      <c r="E38" s="7"/>
      <c r="F38" s="24"/>
    </row>
    <row r="39" spans="1:20">
      <c r="A39" s="4">
        <v>47</v>
      </c>
      <c r="B39" s="5">
        <v>1.8019999999999542E-3</v>
      </c>
      <c r="C39" s="6">
        <v>97710.789134695297</v>
      </c>
      <c r="D39" s="6">
        <v>176.07484202071646</v>
      </c>
      <c r="E39" s="7"/>
      <c r="F39" s="24"/>
    </row>
    <row r="40" spans="1:20">
      <c r="A40" s="4">
        <v>48</v>
      </c>
      <c r="B40" s="5">
        <v>2.0079999999999599E-3</v>
      </c>
      <c r="C40" s="6">
        <v>97534.714292674587</v>
      </c>
      <c r="D40" s="6">
        <v>195.84970629968666</v>
      </c>
      <c r="E40" s="7"/>
      <c r="F40" s="24"/>
    </row>
    <row r="41" spans="1:20">
      <c r="A41" s="4">
        <v>49</v>
      </c>
      <c r="B41" s="5">
        <v>2.2410000000001075E-3</v>
      </c>
      <c r="C41" s="6">
        <v>97338.864586374897</v>
      </c>
      <c r="D41" s="6">
        <v>218.13639553807661</v>
      </c>
      <c r="E41" s="7"/>
      <c r="F41" s="24"/>
    </row>
    <row r="42" spans="1:20">
      <c r="A42" s="4">
        <v>50</v>
      </c>
      <c r="B42" s="5">
        <v>2.5079999999998615E-3</v>
      </c>
      <c r="C42" s="6">
        <v>97120.728190836817</v>
      </c>
      <c r="D42" s="6">
        <v>243.57878630260529</v>
      </c>
      <c r="E42" s="7"/>
      <c r="F42" s="24"/>
    </row>
    <row r="43" spans="1:20">
      <c r="A43" s="4">
        <v>51</v>
      </c>
      <c r="B43" s="5">
        <v>2.8089999999999665E-3</v>
      </c>
      <c r="C43" s="6">
        <v>96877.149404534211</v>
      </c>
      <c r="D43" s="6">
        <v>272.12791267733337</v>
      </c>
      <c r="E43" s="7"/>
      <c r="F43" s="24"/>
      <c r="I43" s="23">
        <f>B2-I31</f>
        <v>-3.266894144572674E-2</v>
      </c>
    </row>
    <row r="44" spans="1:20">
      <c r="A44" s="4">
        <v>52</v>
      </c>
      <c r="B44" s="5">
        <v>3.1519999999999829E-3</v>
      </c>
      <c r="C44" s="6">
        <v>96605.021491856882</v>
      </c>
      <c r="D44" s="6">
        <v>304.49902774233124</v>
      </c>
      <c r="E44" s="7"/>
      <c r="F44" s="24"/>
      <c r="I44" s="23">
        <f>C52/C29*1.04^-23</f>
        <v>0.38136590280592847</v>
      </c>
    </row>
    <row r="45" spans="1:20">
      <c r="A45" s="4">
        <v>53</v>
      </c>
      <c r="B45" s="5">
        <v>3.5389999999999042E-3</v>
      </c>
      <c r="C45" s="6">
        <v>96300.522464114547</v>
      </c>
      <c r="D45" s="6">
        <v>340.80754900049214</v>
      </c>
      <c r="E45" s="7"/>
      <c r="F45" s="24"/>
    </row>
    <row r="46" spans="1:20">
      <c r="A46" s="4">
        <v>54</v>
      </c>
      <c r="B46" s="5">
        <v>3.9760000000000177E-3</v>
      </c>
      <c r="C46" s="6">
        <v>95959.714915114047</v>
      </c>
      <c r="D46" s="6">
        <v>381.53582650249513</v>
      </c>
      <c r="E46" s="7"/>
      <c r="F46" s="24"/>
    </row>
    <row r="47" spans="1:20">
      <c r="A47" s="4">
        <v>55</v>
      </c>
      <c r="B47" s="5">
        <v>4.4690000000000294E-3</v>
      </c>
      <c r="C47" s="6">
        <v>95578.179088611549</v>
      </c>
      <c r="D47" s="6">
        <v>427.13888234700784</v>
      </c>
      <c r="E47" s="7"/>
      <c r="F47" s="24"/>
    </row>
    <row r="48" spans="1:20">
      <c r="A48" s="4">
        <v>56</v>
      </c>
      <c r="B48" s="5">
        <v>5.0249999999998846E-3</v>
      </c>
      <c r="C48" s="6">
        <v>95151.040206264544</v>
      </c>
      <c r="D48" s="6">
        <v>478.13397703646837</v>
      </c>
      <c r="E48" s="7"/>
      <c r="F48" s="24"/>
    </row>
    <row r="49" spans="1:6">
      <c r="A49" s="4">
        <v>57</v>
      </c>
      <c r="B49" s="5">
        <v>5.6499999999999519E-3</v>
      </c>
      <c r="C49" s="6">
        <v>94672.906229228072</v>
      </c>
      <c r="D49" s="6">
        <v>534.90192019513404</v>
      </c>
      <c r="E49" s="7"/>
      <c r="F49" s="24"/>
    </row>
    <row r="50" spans="1:6">
      <c r="A50" s="4">
        <v>58</v>
      </c>
      <c r="B50" s="5">
        <v>6.3520000000000633E-3</v>
      </c>
      <c r="C50" s="6">
        <v>94138.004309032942</v>
      </c>
      <c r="D50" s="6">
        <v>597.96460337098324</v>
      </c>
      <c r="E50" s="7"/>
      <c r="F50" s="24"/>
    </row>
    <row r="51" spans="1:6">
      <c r="A51" s="4">
        <v>59</v>
      </c>
      <c r="B51" s="5">
        <v>7.1400000000001063E-3</v>
      </c>
      <c r="C51" s="6">
        <v>93540.039705661955</v>
      </c>
      <c r="D51" s="6">
        <v>667.87588349843634</v>
      </c>
      <c r="E51" s="7"/>
      <c r="F51" s="24"/>
    </row>
    <row r="52" spans="1:6">
      <c r="A52" s="4">
        <v>60</v>
      </c>
      <c r="B52" s="5">
        <v>8.022000000000069E-3</v>
      </c>
      <c r="C52" s="6">
        <v>92872.163822163522</v>
      </c>
      <c r="D52" s="6">
        <v>745.02049818140222</v>
      </c>
      <c r="E52" s="7"/>
      <c r="F52" s="24"/>
    </row>
    <row r="53" spans="1:6">
      <c r="A53" s="4">
        <v>61</v>
      </c>
      <c r="B53" s="5">
        <v>9.0090000000001332E-3</v>
      </c>
      <c r="C53" s="6">
        <v>92127.14332398212</v>
      </c>
      <c r="D53" s="6">
        <v>829.97343420576715</v>
      </c>
      <c r="E53" s="7"/>
      <c r="F53" s="24"/>
    </row>
    <row r="54" spans="1:6">
      <c r="A54" s="4">
        <v>62</v>
      </c>
      <c r="B54" s="5">
        <v>1.0111999999999927E-2</v>
      </c>
      <c r="C54" s="6">
        <v>91297.169889776356</v>
      </c>
      <c r="D54" s="6">
        <v>923.19698192541182</v>
      </c>
      <c r="E54" s="7"/>
      <c r="F54" s="24"/>
    </row>
    <row r="55" spans="1:6">
      <c r="A55" s="4">
        <v>63</v>
      </c>
      <c r="B55" s="5">
        <v>1.1344000000000009E-2</v>
      </c>
      <c r="C55" s="6">
        <v>90373.972907850941</v>
      </c>
      <c r="D55" s="6">
        <v>1025.2023486666619</v>
      </c>
      <c r="E55" s="7"/>
      <c r="F55" s="24"/>
    </row>
    <row r="56" spans="1:6">
      <c r="A56" s="4">
        <v>64</v>
      </c>
      <c r="B56" s="5">
        <v>1.271599999999987E-2</v>
      </c>
      <c r="C56" s="6">
        <v>89348.770559184282</v>
      </c>
      <c r="D56" s="6">
        <v>1136.1589664305757</v>
      </c>
      <c r="E56" s="7"/>
      <c r="F56" s="24"/>
    </row>
    <row r="57" spans="1:6">
      <c r="A57" s="4">
        <v>65</v>
      </c>
      <c r="B57" s="5">
        <v>1.4243000000000096E-2</v>
      </c>
      <c r="C57" s="6">
        <v>88212.611592753703</v>
      </c>
      <c r="D57" s="6">
        <v>1256.4122269155994</v>
      </c>
      <c r="E57" s="7"/>
      <c r="F57" s="24"/>
    </row>
    <row r="58" spans="1:6">
      <c r="A58" s="4">
        <v>66</v>
      </c>
      <c r="B58" s="5">
        <v>1.5940000000000044E-2</v>
      </c>
      <c r="C58" s="6">
        <v>86956.199365838111</v>
      </c>
      <c r="D58" s="6">
        <v>1386.0818178914633</v>
      </c>
      <c r="E58" s="7"/>
      <c r="F58" s="24"/>
    </row>
    <row r="59" spans="1:6">
      <c r="A59" s="4">
        <v>67</v>
      </c>
      <c r="B59" s="5">
        <v>1.7823999999999889E-2</v>
      </c>
      <c r="C59" s="6">
        <v>85570.117547946647</v>
      </c>
      <c r="D59" s="6">
        <v>1525.2017751745916</v>
      </c>
      <c r="E59" s="7"/>
      <c r="F59" s="24"/>
    </row>
    <row r="60" spans="1:6">
      <c r="A60" s="4">
        <v>68</v>
      </c>
      <c r="B60" s="5">
        <v>1.9912999999999938E-2</v>
      </c>
      <c r="C60" s="6">
        <v>84044.915772772059</v>
      </c>
      <c r="D60" s="6">
        <v>1673.5864077832048</v>
      </c>
      <c r="E60" s="7"/>
      <c r="F60" s="24"/>
    </row>
    <row r="61" spans="1:6">
      <c r="A61" s="4">
        <v>69</v>
      </c>
      <c r="B61" s="5">
        <v>2.2225999999999965E-2</v>
      </c>
      <c r="C61" s="6">
        <v>82371.329364988851</v>
      </c>
      <c r="D61" s="6">
        <v>1830.7851664662394</v>
      </c>
      <c r="E61" s="7"/>
      <c r="F61" s="24"/>
    </row>
    <row r="62" spans="1:6">
      <c r="A62" s="4">
        <v>70</v>
      </c>
      <c r="B62" s="5">
        <v>2.4782999999999972E-2</v>
      </c>
      <c r="C62" s="6">
        <v>80540.544198522606</v>
      </c>
      <c r="D62" s="6">
        <v>1996.0363068719835</v>
      </c>
      <c r="E62" s="7"/>
      <c r="F62" s="24"/>
    </row>
    <row r="63" spans="1:6">
      <c r="A63" s="4">
        <v>71</v>
      </c>
      <c r="B63" s="5">
        <v>2.7606000000000047E-2</v>
      </c>
      <c r="C63" s="6">
        <v>78544.507891650617</v>
      </c>
      <c r="D63" s="6">
        <v>2168.2996848569105</v>
      </c>
      <c r="E63" s="7"/>
      <c r="F63" s="24"/>
    </row>
    <row r="64" spans="1:6">
      <c r="A64" s="4">
        <v>72</v>
      </c>
      <c r="B64" s="5">
        <v>3.0718000000000009E-2</v>
      </c>
      <c r="C64" s="6">
        <v>76376.208206793701</v>
      </c>
      <c r="D64" s="6">
        <v>2346.1243636962895</v>
      </c>
      <c r="E64" s="7"/>
      <c r="F64" s="24"/>
    </row>
    <row r="65" spans="1:6">
      <c r="A65" s="4">
        <v>73</v>
      </c>
      <c r="B65" s="5">
        <v>3.4144000000000015E-2</v>
      </c>
      <c r="C65" s="6">
        <v>74030.083843097411</v>
      </c>
      <c r="D65" s="6">
        <v>2527.6831827387191</v>
      </c>
      <c r="E65" s="7"/>
      <c r="F65" s="24"/>
    </row>
    <row r="66" spans="1:6">
      <c r="A66" s="4">
        <v>74</v>
      </c>
      <c r="B66" s="5">
        <v>3.7911000000000035E-2</v>
      </c>
      <c r="C66" s="6">
        <v>71502.400660358689</v>
      </c>
      <c r="D66" s="6">
        <v>2710.7275114348608</v>
      </c>
      <c r="E66" s="7"/>
      <c r="F66" s="24"/>
    </row>
    <row r="67" spans="1:6">
      <c r="A67" s="4">
        <v>75</v>
      </c>
      <c r="B67" s="5">
        <v>4.2045999999999965E-2</v>
      </c>
      <c r="C67" s="6">
        <v>68791.67314892383</v>
      </c>
      <c r="D67" s="6">
        <v>2892.4146892196491</v>
      </c>
      <c r="E67" s="7"/>
      <c r="F67" s="24"/>
    </row>
    <row r="68" spans="1:6">
      <c r="A68" s="4">
        <v>76</v>
      </c>
      <c r="B68" s="5">
        <v>4.6578000000000043E-2</v>
      </c>
      <c r="C68" s="6">
        <v>65899.258459704186</v>
      </c>
      <c r="D68" s="6">
        <v>3069.4556605361045</v>
      </c>
      <c r="E68" s="7"/>
      <c r="F68" s="24"/>
    </row>
    <row r="69" spans="1:6">
      <c r="A69" s="4">
        <v>77</v>
      </c>
      <c r="B69" s="5">
        <v>5.1537999999999966E-2</v>
      </c>
      <c r="C69" s="6">
        <v>62829.802799168079</v>
      </c>
      <c r="D69" s="6">
        <v>3238.1223766635221</v>
      </c>
      <c r="E69" s="7"/>
      <c r="F69" s="24"/>
    </row>
    <row r="70" spans="1:6">
      <c r="A70" s="4">
        <v>78</v>
      </c>
      <c r="B70" s="5">
        <v>5.6955999999999958E-2</v>
      </c>
      <c r="C70" s="6">
        <v>59591.680422504556</v>
      </c>
      <c r="D70" s="6">
        <v>3394.103750144167</v>
      </c>
      <c r="E70" s="7"/>
      <c r="F70" s="24"/>
    </row>
    <row r="71" spans="1:6">
      <c r="A71" s="4">
        <v>79</v>
      </c>
      <c r="B71" s="5">
        <v>6.2867000000000006E-2</v>
      </c>
      <c r="C71" s="6">
        <v>56197.576672360388</v>
      </c>
      <c r="D71" s="6">
        <v>3532.9730526612807</v>
      </c>
      <c r="E71" s="7"/>
      <c r="F71" s="24"/>
    </row>
    <row r="72" spans="1:6">
      <c r="A72" s="4">
        <v>80</v>
      </c>
      <c r="B72" s="5">
        <v>6.9303000000000017E-2</v>
      </c>
      <c r="C72" s="6">
        <v>52664.603619699104</v>
      </c>
      <c r="D72" s="6">
        <v>3649.8150246560081</v>
      </c>
      <c r="E72" s="7"/>
      <c r="F72" s="24"/>
    </row>
    <row r="73" spans="1:6">
      <c r="A73" s="4">
        <v>81</v>
      </c>
      <c r="B73" s="5">
        <v>7.6300000000000007E-2</v>
      </c>
      <c r="C73" s="6">
        <v>49014.788595043094</v>
      </c>
      <c r="D73" s="6">
        <v>3739.8283698017885</v>
      </c>
      <c r="E73" s="7"/>
      <c r="F73" s="24"/>
    </row>
    <row r="74" spans="1:6">
      <c r="A74" s="4">
        <v>82</v>
      </c>
      <c r="B74" s="5">
        <v>8.3893000000000079E-2</v>
      </c>
      <c r="C74" s="6">
        <v>45274.960225241302</v>
      </c>
      <c r="D74" s="6">
        <v>3798.2522381761723</v>
      </c>
      <c r="E74" s="7"/>
      <c r="F74" s="24"/>
    </row>
    <row r="75" spans="1:6">
      <c r="A75" s="4">
        <v>83</v>
      </c>
      <c r="B75" s="5">
        <v>9.2116999999999977E-2</v>
      </c>
      <c r="C75" s="6">
        <v>41476.707987065129</v>
      </c>
      <c r="D75" s="6">
        <v>3820.7099096444776</v>
      </c>
      <c r="E75" s="7"/>
      <c r="F75" s="24"/>
    </row>
    <row r="76" spans="1:6">
      <c r="A76" s="4">
        <v>84</v>
      </c>
      <c r="B76" s="5">
        <v>0.10100699999999992</v>
      </c>
      <c r="C76" s="6">
        <v>37655.998077420649</v>
      </c>
      <c r="D76" s="6">
        <v>3803.5193978060242</v>
      </c>
      <c r="E76" s="7"/>
      <c r="F76" s="24"/>
    </row>
    <row r="77" spans="1:6">
      <c r="A77" s="4">
        <v>85</v>
      </c>
      <c r="B77" s="5">
        <v>0.11060000000000006</v>
      </c>
      <c r="C77" s="6">
        <v>33852.478679614622</v>
      </c>
      <c r="D77" s="6">
        <v>3744.0841419653793</v>
      </c>
      <c r="E77" s="7"/>
      <c r="F77" s="24"/>
    </row>
    <row r="78" spans="1:6">
      <c r="A78" s="4">
        <v>86</v>
      </c>
      <c r="B78" s="5">
        <v>0.12092900000000001</v>
      </c>
      <c r="C78" s="6">
        <v>30108.394537649241</v>
      </c>
      <c r="D78" s="6">
        <v>3640.9780430433852</v>
      </c>
      <c r="E78" s="7"/>
      <c r="F78" s="24"/>
    </row>
    <row r="79" spans="1:6">
      <c r="A79" s="4">
        <v>87</v>
      </c>
      <c r="B79" s="5">
        <v>0.13202800000000009</v>
      </c>
      <c r="C79" s="6">
        <v>26467.416494605855</v>
      </c>
      <c r="D79" s="6">
        <v>3494.4400649498243</v>
      </c>
      <c r="E79" s="7"/>
      <c r="F79" s="24"/>
    </row>
    <row r="80" spans="1:6">
      <c r="A80" s="4">
        <v>88</v>
      </c>
      <c r="B80" s="5">
        <v>0.14392899999999995</v>
      </c>
      <c r="C80" s="6">
        <v>22972.976429656032</v>
      </c>
      <c r="D80" s="6">
        <v>3306.4775245439619</v>
      </c>
      <c r="E80" s="7"/>
      <c r="F80" s="24"/>
    </row>
    <row r="81" spans="1:6">
      <c r="A81" s="4">
        <v>89</v>
      </c>
      <c r="B81" s="5">
        <v>0.15666000000000002</v>
      </c>
      <c r="C81" s="6">
        <v>19666.498905112068</v>
      </c>
      <c r="D81" s="6">
        <v>3080.9537184748569</v>
      </c>
      <c r="E81" s="7"/>
      <c r="F81" s="24"/>
    </row>
    <row r="82" spans="1:6">
      <c r="A82" s="4">
        <v>90</v>
      </c>
      <c r="B82" s="5">
        <v>0.17024699999999998</v>
      </c>
      <c r="C82" s="6">
        <v>16585.54518663721</v>
      </c>
      <c r="D82" s="6">
        <v>2823.6393113894246</v>
      </c>
      <c r="E82" s="7"/>
      <c r="F82" s="24"/>
    </row>
    <row r="83" spans="1:6">
      <c r="A83" s="4">
        <v>91</v>
      </c>
      <c r="B83" s="5">
        <v>0.18471399999999996</v>
      </c>
      <c r="C83" s="6">
        <v>13761.905875247785</v>
      </c>
      <c r="D83" s="6">
        <v>2542.0166818405187</v>
      </c>
      <c r="E83" s="7"/>
      <c r="F83" s="24"/>
    </row>
    <row r="84" spans="1:6">
      <c r="A84" s="4">
        <v>92</v>
      </c>
      <c r="B84" s="5">
        <v>0.20007900000000001</v>
      </c>
      <c r="C84" s="6">
        <v>11219.889193407267</v>
      </c>
      <c r="D84" s="6">
        <v>2244.8642099277326</v>
      </c>
      <c r="E84" s="7"/>
      <c r="F84" s="24"/>
    </row>
    <row r="85" spans="1:6">
      <c r="A85" s="4">
        <v>93</v>
      </c>
      <c r="B85" s="5">
        <v>0.21635399999999999</v>
      </c>
      <c r="C85" s="6">
        <v>8975.0249834795341</v>
      </c>
      <c r="D85" s="6">
        <v>1941.7825552757311</v>
      </c>
      <c r="E85" s="7"/>
      <c r="F85" s="24"/>
    </row>
    <row r="86" spans="1:6">
      <c r="A86" s="4">
        <v>94</v>
      </c>
      <c r="B86" s="5">
        <v>0.23354800000000003</v>
      </c>
      <c r="C86" s="6">
        <v>7033.2424282038028</v>
      </c>
      <c r="D86" s="6">
        <v>1642.5997026221419</v>
      </c>
      <c r="E86" s="7"/>
      <c r="F86" s="24"/>
    </row>
    <row r="87" spans="1:6">
      <c r="A87" s="4">
        <v>95</v>
      </c>
      <c r="B87" s="5">
        <v>0.25166200000000005</v>
      </c>
      <c r="C87" s="6">
        <v>5390.6427255816607</v>
      </c>
      <c r="D87" s="6">
        <v>1356.6199296053321</v>
      </c>
      <c r="E87" s="7"/>
      <c r="F87" s="24"/>
    </row>
    <row r="88" spans="1:6">
      <c r="A88" s="4">
        <v>96</v>
      </c>
      <c r="B88" s="5">
        <v>0.27068800000000004</v>
      </c>
      <c r="C88" s="6">
        <v>4034.0227959763288</v>
      </c>
      <c r="D88" s="6">
        <v>1091.9615625972406</v>
      </c>
      <c r="E88" s="7"/>
      <c r="F88" s="24"/>
    </row>
    <row r="89" spans="1:6">
      <c r="A89" s="4">
        <v>97</v>
      </c>
      <c r="B89" s="5">
        <v>0.29061299999999995</v>
      </c>
      <c r="C89" s="6">
        <v>2942.0612333790882</v>
      </c>
      <c r="D89" s="6">
        <v>855.00124121599686</v>
      </c>
      <c r="E89" s="7"/>
      <c r="F89" s="24"/>
    </row>
    <row r="90" spans="1:6">
      <c r="A90" s="4">
        <v>98</v>
      </c>
      <c r="B90" s="5">
        <v>0.31141400000000008</v>
      </c>
      <c r="C90" s="6">
        <v>2087.0599921630915</v>
      </c>
      <c r="D90" s="6">
        <v>649.93970039947715</v>
      </c>
      <c r="E90" s="7"/>
      <c r="F90" s="24"/>
    </row>
    <row r="91" spans="1:6">
      <c r="A91" s="4">
        <v>99</v>
      </c>
      <c r="B91" s="5">
        <v>0.33305800000000008</v>
      </c>
      <c r="C91" s="6">
        <v>1437.1202917636142</v>
      </c>
      <c r="D91" s="6">
        <v>478.64441013420594</v>
      </c>
      <c r="E91" s="7"/>
      <c r="F91" s="24"/>
    </row>
    <row r="92" spans="1:6">
      <c r="A92" s="4">
        <v>100</v>
      </c>
      <c r="B92" s="5">
        <v>0.35550499999999996</v>
      </c>
      <c r="C92" s="6">
        <v>958.47588162940826</v>
      </c>
      <c r="D92" s="6">
        <v>340.74296829866273</v>
      </c>
      <c r="E92" s="7"/>
      <c r="F92" s="24"/>
    </row>
    <row r="93" spans="1:6">
      <c r="A93" s="4">
        <v>101</v>
      </c>
      <c r="B93" s="5">
        <v>0.37870200000000004</v>
      </c>
      <c r="C93" s="6">
        <v>617.73291333074553</v>
      </c>
      <c r="D93" s="6">
        <v>233.93668974418003</v>
      </c>
      <c r="E93" s="7"/>
      <c r="F93" s="24"/>
    </row>
    <row r="94" spans="1:6">
      <c r="A94" s="4">
        <v>102</v>
      </c>
      <c r="B94" s="5">
        <v>0.40258799999999995</v>
      </c>
      <c r="C94" s="6">
        <v>383.79622358656547</v>
      </c>
      <c r="D94" s="6">
        <v>154.51175406126819</v>
      </c>
      <c r="E94" s="7"/>
      <c r="F94" s="24"/>
    </row>
    <row r="95" spans="1:6">
      <c r="A95" s="4">
        <v>103</v>
      </c>
      <c r="B95" s="5">
        <v>0.42708999999999997</v>
      </c>
      <c r="C95" s="6">
        <v>229.28446952529728</v>
      </c>
      <c r="D95" s="6">
        <v>97.925104089559213</v>
      </c>
      <c r="E95" s="7"/>
      <c r="F95" s="24"/>
    </row>
    <row r="96" spans="1:6">
      <c r="A96" s="4">
        <v>104</v>
      </c>
      <c r="B96" s="5">
        <v>0.45212699999999995</v>
      </c>
      <c r="C96" s="6">
        <v>131.35936543573808</v>
      </c>
      <c r="D96" s="6">
        <v>59.391115816363943</v>
      </c>
      <c r="E96" s="7"/>
      <c r="F96" s="24"/>
    </row>
    <row r="97" spans="1:6">
      <c r="A97" s="4">
        <v>105</v>
      </c>
      <c r="B97" s="5">
        <v>0.47760800000000003</v>
      </c>
      <c r="C97" s="6">
        <v>71.968249619374149</v>
      </c>
      <c r="D97" s="6">
        <v>34.372611764210049</v>
      </c>
      <c r="E97" s="7"/>
      <c r="F97" s="24"/>
    </row>
    <row r="98" spans="1:6">
      <c r="A98" s="4">
        <v>106</v>
      </c>
      <c r="B98" s="5">
        <v>0.50343199999999999</v>
      </c>
      <c r="C98" s="6">
        <v>37.5956378551641</v>
      </c>
      <c r="D98" s="6">
        <v>18.926847156700973</v>
      </c>
      <c r="E98" s="7"/>
      <c r="F98" s="24"/>
    </row>
    <row r="99" spans="1:6">
      <c r="A99" s="4">
        <v>107</v>
      </c>
      <c r="B99" s="5">
        <v>0.52949299999999999</v>
      </c>
      <c r="C99" s="6">
        <v>18.668790698463127</v>
      </c>
      <c r="D99" s="6">
        <v>9.884993993301336</v>
      </c>
      <c r="E99" s="7"/>
      <c r="F99" s="24"/>
    </row>
    <row r="100" spans="1:6">
      <c r="A100" s="4">
        <v>108</v>
      </c>
      <c r="B100" s="5">
        <v>0.555674</v>
      </c>
      <c r="C100" s="6">
        <v>8.7837967051617909</v>
      </c>
      <c r="D100" s="6">
        <v>4.8809274503440729</v>
      </c>
      <c r="E100" s="7"/>
      <c r="F100" s="24"/>
    </row>
    <row r="101" spans="1:6">
      <c r="A101" s="4">
        <v>109</v>
      </c>
      <c r="B101" s="5">
        <v>0.58185699999999996</v>
      </c>
      <c r="C101" s="6">
        <v>3.902869254817718</v>
      </c>
      <c r="D101" s="6">
        <v>2.2709117960004725</v>
      </c>
      <c r="E101" s="7"/>
      <c r="F101" s="24"/>
    </row>
    <row r="102" spans="1:6">
      <c r="A102" s="4">
        <v>110</v>
      </c>
      <c r="B102" s="5">
        <v>0.60791799999999996</v>
      </c>
      <c r="C102" s="6">
        <v>1.6319574588172454</v>
      </c>
      <c r="D102" s="6">
        <v>0.99209631444926216</v>
      </c>
      <c r="E102" s="7"/>
      <c r="F102" s="24"/>
    </row>
    <row r="103" spans="1:6">
      <c r="A103" s="4">
        <v>111</v>
      </c>
      <c r="B103" s="5">
        <v>0.63373100000000004</v>
      </c>
      <c r="C103" s="6">
        <v>0.63986114436798325</v>
      </c>
      <c r="D103" s="6">
        <v>0.4054998428814664</v>
      </c>
      <c r="E103" s="7"/>
      <c r="F103" s="24"/>
    </row>
    <row r="104" spans="1:6">
      <c r="A104" s="4">
        <v>112</v>
      </c>
      <c r="B104" s="5">
        <v>0.65917099999999995</v>
      </c>
      <c r="C104" s="6">
        <v>0.23436130148651685</v>
      </c>
      <c r="D104" s="6">
        <v>0.15448417346216878</v>
      </c>
      <c r="E104" s="7"/>
      <c r="F104" s="24"/>
    </row>
    <row r="105" spans="1:6">
      <c r="A105" s="4">
        <v>113</v>
      </c>
      <c r="B105" s="5">
        <v>0.684114</v>
      </c>
      <c r="C105" s="6">
        <v>7.9877128024348071E-2</v>
      </c>
      <c r="D105" s="6">
        <v>5.4645061561248855E-2</v>
      </c>
      <c r="E105" s="7"/>
      <c r="F105" s="24"/>
    </row>
    <row r="106" spans="1:6">
      <c r="A106" s="4">
        <v>114</v>
      </c>
      <c r="B106" s="5">
        <v>0.70844200000000002</v>
      </c>
      <c r="C106" s="6">
        <v>2.5232066463099216E-2</v>
      </c>
      <c r="D106" s="6">
        <v>1.7875455629250935E-2</v>
      </c>
      <c r="E106" s="7"/>
      <c r="F106" s="24"/>
    </row>
    <row r="107" spans="1:6">
      <c r="A107" s="4">
        <v>115</v>
      </c>
      <c r="B107" s="5">
        <v>0.73204199999999997</v>
      </c>
      <c r="C107" s="6">
        <v>7.3566108338482816E-3</v>
      </c>
      <c r="D107" s="6">
        <v>5.3853481080319635E-3</v>
      </c>
      <c r="E107" s="7"/>
      <c r="F107" s="24"/>
    </row>
    <row r="108" spans="1:6">
      <c r="A108" s="4">
        <v>116</v>
      </c>
      <c r="B108" s="5">
        <v>0.75480899999999995</v>
      </c>
      <c r="C108" s="6">
        <v>1.9712627258163182E-3</v>
      </c>
      <c r="D108" s="6">
        <v>1.4879268468106892E-3</v>
      </c>
      <c r="E108" s="7"/>
      <c r="F108" s="24"/>
    </row>
    <row r="109" spans="1:6">
      <c r="A109" s="4">
        <v>117</v>
      </c>
      <c r="B109" s="5">
        <v>0.77664800000000001</v>
      </c>
      <c r="C109" s="6">
        <v>4.8333587900562902E-4</v>
      </c>
      <c r="D109" s="6">
        <v>3.7538184375796377E-4</v>
      </c>
      <c r="E109" s="7"/>
      <c r="F109" s="24"/>
    </row>
    <row r="110" spans="1:6">
      <c r="A110" s="4">
        <v>118</v>
      </c>
      <c r="B110" s="5">
        <v>0.79747699999999999</v>
      </c>
      <c r="C110" s="6">
        <v>1.0795403524766525E-4</v>
      </c>
      <c r="D110" s="6">
        <v>8.6090860167202342E-5</v>
      </c>
      <c r="E110" s="7"/>
    </row>
    <row r="111" spans="1:6">
      <c r="A111" s="4">
        <v>119</v>
      </c>
      <c r="B111" s="5">
        <v>0.81722500000000009</v>
      </c>
      <c r="C111" s="6">
        <v>2.1863175080462908E-5</v>
      </c>
      <c r="D111" s="6">
        <v>1.7867133255131302E-5</v>
      </c>
    </row>
    <row r="112" spans="1:6">
      <c r="A112" s="4">
        <v>120</v>
      </c>
      <c r="B112" s="5">
        <v>1</v>
      </c>
      <c r="C112" s="6">
        <v>3.9960418253316066E-6</v>
      </c>
      <c r="D112" s="6">
        <v>3.9960418253316066E-6</v>
      </c>
    </row>
  </sheetData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54D7E-B531-4371-BEFB-1714110DD2A9}">
  <dimension ref="A1:I107"/>
  <sheetViews>
    <sheetView topLeftCell="A26" workbookViewId="0">
      <selection activeCell="H46" sqref="H46"/>
    </sheetView>
  </sheetViews>
  <sheetFormatPr defaultColWidth="8.6328125" defaultRowHeight="13"/>
  <cols>
    <col min="1" max="1" width="14.453125" style="8" customWidth="1"/>
    <col min="2" max="2" width="13.81640625" style="8" customWidth="1"/>
    <col min="3" max="4" width="15.453125" style="8" customWidth="1"/>
    <col min="5" max="5" width="1.453125" style="8" customWidth="1"/>
    <col min="6" max="6" width="15.453125" style="8" customWidth="1"/>
    <col min="7" max="7" width="13.1796875" style="8" customWidth="1"/>
    <col min="8" max="8" width="15.1796875" style="8" customWidth="1"/>
    <col min="9" max="9" width="11.453125" style="8" customWidth="1"/>
    <col min="10" max="16384" width="8.6328125" style="8"/>
  </cols>
  <sheetData>
    <row r="1" spans="1:9">
      <c r="A1" s="8" t="s">
        <v>5</v>
      </c>
    </row>
    <row r="2" spans="1:9">
      <c r="A2" s="9" t="s">
        <v>0</v>
      </c>
    </row>
    <row r="3" spans="1:9">
      <c r="A3" s="10" t="s">
        <v>1</v>
      </c>
      <c r="B3" s="10" t="s">
        <v>6</v>
      </c>
      <c r="C3" s="10" t="s">
        <v>7</v>
      </c>
      <c r="D3" s="10" t="s">
        <v>3</v>
      </c>
      <c r="F3" s="10" t="s">
        <v>8</v>
      </c>
      <c r="G3" s="10" t="s">
        <v>9</v>
      </c>
      <c r="H3" s="10" t="s">
        <v>4</v>
      </c>
      <c r="I3" s="10" t="s">
        <v>1</v>
      </c>
    </row>
    <row r="4" spans="1:9">
      <c r="A4" s="11">
        <v>17</v>
      </c>
      <c r="B4" s="12">
        <v>99978.091000000015</v>
      </c>
      <c r="C4" s="12"/>
      <c r="D4" s="12">
        <v>100000</v>
      </c>
      <c r="E4" s="13"/>
      <c r="F4" s="12">
        <v>42.69100000000617</v>
      </c>
      <c r="G4" s="12"/>
      <c r="H4" s="12">
        <v>59.999999999999993</v>
      </c>
      <c r="I4" s="11">
        <v>17</v>
      </c>
    </row>
    <row r="5" spans="1:9">
      <c r="A5" s="11">
        <v>18</v>
      </c>
      <c r="B5" s="12">
        <v>99918.903999999995</v>
      </c>
      <c r="C5" s="12">
        <v>99935.400000000009</v>
      </c>
      <c r="D5" s="12">
        <v>99940</v>
      </c>
      <c r="E5" s="13"/>
      <c r="F5" s="12">
        <v>42.56600000000617</v>
      </c>
      <c r="G5" s="12">
        <v>54.764360000015586</v>
      </c>
      <c r="H5" s="12">
        <v>59.364359999999579</v>
      </c>
      <c r="I5" s="11">
        <v>18</v>
      </c>
    </row>
    <row r="6" spans="1:9">
      <c r="A6" s="11">
        <v>19</v>
      </c>
      <c r="B6" s="12">
        <v>99860.350999999981</v>
      </c>
      <c r="C6" s="12">
        <v>99876.337999999989</v>
      </c>
      <c r="D6" s="12">
        <v>99880.635639999993</v>
      </c>
      <c r="E6" s="13"/>
      <c r="F6" s="12">
        <v>42.439999999987776</v>
      </c>
      <c r="G6" s="12">
        <v>54.332293120678514</v>
      </c>
      <c r="H6" s="12">
        <v>58.629933120682828</v>
      </c>
      <c r="I6" s="11">
        <v>19</v>
      </c>
    </row>
    <row r="7" spans="1:9">
      <c r="A7" s="11">
        <v>20</v>
      </c>
      <c r="B7" s="12">
        <v>99802.432000000001</v>
      </c>
      <c r="C7" s="12">
        <v>99817.910999999993</v>
      </c>
      <c r="D7" s="12">
        <v>99822.00570687931</v>
      </c>
      <c r="E7" s="13"/>
      <c r="F7" s="12">
        <v>42.416000000011991</v>
      </c>
      <c r="G7" s="12">
        <v>54.001700442095171</v>
      </c>
      <c r="H7" s="12">
        <v>58.096407321409053</v>
      </c>
      <c r="I7" s="11">
        <v>20</v>
      </c>
    </row>
    <row r="8" spans="1:9">
      <c r="A8" s="11">
        <v>21</v>
      </c>
      <c r="B8" s="12">
        <v>99745.046000000002</v>
      </c>
      <c r="C8" s="12">
        <v>99760.015999999989</v>
      </c>
      <c r="D8" s="12">
        <v>99763.909299557898</v>
      </c>
      <c r="E8" s="13"/>
      <c r="F8" s="12">
        <v>42.392000000007101</v>
      </c>
      <c r="G8" s="12">
        <v>53.670476107945433</v>
      </c>
      <c r="H8" s="12">
        <v>57.563775665857968</v>
      </c>
      <c r="I8" s="11">
        <v>21</v>
      </c>
    </row>
    <row r="9" spans="1:9">
      <c r="A9" s="11">
        <v>22</v>
      </c>
      <c r="B9" s="12">
        <v>99688.390999999989</v>
      </c>
      <c r="C9" s="12">
        <v>99702.653999999995</v>
      </c>
      <c r="D9" s="12">
        <v>99706.345523892043</v>
      </c>
      <c r="E9" s="13"/>
      <c r="F9" s="12">
        <v>42.56699999999546</v>
      </c>
      <c r="G9" s="12">
        <v>53.340505747619318</v>
      </c>
      <c r="H9" s="12">
        <v>57.032029639667591</v>
      </c>
      <c r="I9" s="11">
        <v>22</v>
      </c>
    </row>
    <row r="10" spans="1:9">
      <c r="A10" s="11">
        <v>23</v>
      </c>
      <c r="B10" s="12">
        <v>99631.96699999999</v>
      </c>
      <c r="C10" s="12">
        <v>99645.823999999993</v>
      </c>
      <c r="D10" s="12">
        <v>99649.313494252376</v>
      </c>
      <c r="E10" s="13"/>
      <c r="F10" s="12">
        <v>42.74199999999837</v>
      </c>
      <c r="G10" s="12">
        <v>53.210965125836083</v>
      </c>
      <c r="H10" s="12">
        <v>56.70045937822578</v>
      </c>
      <c r="I10" s="11">
        <v>23</v>
      </c>
    </row>
    <row r="11" spans="1:9">
      <c r="A11" s="11">
        <v>24</v>
      </c>
      <c r="B11" s="12">
        <v>99575.774999999994</v>
      </c>
      <c r="C11" s="12">
        <v>99589.224999999991</v>
      </c>
      <c r="D11" s="12">
        <v>99592.613034874157</v>
      </c>
      <c r="E11" s="13"/>
      <c r="F11" s="12">
        <v>42.917000000001281</v>
      </c>
      <c r="G11" s="12">
        <v>53.08097671662108</v>
      </c>
      <c r="H11" s="12">
        <v>56.469011590779708</v>
      </c>
      <c r="I11" s="11">
        <v>24</v>
      </c>
    </row>
    <row r="12" spans="1:9">
      <c r="A12" s="11">
        <v>25</v>
      </c>
      <c r="B12" s="12">
        <v>99519.913</v>
      </c>
      <c r="C12" s="12">
        <v>99532.857999999993</v>
      </c>
      <c r="D12" s="12">
        <v>99536.14402328337</v>
      </c>
      <c r="E12" s="13"/>
      <c r="F12" s="12">
        <v>43.290999999997439</v>
      </c>
      <c r="G12" s="12">
        <v>53.051434233784676</v>
      </c>
      <c r="H12" s="12">
        <v>56.337457517165596</v>
      </c>
      <c r="I12" s="11">
        <v>25</v>
      </c>
    </row>
    <row r="13" spans="1:9">
      <c r="A13" s="11">
        <v>26</v>
      </c>
      <c r="B13" s="12">
        <v>99463.981999999975</v>
      </c>
      <c r="C13" s="12">
        <v>99476.622000000003</v>
      </c>
      <c r="D13" s="12">
        <v>99479.806565766208</v>
      </c>
      <c r="E13" s="13"/>
      <c r="F13" s="12">
        <v>43.763999999981024</v>
      </c>
      <c r="G13" s="12">
        <v>53.220484556586598</v>
      </c>
      <c r="H13" s="12">
        <v>56.405050322791794</v>
      </c>
      <c r="I13" s="11">
        <v>26</v>
      </c>
    </row>
    <row r="14" spans="1:9">
      <c r="A14" s="11">
        <v>27</v>
      </c>
      <c r="B14" s="12">
        <v>99407.983999999997</v>
      </c>
      <c r="C14" s="12">
        <v>99420.217999999993</v>
      </c>
      <c r="D14" s="12">
        <v>99423.401515443416</v>
      </c>
      <c r="E14" s="13"/>
      <c r="F14" s="12">
        <v>44.434999999997672</v>
      </c>
      <c r="G14" s="12">
        <v>53.487823420378845</v>
      </c>
      <c r="H14" s="12">
        <v>56.671338863798155</v>
      </c>
      <c r="I14" s="11">
        <v>27</v>
      </c>
    </row>
    <row r="15" spans="1:9">
      <c r="A15" s="11">
        <v>28</v>
      </c>
      <c r="B15" s="12">
        <v>99351.817999999999</v>
      </c>
      <c r="C15" s="12">
        <v>99363.548999999999</v>
      </c>
      <c r="D15" s="12">
        <v>99366.730176579615</v>
      </c>
      <c r="E15" s="13"/>
      <c r="F15" s="12">
        <v>45.205000000016298</v>
      </c>
      <c r="G15" s="12">
        <v>53.855326541728573</v>
      </c>
      <c r="H15" s="12">
        <v>57.036503121344133</v>
      </c>
      <c r="I15" s="11">
        <v>28</v>
      </c>
    </row>
    <row r="16" spans="1:9">
      <c r="A16" s="11">
        <v>29</v>
      </c>
      <c r="B16" s="12">
        <v>99295.087999999989</v>
      </c>
      <c r="C16" s="12">
        <v>99306.612999999983</v>
      </c>
      <c r="D16" s="12">
        <v>99309.69367345827</v>
      </c>
      <c r="E16" s="13"/>
      <c r="F16" s="12">
        <v>46.171999999991385</v>
      </c>
      <c r="G16" s="12">
        <v>54.518948872311739</v>
      </c>
      <c r="H16" s="12">
        <v>57.599622330599232</v>
      </c>
      <c r="I16" s="11">
        <v>29</v>
      </c>
    </row>
    <row r="17" spans="1:9">
      <c r="A17" s="11">
        <v>30</v>
      </c>
      <c r="B17" s="12">
        <v>99237.497000000003</v>
      </c>
      <c r="C17" s="12">
        <v>99248.915999999997</v>
      </c>
      <c r="D17" s="12">
        <v>99252.094051127671</v>
      </c>
      <c r="E17" s="13"/>
      <c r="F17" s="12">
        <v>47.237000000008265</v>
      </c>
      <c r="G17" s="12">
        <v>55.380684362491593</v>
      </c>
      <c r="H17" s="12">
        <v>58.558735490169049</v>
      </c>
      <c r="I17" s="11">
        <v>30</v>
      </c>
    </row>
    <row r="18" spans="1:9">
      <c r="A18" s="11">
        <v>31</v>
      </c>
      <c r="B18" s="12">
        <v>99179.145000000004</v>
      </c>
      <c r="C18" s="12">
        <v>99190.26</v>
      </c>
      <c r="D18" s="12">
        <v>99193.535315637506</v>
      </c>
      <c r="E18" s="13"/>
      <c r="F18" s="12">
        <v>48.597999999998137</v>
      </c>
      <c r="G18" s="12">
        <v>56.439192622507107</v>
      </c>
      <c r="H18" s="12">
        <v>59.71450826002183</v>
      </c>
      <c r="I18" s="11">
        <v>31</v>
      </c>
    </row>
    <row r="19" spans="1:9">
      <c r="A19" s="11">
        <v>32</v>
      </c>
      <c r="B19" s="12">
        <v>99119.538</v>
      </c>
      <c r="C19" s="12">
        <v>99130.547000000006</v>
      </c>
      <c r="D19" s="12">
        <v>99133.820807377488</v>
      </c>
      <c r="E19" s="13"/>
      <c r="F19" s="12">
        <v>50.252999999996973</v>
      </c>
      <c r="G19" s="12">
        <v>57.891760060665547</v>
      </c>
      <c r="H19" s="12">
        <v>61.165567438147256</v>
      </c>
      <c r="I19" s="11">
        <v>32</v>
      </c>
    </row>
    <row r="20" spans="1:9">
      <c r="A20" s="11">
        <v>33</v>
      </c>
      <c r="B20" s="12">
        <v>99058.281999999992</v>
      </c>
      <c r="C20" s="12">
        <v>99069.285000000003</v>
      </c>
      <c r="D20" s="12">
        <v>99072.65523993934</v>
      </c>
      <c r="E20" s="13"/>
      <c r="F20" s="12">
        <v>52.203999999997905</v>
      </c>
      <c r="G20" s="12">
        <v>59.63996879325714</v>
      </c>
      <c r="H20" s="12">
        <v>63.010208732594037</v>
      </c>
      <c r="I20" s="11">
        <v>33</v>
      </c>
    </row>
    <row r="21" spans="1:9">
      <c r="A21" s="11">
        <v>34</v>
      </c>
      <c r="B21" s="12">
        <v>98994.983999999997</v>
      </c>
      <c r="C21" s="12">
        <v>99006.077999999994</v>
      </c>
      <c r="D21" s="12">
        <v>99009.645031206746</v>
      </c>
      <c r="E21" s="13"/>
      <c r="F21" s="12">
        <v>54.44800000001851</v>
      </c>
      <c r="G21" s="12">
        <v>61.77933451384888</v>
      </c>
      <c r="H21" s="12">
        <v>65.346365720597532</v>
      </c>
      <c r="I21" s="11">
        <v>34</v>
      </c>
    </row>
    <row r="22" spans="1:9">
      <c r="A22" s="11">
        <v>35</v>
      </c>
      <c r="B22" s="12">
        <v>98929.150999999998</v>
      </c>
      <c r="C22" s="12">
        <v>98940.535999999978</v>
      </c>
      <c r="D22" s="12">
        <v>98944.298665486145</v>
      </c>
      <c r="E22" s="13"/>
      <c r="F22" s="12">
        <v>57.08200000000943</v>
      </c>
      <c r="G22" s="12">
        <v>64.40995629435929</v>
      </c>
      <c r="H22" s="12">
        <v>68.172621780522604</v>
      </c>
      <c r="I22" s="11">
        <v>35</v>
      </c>
    </row>
    <row r="23" spans="1:9">
      <c r="A23" s="11">
        <v>36</v>
      </c>
      <c r="B23" s="12">
        <v>98860.39499999999</v>
      </c>
      <c r="C23" s="12">
        <v>98872.068999999989</v>
      </c>
      <c r="D23" s="12">
        <v>98876.126043705619</v>
      </c>
      <c r="E23" s="13"/>
      <c r="F23" s="12">
        <v>60.107000000003609</v>
      </c>
      <c r="G23" s="12">
        <v>67.52927155001089</v>
      </c>
      <c r="H23" s="12">
        <v>71.586315255644877</v>
      </c>
      <c r="I23" s="11">
        <v>36</v>
      </c>
    </row>
    <row r="24" spans="1:9">
      <c r="A24" s="11">
        <v>37</v>
      </c>
      <c r="B24" s="12">
        <v>98788.127999999982</v>
      </c>
      <c r="C24" s="12">
        <v>98800.287999999986</v>
      </c>
      <c r="D24" s="12">
        <v>98804.539728449978</v>
      </c>
      <c r="E24" s="13"/>
      <c r="F24" s="12">
        <v>63.619999999980791</v>
      </c>
      <c r="G24" s="12">
        <v>71.333744442279567</v>
      </c>
      <c r="H24" s="12">
        <v>75.585472892271355</v>
      </c>
      <c r="I24" s="11">
        <v>37</v>
      </c>
    </row>
    <row r="25" spans="1:9">
      <c r="A25" s="11">
        <v>38</v>
      </c>
      <c r="B25" s="12">
        <v>98711.664999999979</v>
      </c>
      <c r="C25" s="12">
        <v>98724.508000000002</v>
      </c>
      <c r="D25" s="12">
        <v>98728.954255557706</v>
      </c>
      <c r="E25" s="13"/>
      <c r="F25" s="12">
        <v>67.618000000002212</v>
      </c>
      <c r="G25" s="12">
        <v>75.820384252059739</v>
      </c>
      <c r="H25" s="12">
        <v>80.266639809760818</v>
      </c>
      <c r="I25" s="11">
        <v>38</v>
      </c>
    </row>
    <row r="26" spans="1:9">
      <c r="A26" s="11">
        <v>39</v>
      </c>
      <c r="B26" s="12">
        <v>98630.226999999984</v>
      </c>
      <c r="C26" s="12">
        <v>98644.046999999977</v>
      </c>
      <c r="D26" s="12">
        <v>98648.687615747942</v>
      </c>
      <c r="E26" s="13"/>
      <c r="F26" s="12">
        <v>72.295999999987544</v>
      </c>
      <c r="G26" s="12">
        <v>81.183742477747728</v>
      </c>
      <c r="H26" s="12">
        <v>85.824358225709133</v>
      </c>
      <c r="I26" s="11">
        <v>39</v>
      </c>
    </row>
    <row r="27" spans="1:9">
      <c r="A27" s="11">
        <v>40</v>
      </c>
      <c r="B27" s="12">
        <v>98543.035999999993</v>
      </c>
      <c r="C27" s="12">
        <v>98557.930999999997</v>
      </c>
      <c r="D27" s="12">
        <v>98562.863257522229</v>
      </c>
      <c r="E27" s="13"/>
      <c r="F27" s="12">
        <v>77.652000000001863</v>
      </c>
      <c r="G27" s="12">
        <v>87.421145350046572</v>
      </c>
      <c r="H27" s="12">
        <v>92.353402872286082</v>
      </c>
      <c r="I27" s="11">
        <v>40</v>
      </c>
    </row>
    <row r="28" spans="1:9">
      <c r="A28" s="11">
        <v>41</v>
      </c>
      <c r="B28" s="12">
        <v>98449.024999999994</v>
      </c>
      <c r="C28" s="12">
        <v>98465.383999999991</v>
      </c>
      <c r="D28" s="12">
        <v>98470.50985464995</v>
      </c>
      <c r="E28" s="13"/>
      <c r="F28" s="12">
        <v>83.780000000013388</v>
      </c>
      <c r="G28" s="12">
        <v>94.723242342646699</v>
      </c>
      <c r="H28" s="12">
        <v>99.849096992602426</v>
      </c>
      <c r="I28" s="11">
        <v>41</v>
      </c>
    </row>
    <row r="29" spans="1:9">
      <c r="A29" s="11">
        <v>42</v>
      </c>
      <c r="B29" s="12">
        <v>98347.029999999984</v>
      </c>
      <c r="C29" s="12">
        <v>98365.244999999981</v>
      </c>
      <c r="D29" s="12">
        <v>98370.660757657344</v>
      </c>
      <c r="E29" s="13"/>
      <c r="F29" s="12">
        <v>90.676000000006752</v>
      </c>
      <c r="G29" s="12">
        <v>103.18545181909576</v>
      </c>
      <c r="H29" s="12">
        <v>108.60120947645554</v>
      </c>
      <c r="I29" s="11">
        <v>42</v>
      </c>
    </row>
    <row r="30" spans="1:9">
      <c r="A30" s="11">
        <v>43</v>
      </c>
      <c r="B30" s="12">
        <v>98235.993999999992</v>
      </c>
      <c r="C30" s="12">
        <v>98256.353999999978</v>
      </c>
      <c r="D30" s="12">
        <v>98262.059548180885</v>
      </c>
      <c r="E30" s="13"/>
      <c r="F30" s="12">
        <v>98.530999999988126</v>
      </c>
      <c r="G30" s="12">
        <v>112.99501975328894</v>
      </c>
      <c r="H30" s="12">
        <v>118.7005679341928</v>
      </c>
      <c r="I30" s="11">
        <v>43</v>
      </c>
    </row>
    <row r="31" spans="1:9">
      <c r="A31" s="11">
        <v>44</v>
      </c>
      <c r="B31" s="12">
        <v>98114.472999999998</v>
      </c>
      <c r="C31" s="12">
        <v>98137.463000000003</v>
      </c>
      <c r="D31" s="12">
        <v>98143.358980246689</v>
      </c>
      <c r="E31" s="13"/>
      <c r="F31" s="12">
        <v>107.53399999999965</v>
      </c>
      <c r="G31" s="12">
        <v>124.34025712010043</v>
      </c>
      <c r="H31" s="12">
        <v>130.23623736678925</v>
      </c>
      <c r="I31" s="11">
        <v>44</v>
      </c>
    </row>
    <row r="32" spans="1:9">
      <c r="A32" s="11">
        <v>45</v>
      </c>
      <c r="B32" s="12">
        <v>97980.836999999985</v>
      </c>
      <c r="C32" s="12">
        <v>98006.938999999998</v>
      </c>
      <c r="D32" s="12">
        <v>98013.122742879903</v>
      </c>
      <c r="E32" s="13"/>
      <c r="F32" s="12">
        <v>117.67499999998836</v>
      </c>
      <c r="G32" s="12">
        <v>137.40548193840368</v>
      </c>
      <c r="H32" s="12">
        <v>143.58922481831539</v>
      </c>
      <c r="I32" s="11">
        <v>45</v>
      </c>
    </row>
    <row r="33" spans="1:9">
      <c r="A33" s="11">
        <v>46</v>
      </c>
      <c r="B33" s="12">
        <v>97833.371000000028</v>
      </c>
      <c r="C33" s="12">
        <v>97863.161999999997</v>
      </c>
      <c r="D33" s="12">
        <v>97869.533518061595</v>
      </c>
      <c r="E33" s="13"/>
      <c r="F33" s="12">
        <v>129.14000000001397</v>
      </c>
      <c r="G33" s="12">
        <v>152.3728653047001</v>
      </c>
      <c r="H33" s="12">
        <v>158.74438336630192</v>
      </c>
      <c r="I33" s="11">
        <v>46</v>
      </c>
    </row>
    <row r="34" spans="1:9">
      <c r="A34" s="11">
        <v>47</v>
      </c>
      <c r="B34" s="12">
        <v>97669.982999999993</v>
      </c>
      <c r="C34" s="12">
        <v>97704.231000000014</v>
      </c>
      <c r="D34" s="12">
        <v>97710.789134695297</v>
      </c>
      <c r="E34" s="13"/>
      <c r="F34" s="12">
        <v>142.10899999999674</v>
      </c>
      <c r="G34" s="12">
        <v>169.51670732542698</v>
      </c>
      <c r="H34" s="12">
        <v>176.07484202071646</v>
      </c>
      <c r="I34" s="11">
        <v>47</v>
      </c>
    </row>
    <row r="35" spans="1:9">
      <c r="A35" s="11">
        <v>48</v>
      </c>
      <c r="B35" s="12">
        <v>97488.603000000003</v>
      </c>
      <c r="C35" s="12">
        <v>97527.873999999996</v>
      </c>
      <c r="D35" s="12">
        <v>97534.714292674587</v>
      </c>
      <c r="E35" s="13"/>
      <c r="F35" s="12">
        <v>156.66500000000815</v>
      </c>
      <c r="G35" s="12">
        <v>189.00941362509911</v>
      </c>
      <c r="H35" s="12">
        <v>195.84970629968666</v>
      </c>
      <c r="I35" s="11">
        <v>48</v>
      </c>
    </row>
    <row r="36" spans="1:9">
      <c r="A36" s="11">
        <v>49</v>
      </c>
      <c r="B36" s="12">
        <v>97286.499000000011</v>
      </c>
      <c r="C36" s="12">
        <v>97331.937999999995</v>
      </c>
      <c r="D36" s="12">
        <v>97338.864586374897</v>
      </c>
      <c r="E36" s="13"/>
      <c r="F36" s="12">
        <v>172.97500000000582</v>
      </c>
      <c r="G36" s="12">
        <v>211.20980916317785</v>
      </c>
      <c r="H36" s="12">
        <v>218.13639553807661</v>
      </c>
      <c r="I36" s="11">
        <v>49</v>
      </c>
    </row>
    <row r="37" spans="1:9">
      <c r="A37" s="11">
        <v>50</v>
      </c>
      <c r="B37" s="12">
        <v>97060.976999999999</v>
      </c>
      <c r="C37" s="12">
        <v>97113.524000000005</v>
      </c>
      <c r="D37" s="12">
        <v>97120.728190836817</v>
      </c>
      <c r="E37" s="13"/>
      <c r="F37" s="12">
        <v>191.30800000000454</v>
      </c>
      <c r="G37" s="12">
        <v>236.37459546579339</v>
      </c>
      <c r="H37" s="12">
        <v>243.57878630260529</v>
      </c>
      <c r="I37" s="11">
        <v>50</v>
      </c>
    </row>
    <row r="38" spans="1:9">
      <c r="A38" s="11">
        <v>51</v>
      </c>
      <c r="B38" s="12">
        <v>96808.989999999991</v>
      </c>
      <c r="C38" s="12">
        <v>96869.668999999994</v>
      </c>
      <c r="D38" s="12">
        <v>96877.149404534211</v>
      </c>
      <c r="E38" s="13"/>
      <c r="F38" s="12">
        <v>211.9149999999936</v>
      </c>
      <c r="G38" s="12">
        <v>264.64750814311265</v>
      </c>
      <c r="H38" s="12">
        <v>272.12791267733337</v>
      </c>
      <c r="I38" s="11">
        <v>51</v>
      </c>
    </row>
    <row r="39" spans="1:9">
      <c r="A39" s="11">
        <v>52</v>
      </c>
      <c r="B39" s="12">
        <v>96526.964999999982</v>
      </c>
      <c r="C39" s="12">
        <v>96597.074999999997</v>
      </c>
      <c r="D39" s="12">
        <v>96605.021491856882</v>
      </c>
      <c r="E39" s="13"/>
      <c r="F39" s="12">
        <v>234.85000000000582</v>
      </c>
      <c r="G39" s="12">
        <v>296.5525358854502</v>
      </c>
      <c r="H39" s="12">
        <v>304.49902774233124</v>
      </c>
      <c r="I39" s="11">
        <v>52</v>
      </c>
    </row>
    <row r="40" spans="1:9">
      <c r="A40" s="11">
        <v>53</v>
      </c>
      <c r="B40" s="12">
        <v>96211.005999999994</v>
      </c>
      <c r="C40" s="12">
        <v>96292.114999999976</v>
      </c>
      <c r="D40" s="12">
        <v>96300.522464114547</v>
      </c>
      <c r="E40" s="13"/>
      <c r="F40" s="12">
        <v>260.4429999999993</v>
      </c>
      <c r="G40" s="12">
        <v>332.40008488592866</v>
      </c>
      <c r="H40" s="12">
        <v>340.80754900049214</v>
      </c>
      <c r="I40" s="11">
        <v>53</v>
      </c>
    </row>
    <row r="41" spans="1:9">
      <c r="A41" s="11">
        <v>54</v>
      </c>
      <c r="B41" s="12">
        <v>95856.915999999997</v>
      </c>
      <c r="C41" s="12">
        <v>95950.562999999995</v>
      </c>
      <c r="D41" s="12">
        <v>95959.714915114047</v>
      </c>
      <c r="E41" s="13"/>
      <c r="F41" s="12">
        <v>288.91300000000047</v>
      </c>
      <c r="G41" s="12">
        <v>372.38391138844599</v>
      </c>
      <c r="H41" s="12">
        <v>381.53582650249513</v>
      </c>
      <c r="I41" s="11">
        <v>54</v>
      </c>
    </row>
    <row r="42" spans="1:9">
      <c r="A42" s="11">
        <v>55</v>
      </c>
      <c r="B42" s="12">
        <v>95459.928999999975</v>
      </c>
      <c r="C42" s="12">
        <v>95568.002999999997</v>
      </c>
      <c r="D42" s="12">
        <v>95578.179088611549</v>
      </c>
      <c r="E42" s="13"/>
      <c r="F42" s="12">
        <v>320.55399999998917</v>
      </c>
      <c r="G42" s="12">
        <v>416.96279373545258</v>
      </c>
      <c r="H42" s="12">
        <v>427.13888234700784</v>
      </c>
      <c r="I42" s="11">
        <v>55</v>
      </c>
    </row>
    <row r="43" spans="1:9">
      <c r="A43" s="11">
        <v>56</v>
      </c>
      <c r="B43" s="12">
        <v>95014.838999999978</v>
      </c>
      <c r="C43" s="12">
        <v>95139.374999999985</v>
      </c>
      <c r="D43" s="12">
        <v>95151.040206264544</v>
      </c>
      <c r="E43" s="13"/>
      <c r="F43" s="12">
        <v>355.54599999998754</v>
      </c>
      <c r="G43" s="12">
        <v>466.46877077191311</v>
      </c>
      <c r="H43" s="12">
        <v>478.13397703646837</v>
      </c>
      <c r="I43" s="11">
        <v>56</v>
      </c>
    </row>
    <row r="44" spans="1:9">
      <c r="A44" s="11">
        <v>57</v>
      </c>
      <c r="B44" s="12">
        <v>94515.938000000009</v>
      </c>
      <c r="C44" s="12">
        <v>94659.292999999991</v>
      </c>
      <c r="D44" s="12">
        <v>94672.906229228072</v>
      </c>
      <c r="E44" s="13"/>
      <c r="F44" s="12">
        <v>394.22600000000966</v>
      </c>
      <c r="G44" s="12">
        <v>521.28869096704875</v>
      </c>
      <c r="H44" s="12">
        <v>534.90192019513404</v>
      </c>
      <c r="I44" s="11">
        <v>57</v>
      </c>
    </row>
    <row r="45" spans="1:9">
      <c r="A45" s="11">
        <v>58</v>
      </c>
      <c r="B45" s="12">
        <v>93956.97099999999</v>
      </c>
      <c r="C45" s="12">
        <v>94121.712</v>
      </c>
      <c r="D45" s="12">
        <v>94138.004309032942</v>
      </c>
      <c r="E45" s="13"/>
      <c r="F45" s="12">
        <v>436.80599999999686</v>
      </c>
      <c r="G45" s="12">
        <v>581.67229433804459</v>
      </c>
      <c r="H45" s="12">
        <v>597.96460337098324</v>
      </c>
      <c r="I45" s="11">
        <v>58</v>
      </c>
    </row>
    <row r="46" spans="1:9">
      <c r="A46" s="11">
        <v>59</v>
      </c>
      <c r="B46" s="12">
        <v>93331.284</v>
      </c>
      <c r="C46" s="12">
        <v>93520.164999999994</v>
      </c>
      <c r="D46" s="12">
        <v>93540.039705661955</v>
      </c>
      <c r="E46" s="13"/>
      <c r="F46" s="12">
        <v>483.64299999999639</v>
      </c>
      <c r="G46" s="12">
        <v>648.00117783647147</v>
      </c>
      <c r="H46" s="12">
        <v>667.87588349843634</v>
      </c>
      <c r="I46" s="11">
        <v>59</v>
      </c>
    </row>
    <row r="47" spans="1:9">
      <c r="A47" s="11">
        <v>60</v>
      </c>
      <c r="B47" s="12">
        <v>92631.421999999991</v>
      </c>
      <c r="C47" s="12">
        <v>92847.641000000003</v>
      </c>
      <c r="D47" s="12">
        <v>92872.163822163522</v>
      </c>
      <c r="E47" s="13"/>
      <c r="F47" s="12">
        <v>534.85399999999208</v>
      </c>
      <c r="G47" s="12">
        <v>720.49767601788335</v>
      </c>
      <c r="H47" s="12">
        <v>745.02049818140222</v>
      </c>
      <c r="I47" s="11">
        <v>60</v>
      </c>
    </row>
    <row r="48" spans="1:9">
      <c r="A48" s="11">
        <v>61</v>
      </c>
      <c r="B48" s="12">
        <v>91849.686999999976</v>
      </c>
      <c r="C48" s="12">
        <v>92096.567999999999</v>
      </c>
      <c r="D48" s="12">
        <v>92127.14332398212</v>
      </c>
      <c r="E48" s="13"/>
      <c r="F48" s="12">
        <v>590.8689999999915</v>
      </c>
      <c r="G48" s="12">
        <v>799.39811022364302</v>
      </c>
      <c r="H48" s="12">
        <v>829.97343420576715</v>
      </c>
      <c r="I48" s="11">
        <v>61</v>
      </c>
    </row>
    <row r="49" spans="1:9">
      <c r="A49" s="11">
        <v>62</v>
      </c>
      <c r="B49" s="12">
        <v>90977.404999999999</v>
      </c>
      <c r="C49" s="12">
        <v>91258.817999999985</v>
      </c>
      <c r="D49" s="12">
        <v>91297.169889776356</v>
      </c>
      <c r="E49" s="13"/>
      <c r="F49" s="12">
        <v>651.76299999999173</v>
      </c>
      <c r="G49" s="12">
        <v>884.84509214904392</v>
      </c>
      <c r="H49" s="12">
        <v>923.19698192541182</v>
      </c>
      <c r="I49" s="11">
        <v>62</v>
      </c>
    </row>
    <row r="50" spans="1:9">
      <c r="A50" s="11">
        <v>63</v>
      </c>
      <c r="B50" s="12">
        <v>90005.883999999991</v>
      </c>
      <c r="C50" s="12">
        <v>90325.642000000007</v>
      </c>
      <c r="D50" s="12">
        <v>90373.972907850941</v>
      </c>
      <c r="E50" s="13"/>
      <c r="F50" s="12">
        <v>717.70700000000943</v>
      </c>
      <c r="G50" s="12">
        <v>976.87144081572478</v>
      </c>
      <c r="H50" s="12">
        <v>1025.2023486666619</v>
      </c>
      <c r="I50" s="11">
        <v>63</v>
      </c>
    </row>
    <row r="51" spans="1:9">
      <c r="A51" s="11">
        <v>64</v>
      </c>
      <c r="B51" s="12">
        <v>88925.740999999995</v>
      </c>
      <c r="C51" s="12">
        <v>89288.176999999981</v>
      </c>
      <c r="D51" s="12">
        <v>89348.770559184282</v>
      </c>
      <c r="E51" s="13"/>
      <c r="F51" s="12">
        <v>788.86000000000058</v>
      </c>
      <c r="G51" s="12">
        <v>1075.5654072462785</v>
      </c>
      <c r="H51" s="12">
        <v>1136.1589664305757</v>
      </c>
      <c r="I51" s="11">
        <v>64</v>
      </c>
    </row>
    <row r="52" spans="1:9">
      <c r="A52" s="11">
        <v>65</v>
      </c>
      <c r="B52" s="12">
        <v>87727.358999999997</v>
      </c>
      <c r="C52" s="12">
        <v>88136.880999999994</v>
      </c>
      <c r="D52" s="12">
        <v>88212.611592753703</v>
      </c>
      <c r="E52" s="13"/>
      <c r="F52" s="12">
        <v>865.34299999999348</v>
      </c>
      <c r="G52" s="12">
        <v>1180.6816341618833</v>
      </c>
      <c r="H52" s="12">
        <v>1256.4122269155994</v>
      </c>
      <c r="I52" s="11">
        <v>65</v>
      </c>
    </row>
    <row r="53" spans="1:9">
      <c r="A53" s="11">
        <v>66</v>
      </c>
      <c r="B53" s="12">
        <v>86400.481000000014</v>
      </c>
      <c r="C53" s="12">
        <v>86862.016000000003</v>
      </c>
      <c r="D53" s="12">
        <v>86956.199365838111</v>
      </c>
      <c r="E53" s="13"/>
      <c r="F53" s="12">
        <v>946.9490000000078</v>
      </c>
      <c r="G53" s="12">
        <v>1291.8984520533559</v>
      </c>
      <c r="H53" s="12">
        <v>1386.0818178914633</v>
      </c>
      <c r="I53" s="11">
        <v>66</v>
      </c>
    </row>
    <row r="54" spans="1:9">
      <c r="A54" s="11">
        <v>67</v>
      </c>
      <c r="B54" s="12">
        <v>84935.187000000005</v>
      </c>
      <c r="C54" s="12">
        <v>85453.532000000007</v>
      </c>
      <c r="D54" s="12">
        <v>85570.117547946647</v>
      </c>
      <c r="E54" s="13"/>
      <c r="F54" s="12">
        <v>1033.5760000000155</v>
      </c>
      <c r="G54" s="12">
        <v>1408.6162272279471</v>
      </c>
      <c r="H54" s="12">
        <v>1525.2017751745916</v>
      </c>
      <c r="I54" s="11">
        <v>67</v>
      </c>
    </row>
    <row r="55" spans="1:9">
      <c r="A55" s="11">
        <v>68</v>
      </c>
      <c r="B55" s="12">
        <v>83321.395999999993</v>
      </c>
      <c r="C55" s="12">
        <v>83901.61099999999</v>
      </c>
      <c r="D55" s="12">
        <v>84044.915772772059</v>
      </c>
      <c r="E55" s="13"/>
      <c r="F55" s="12">
        <v>1125.0060000000085</v>
      </c>
      <c r="G55" s="12">
        <v>1530.2816350111389</v>
      </c>
      <c r="H55" s="12">
        <v>1673.5864077832048</v>
      </c>
      <c r="I55" s="11">
        <v>68</v>
      </c>
    </row>
    <row r="56" spans="1:9">
      <c r="A56" s="11">
        <v>69</v>
      </c>
      <c r="B56" s="12">
        <v>81549.317999999985</v>
      </c>
      <c r="C56" s="12">
        <v>82196.389999999985</v>
      </c>
      <c r="D56" s="12">
        <v>82371.329364988851</v>
      </c>
      <c r="E56" s="13"/>
      <c r="F56" s="12">
        <v>1220.7119999999995</v>
      </c>
      <c r="G56" s="12">
        <v>1655.8458014773787</v>
      </c>
      <c r="H56" s="12">
        <v>1830.7851664662394</v>
      </c>
      <c r="I56" s="11">
        <v>69</v>
      </c>
    </row>
    <row r="57" spans="1:9">
      <c r="A57" s="11">
        <v>70</v>
      </c>
      <c r="B57" s="12">
        <v>79609.775999999983</v>
      </c>
      <c r="C57" s="12">
        <v>80328.605999999985</v>
      </c>
      <c r="D57" s="12">
        <v>80540.544198522606</v>
      </c>
      <c r="E57" s="13"/>
      <c r="F57" s="12">
        <v>1320.0899999999965</v>
      </c>
      <c r="G57" s="12">
        <v>1784.098108349368</v>
      </c>
      <c r="H57" s="12">
        <v>1996.0363068719835</v>
      </c>
      <c r="I57" s="11">
        <v>70</v>
      </c>
    </row>
    <row r="58" spans="1:9">
      <c r="A58" s="11">
        <v>71</v>
      </c>
      <c r="B58" s="12">
        <v>77494.658999999985</v>
      </c>
      <c r="C58" s="12">
        <v>78289.685999999987</v>
      </c>
      <c r="D58" s="12">
        <v>78544.507891650617</v>
      </c>
      <c r="E58" s="13"/>
      <c r="F58" s="12">
        <v>1422.2590000000055</v>
      </c>
      <c r="G58" s="12">
        <v>1913.4777932062862</v>
      </c>
      <c r="H58" s="12">
        <v>2168.2996848569105</v>
      </c>
      <c r="I58" s="11">
        <v>71</v>
      </c>
    </row>
    <row r="59" spans="1:9">
      <c r="A59" s="11">
        <v>72</v>
      </c>
      <c r="B59" s="12">
        <v>75197.026999999973</v>
      </c>
      <c r="C59" s="12">
        <v>76072.39999999998</v>
      </c>
      <c r="D59" s="12">
        <v>76376.208206793701</v>
      </c>
      <c r="E59" s="13"/>
      <c r="F59" s="12">
        <v>1526.1989999999932</v>
      </c>
      <c r="G59" s="12">
        <v>2042.3161569025688</v>
      </c>
      <c r="H59" s="12">
        <v>2346.1243636962895</v>
      </c>
      <c r="I59" s="11">
        <v>72</v>
      </c>
    </row>
    <row r="60" spans="1:9">
      <c r="A60" s="11">
        <v>73</v>
      </c>
      <c r="B60" s="12">
        <v>72711.460999999981</v>
      </c>
      <c r="C60" s="12">
        <v>73670.82799999998</v>
      </c>
      <c r="D60" s="12">
        <v>74030.083843097411</v>
      </c>
      <c r="E60" s="13"/>
      <c r="F60" s="12">
        <v>1630.4089999999997</v>
      </c>
      <c r="G60" s="12">
        <v>2168.42733964129</v>
      </c>
      <c r="H60" s="12">
        <v>2527.6831827387191</v>
      </c>
      <c r="I60" s="11">
        <v>73</v>
      </c>
    </row>
    <row r="61" spans="1:9">
      <c r="A61" s="11">
        <v>74</v>
      </c>
      <c r="B61" s="12">
        <v>70035.216</v>
      </c>
      <c r="C61" s="12">
        <v>71081.051999999981</v>
      </c>
      <c r="D61" s="12">
        <v>71502.400660358689</v>
      </c>
      <c r="E61" s="13"/>
      <c r="F61" s="12">
        <v>1733.372000000003</v>
      </c>
      <c r="G61" s="12">
        <v>2289.3788510761515</v>
      </c>
      <c r="H61" s="12">
        <v>2710.7275114348608</v>
      </c>
      <c r="I61" s="11">
        <v>74</v>
      </c>
    </row>
    <row r="62" spans="1:9">
      <c r="A62" s="11">
        <v>75</v>
      </c>
      <c r="B62" s="12">
        <v>67168.230999999985</v>
      </c>
      <c r="C62" s="12">
        <v>68301.843999999997</v>
      </c>
      <c r="D62" s="12">
        <v>68791.67314892383</v>
      </c>
      <c r="E62" s="13"/>
      <c r="F62" s="12">
        <v>1833.2230000000054</v>
      </c>
      <c r="G62" s="12">
        <v>2402.5855402958114</v>
      </c>
      <c r="H62" s="12">
        <v>2892.4146892196491</v>
      </c>
      <c r="I62" s="11">
        <v>75</v>
      </c>
    </row>
    <row r="63" spans="1:9">
      <c r="A63" s="11">
        <v>76</v>
      </c>
      <c r="B63" s="12">
        <v>64113.458999999988</v>
      </c>
      <c r="C63" s="12">
        <v>65335.00799999998</v>
      </c>
      <c r="D63" s="12">
        <v>65899.258459704186</v>
      </c>
      <c r="E63" s="13"/>
      <c r="F63" s="12">
        <v>1927.7000000000044</v>
      </c>
      <c r="G63" s="12">
        <v>2505.2052008319006</v>
      </c>
      <c r="H63" s="12">
        <v>3069.4556605361045</v>
      </c>
      <c r="I63" s="11">
        <v>76</v>
      </c>
    </row>
    <row r="64" spans="1:9">
      <c r="A64" s="11">
        <v>77</v>
      </c>
      <c r="B64" s="12">
        <v>60878.083999999988</v>
      </c>
      <c r="C64" s="12">
        <v>62185.758999999984</v>
      </c>
      <c r="D64" s="12">
        <v>62829.802799168079</v>
      </c>
      <c r="E64" s="13"/>
      <c r="F64" s="12">
        <v>2014.4560000000056</v>
      </c>
      <c r="G64" s="12">
        <v>2594.0785774954275</v>
      </c>
      <c r="H64" s="12">
        <v>3238.1223766635221</v>
      </c>
      <c r="I64" s="11">
        <v>77</v>
      </c>
    </row>
    <row r="65" spans="1:9">
      <c r="A65" s="11">
        <v>78</v>
      </c>
      <c r="B65" s="12">
        <v>57473.623999999989</v>
      </c>
      <c r="C65" s="12">
        <v>58863.627999999982</v>
      </c>
      <c r="D65" s="12">
        <v>59591.680422504556</v>
      </c>
      <c r="E65" s="13"/>
      <c r="F65" s="12">
        <v>2090.833000000006</v>
      </c>
      <c r="G65" s="12">
        <v>2666.0513276395941</v>
      </c>
      <c r="H65" s="12">
        <v>3394.103750144167</v>
      </c>
      <c r="I65" s="11">
        <v>78</v>
      </c>
    </row>
    <row r="66" spans="1:9">
      <c r="A66" s="11">
        <v>79</v>
      </c>
      <c r="B66" s="12">
        <v>53916.399999999987</v>
      </c>
      <c r="C66" s="12">
        <v>55382.790999999983</v>
      </c>
      <c r="D66" s="12">
        <v>56197.576672360388</v>
      </c>
      <c r="E66" s="13"/>
      <c r="F66" s="12">
        <v>2154.1760000000068</v>
      </c>
      <c r="G66" s="12">
        <v>2718.1873803008784</v>
      </c>
      <c r="H66" s="12">
        <v>3532.9730526612807</v>
      </c>
      <c r="I66" s="11">
        <v>79</v>
      </c>
    </row>
    <row r="67" spans="1:9">
      <c r="A67" s="11">
        <v>80</v>
      </c>
      <c r="B67" s="12">
        <v>50227.930999999975</v>
      </c>
      <c r="C67" s="12">
        <v>51762.22399999998</v>
      </c>
      <c r="D67" s="12">
        <v>52664.603619699104</v>
      </c>
      <c r="E67" s="13"/>
      <c r="F67" s="12">
        <v>2201.640999999996</v>
      </c>
      <c r="G67" s="12">
        <v>2747.4354049568865</v>
      </c>
      <c r="H67" s="12">
        <v>3649.8150246560081</v>
      </c>
      <c r="I67" s="11">
        <v>80</v>
      </c>
    </row>
    <row r="68" spans="1:9">
      <c r="A68" s="11">
        <v>81</v>
      </c>
      <c r="B68" s="12">
        <v>46435.128999999979</v>
      </c>
      <c r="C68" s="12">
        <v>48026.289999999979</v>
      </c>
      <c r="D68" s="12">
        <v>49014.788595043094</v>
      </c>
      <c r="E68" s="13"/>
      <c r="F68" s="12">
        <v>2230.6039999999921</v>
      </c>
      <c r="G68" s="12">
        <v>2751.3297747586766</v>
      </c>
      <c r="H68" s="12">
        <v>3739.8283698017885</v>
      </c>
      <c r="I68" s="11">
        <v>81</v>
      </c>
    </row>
    <row r="69" spans="1:9">
      <c r="A69" s="11">
        <v>82</v>
      </c>
      <c r="B69" s="12">
        <v>42570.055999999982</v>
      </c>
      <c r="C69" s="12">
        <v>44204.524999999987</v>
      </c>
      <c r="D69" s="12">
        <v>45274.960225241302</v>
      </c>
      <c r="E69" s="13"/>
      <c r="F69" s="12">
        <v>2238.5890000000072</v>
      </c>
      <c r="G69" s="12">
        <v>2727.8170129348582</v>
      </c>
      <c r="H69" s="12">
        <v>3798.2522381761723</v>
      </c>
      <c r="I69" s="11">
        <v>82</v>
      </c>
    </row>
    <row r="70" spans="1:9">
      <c r="A70" s="11">
        <v>83</v>
      </c>
      <c r="B70" s="12">
        <v>38669.883999999984</v>
      </c>
      <c r="C70" s="12">
        <v>40331.466999999975</v>
      </c>
      <c r="D70" s="12">
        <v>41476.707987065129</v>
      </c>
      <c r="E70" s="13"/>
      <c r="F70" s="12">
        <v>2223.5570000000007</v>
      </c>
      <c r="G70" s="12">
        <v>2675.4689225793263</v>
      </c>
      <c r="H70" s="12">
        <v>3820.7099096444776</v>
      </c>
      <c r="I70" s="11">
        <v>83</v>
      </c>
    </row>
    <row r="71" spans="1:9">
      <c r="A71" s="11">
        <v>84</v>
      </c>
      <c r="B71" s="12">
        <v>34775.928999999975</v>
      </c>
      <c r="C71" s="12">
        <v>36446.326999999983</v>
      </c>
      <c r="D71" s="12">
        <v>37655.998077420649</v>
      </c>
      <c r="E71" s="13"/>
      <c r="F71" s="12">
        <v>2184.0669999999955</v>
      </c>
      <c r="G71" s="12">
        <v>2593.8483203853611</v>
      </c>
      <c r="H71" s="12">
        <v>3803.5193978060242</v>
      </c>
      <c r="I71" s="11">
        <v>84</v>
      </c>
    </row>
    <row r="72" spans="1:9">
      <c r="A72" s="11">
        <v>85</v>
      </c>
      <c r="B72" s="12">
        <v>30932.862999999983</v>
      </c>
      <c r="C72" s="12">
        <v>32591.861999999979</v>
      </c>
      <c r="D72" s="12">
        <v>33852.478679614622</v>
      </c>
      <c r="E72" s="13"/>
      <c r="F72" s="12">
        <v>2119.3960000000006</v>
      </c>
      <c r="G72" s="12">
        <v>2483.4674623507381</v>
      </c>
      <c r="H72" s="12">
        <v>3744.0841419653793</v>
      </c>
      <c r="I72" s="11">
        <v>85</v>
      </c>
    </row>
    <row r="73" spans="1:9">
      <c r="A73" s="11">
        <v>86</v>
      </c>
      <c r="B73" s="12">
        <v>27187.127999999982</v>
      </c>
      <c r="C73" s="12">
        <v>28813.466999999982</v>
      </c>
      <c r="D73" s="12">
        <v>30108.394537649241</v>
      </c>
      <c r="E73" s="13"/>
      <c r="F73" s="12">
        <v>2029.8179999999957</v>
      </c>
      <c r="G73" s="12">
        <v>2346.050505394127</v>
      </c>
      <c r="H73" s="12">
        <v>3640.9780430433852</v>
      </c>
      <c r="I73" s="11">
        <v>86</v>
      </c>
    </row>
    <row r="74" spans="1:9">
      <c r="A74" s="11">
        <v>87</v>
      </c>
      <c r="B74" s="12">
        <v>23585.298999999985</v>
      </c>
      <c r="C74" s="12">
        <v>25157.309999999987</v>
      </c>
      <c r="D74" s="12">
        <v>26467.416494605855</v>
      </c>
      <c r="E74" s="13"/>
      <c r="F74" s="12">
        <v>1916.4939999999951</v>
      </c>
      <c r="G74" s="12">
        <v>2184.3335703439552</v>
      </c>
      <c r="H74" s="12">
        <v>3494.4400649498243</v>
      </c>
      <c r="I74" s="11">
        <v>87</v>
      </c>
    </row>
    <row r="75" spans="1:9">
      <c r="A75" s="11">
        <v>88</v>
      </c>
      <c r="B75" s="12">
        <v>20172.297999999984</v>
      </c>
      <c r="C75" s="12">
        <v>21668.804999999989</v>
      </c>
      <c r="D75" s="12">
        <v>22972.976429656032</v>
      </c>
      <c r="E75" s="13"/>
      <c r="F75" s="12">
        <v>1781.8399999999965</v>
      </c>
      <c r="G75" s="12">
        <v>2002.3060948879211</v>
      </c>
      <c r="H75" s="12">
        <v>3306.4775245439619</v>
      </c>
      <c r="I75" s="11">
        <v>88</v>
      </c>
    </row>
    <row r="76" spans="1:9">
      <c r="A76" s="11">
        <v>89</v>
      </c>
      <c r="B76" s="12">
        <v>16989.088999999985</v>
      </c>
      <c r="C76" s="12">
        <v>18390.457999999988</v>
      </c>
      <c r="D76" s="12">
        <v>19666.498905112068</v>
      </c>
      <c r="E76" s="13"/>
      <c r="F76" s="12">
        <v>1629.2879999999986</v>
      </c>
      <c r="G76" s="12">
        <v>1804.9128133627783</v>
      </c>
      <c r="H76" s="12">
        <v>3080.9537184748569</v>
      </c>
      <c r="I76" s="11">
        <v>89</v>
      </c>
    </row>
    <row r="77" spans="1:9">
      <c r="A77" s="11">
        <v>90</v>
      </c>
      <c r="B77" s="12">
        <v>14070.549999999988</v>
      </c>
      <c r="C77" s="12">
        <v>15359.800999999987</v>
      </c>
      <c r="D77" s="12">
        <v>16585.54518663721</v>
      </c>
      <c r="E77" s="13"/>
      <c r="F77" s="12">
        <v>1463.1959999999981</v>
      </c>
      <c r="G77" s="12">
        <v>1597.8951247522018</v>
      </c>
      <c r="H77" s="12">
        <v>2823.6393113894246</v>
      </c>
      <c r="I77" s="11">
        <v>90</v>
      </c>
    </row>
    <row r="78" spans="1:9">
      <c r="A78" s="11">
        <v>91</v>
      </c>
      <c r="B78" s="12"/>
      <c r="C78" s="12">
        <v>12607.35399999999</v>
      </c>
      <c r="D78" s="12">
        <v>13761.905875247785</v>
      </c>
      <c r="E78" s="13"/>
      <c r="F78" s="12"/>
      <c r="G78" s="12">
        <v>1387.4648065927231</v>
      </c>
      <c r="H78" s="12">
        <v>2542.0166818405187</v>
      </c>
      <c r="I78" s="11">
        <v>91</v>
      </c>
    </row>
    <row r="79" spans="1:9">
      <c r="A79" s="11">
        <v>92</v>
      </c>
      <c r="B79" s="12"/>
      <c r="C79" s="12"/>
      <c r="D79" s="12">
        <v>11219.889193407267</v>
      </c>
      <c r="E79" s="13"/>
      <c r="F79" s="12"/>
      <c r="G79" s="12"/>
      <c r="H79" s="12">
        <v>2244.8642099277326</v>
      </c>
      <c r="I79" s="11">
        <v>92</v>
      </c>
    </row>
    <row r="80" spans="1:9">
      <c r="A80" s="11">
        <v>93</v>
      </c>
      <c r="B80" s="12"/>
      <c r="C80" s="12"/>
      <c r="D80" s="12">
        <v>8975.0249834795341</v>
      </c>
      <c r="E80" s="13"/>
      <c r="F80" s="12"/>
      <c r="G80" s="12"/>
      <c r="H80" s="12">
        <v>1941.7825552757311</v>
      </c>
      <c r="I80" s="11">
        <v>93</v>
      </c>
    </row>
    <row r="81" spans="1:9">
      <c r="A81" s="11">
        <v>94</v>
      </c>
      <c r="B81" s="12"/>
      <c r="C81" s="12"/>
      <c r="D81" s="12">
        <v>7033.2424282038028</v>
      </c>
      <c r="E81" s="13"/>
      <c r="F81" s="12"/>
      <c r="G81" s="12"/>
      <c r="H81" s="12">
        <v>1642.5997026221419</v>
      </c>
      <c r="I81" s="11">
        <v>94</v>
      </c>
    </row>
    <row r="82" spans="1:9">
      <c r="A82" s="11">
        <v>95</v>
      </c>
      <c r="B82" s="12"/>
      <c r="C82" s="12"/>
      <c r="D82" s="12">
        <v>5390.6427255816607</v>
      </c>
      <c r="E82" s="13"/>
      <c r="F82" s="12"/>
      <c r="G82" s="12"/>
      <c r="H82" s="12">
        <v>1356.6199296053321</v>
      </c>
      <c r="I82" s="11">
        <v>95</v>
      </c>
    </row>
    <row r="83" spans="1:9">
      <c r="A83" s="11">
        <v>96</v>
      </c>
      <c r="B83" s="12"/>
      <c r="C83" s="12"/>
      <c r="D83" s="12">
        <v>4034.0227959763288</v>
      </c>
      <c r="E83" s="13"/>
      <c r="F83" s="12"/>
      <c r="G83" s="12"/>
      <c r="H83" s="12">
        <v>1091.9615625972406</v>
      </c>
      <c r="I83" s="11">
        <v>96</v>
      </c>
    </row>
    <row r="84" spans="1:9">
      <c r="A84" s="11">
        <v>97</v>
      </c>
      <c r="B84" s="12"/>
      <c r="C84" s="12"/>
      <c r="D84" s="12">
        <v>2942.0612333790882</v>
      </c>
      <c r="E84" s="13"/>
      <c r="F84" s="12"/>
      <c r="G84" s="12"/>
      <c r="H84" s="12">
        <v>855.00124121599686</v>
      </c>
      <c r="I84" s="11">
        <v>97</v>
      </c>
    </row>
    <row r="85" spans="1:9">
      <c r="A85" s="11">
        <v>98</v>
      </c>
      <c r="B85" s="12"/>
      <c r="C85" s="12"/>
      <c r="D85" s="12">
        <v>2087.0599921630915</v>
      </c>
      <c r="E85" s="13"/>
      <c r="F85" s="12"/>
      <c r="G85" s="12"/>
      <c r="H85" s="12">
        <v>649.93970039947715</v>
      </c>
      <c r="I85" s="11">
        <v>98</v>
      </c>
    </row>
    <row r="86" spans="1:9">
      <c r="A86" s="11">
        <v>99</v>
      </c>
      <c r="B86" s="12"/>
      <c r="C86" s="12"/>
      <c r="D86" s="12">
        <v>1437.1202917636142</v>
      </c>
      <c r="E86" s="13"/>
      <c r="F86" s="12"/>
      <c r="G86" s="12"/>
      <c r="H86" s="12">
        <v>478.64441013420594</v>
      </c>
      <c r="I86" s="11">
        <v>99</v>
      </c>
    </row>
    <row r="87" spans="1:9">
      <c r="A87" s="11">
        <v>100</v>
      </c>
      <c r="B87" s="12"/>
      <c r="C87" s="12"/>
      <c r="D87" s="12">
        <v>958.47588162940826</v>
      </c>
      <c r="E87" s="13"/>
      <c r="F87" s="12"/>
      <c r="G87" s="12"/>
      <c r="H87" s="12">
        <v>340.74296829866273</v>
      </c>
      <c r="I87" s="11">
        <v>100</v>
      </c>
    </row>
    <row r="88" spans="1:9">
      <c r="A88" s="11">
        <v>101</v>
      </c>
      <c r="B88" s="12"/>
      <c r="C88" s="12"/>
      <c r="D88" s="12">
        <v>617.73291333074553</v>
      </c>
      <c r="E88" s="13"/>
      <c r="F88" s="12"/>
      <c r="G88" s="12"/>
      <c r="H88" s="12">
        <v>233.93668974418003</v>
      </c>
      <c r="I88" s="11">
        <v>101</v>
      </c>
    </row>
    <row r="89" spans="1:9">
      <c r="A89" s="11">
        <v>102</v>
      </c>
      <c r="B89" s="12"/>
      <c r="C89" s="12"/>
      <c r="D89" s="12">
        <v>383.79622358656547</v>
      </c>
      <c r="E89" s="13"/>
      <c r="F89" s="12"/>
      <c r="G89" s="12"/>
      <c r="H89" s="12">
        <v>154.51175406126819</v>
      </c>
      <c r="I89" s="11">
        <v>102</v>
      </c>
    </row>
    <row r="90" spans="1:9">
      <c r="A90" s="11">
        <v>103</v>
      </c>
      <c r="B90" s="12"/>
      <c r="C90" s="12"/>
      <c r="D90" s="12">
        <v>229.28446952529728</v>
      </c>
      <c r="E90" s="13"/>
      <c r="F90" s="12"/>
      <c r="G90" s="12"/>
      <c r="H90" s="12">
        <v>97.925104089559213</v>
      </c>
      <c r="I90" s="11">
        <v>103</v>
      </c>
    </row>
    <row r="91" spans="1:9">
      <c r="A91" s="11">
        <v>104</v>
      </c>
      <c r="B91" s="12"/>
      <c r="C91" s="12"/>
      <c r="D91" s="12">
        <v>131.35936543573808</v>
      </c>
      <c r="E91" s="13"/>
      <c r="F91" s="12"/>
      <c r="G91" s="12"/>
      <c r="H91" s="12">
        <v>59.391115816363943</v>
      </c>
      <c r="I91" s="11">
        <v>104</v>
      </c>
    </row>
    <row r="92" spans="1:9">
      <c r="A92" s="11">
        <v>105</v>
      </c>
      <c r="B92" s="12"/>
      <c r="C92" s="12"/>
      <c r="D92" s="12">
        <v>71.968249619374149</v>
      </c>
      <c r="E92" s="13"/>
      <c r="F92" s="12"/>
      <c r="G92" s="12"/>
      <c r="H92" s="12">
        <v>34.372611764210049</v>
      </c>
      <c r="I92" s="11">
        <v>105</v>
      </c>
    </row>
    <row r="93" spans="1:9">
      <c r="A93" s="11">
        <v>106</v>
      </c>
      <c r="B93" s="12"/>
      <c r="C93" s="12"/>
      <c r="D93" s="12">
        <v>37.5956378551641</v>
      </c>
      <c r="E93" s="13"/>
      <c r="F93" s="12"/>
      <c r="G93" s="12"/>
      <c r="H93" s="12">
        <v>18.926847156700973</v>
      </c>
      <c r="I93" s="11">
        <v>106</v>
      </c>
    </row>
    <row r="94" spans="1:9">
      <c r="A94" s="11">
        <v>107</v>
      </c>
      <c r="B94" s="12"/>
      <c r="C94" s="12"/>
      <c r="D94" s="12">
        <v>18.668790698463127</v>
      </c>
      <c r="E94" s="13"/>
      <c r="F94" s="12"/>
      <c r="G94" s="12"/>
      <c r="H94" s="12">
        <v>9.884993993301336</v>
      </c>
      <c r="I94" s="11">
        <v>107</v>
      </c>
    </row>
    <row r="95" spans="1:9">
      <c r="A95" s="11">
        <v>108</v>
      </c>
      <c r="B95" s="12"/>
      <c r="C95" s="12"/>
      <c r="D95" s="12">
        <v>8.7837967051617909</v>
      </c>
      <c r="E95" s="13"/>
      <c r="F95" s="12"/>
      <c r="G95" s="12"/>
      <c r="H95" s="12">
        <v>4.8809274503440729</v>
      </c>
      <c r="I95" s="11">
        <v>108</v>
      </c>
    </row>
    <row r="96" spans="1:9">
      <c r="A96" s="11">
        <v>109</v>
      </c>
      <c r="B96" s="12"/>
      <c r="C96" s="12"/>
      <c r="D96" s="12">
        <v>3.902869254817718</v>
      </c>
      <c r="E96" s="13"/>
      <c r="F96" s="12"/>
      <c r="G96" s="12"/>
      <c r="H96" s="12">
        <v>2.2709117960004725</v>
      </c>
      <c r="I96" s="11">
        <v>109</v>
      </c>
    </row>
    <row r="97" spans="1:9">
      <c r="A97" s="11">
        <v>110</v>
      </c>
      <c r="B97" s="12"/>
      <c r="C97" s="12"/>
      <c r="D97" s="12">
        <v>1.6319574588172454</v>
      </c>
      <c r="E97" s="13"/>
      <c r="F97" s="12"/>
      <c r="G97" s="12"/>
      <c r="H97" s="12">
        <v>0.99209631444926216</v>
      </c>
      <c r="I97" s="11">
        <v>110</v>
      </c>
    </row>
    <row r="98" spans="1:9">
      <c r="A98" s="11">
        <v>111</v>
      </c>
      <c r="B98" s="12"/>
      <c r="C98" s="12"/>
      <c r="D98" s="12">
        <v>0.63986114436798325</v>
      </c>
      <c r="E98" s="13"/>
      <c r="F98" s="12"/>
      <c r="G98" s="12"/>
      <c r="H98" s="12">
        <v>0.4054998428814664</v>
      </c>
      <c r="I98" s="11">
        <v>111</v>
      </c>
    </row>
    <row r="99" spans="1:9">
      <c r="A99" s="11">
        <v>112</v>
      </c>
      <c r="B99" s="12"/>
      <c r="C99" s="12"/>
      <c r="D99" s="12">
        <v>0.23436130148651685</v>
      </c>
      <c r="E99" s="13"/>
      <c r="F99" s="12"/>
      <c r="G99" s="12"/>
      <c r="H99" s="12">
        <v>0.15448417346216878</v>
      </c>
      <c r="I99" s="11">
        <v>112</v>
      </c>
    </row>
    <row r="100" spans="1:9">
      <c r="A100" s="11">
        <v>113</v>
      </c>
      <c r="B100" s="12"/>
      <c r="C100" s="12"/>
      <c r="D100" s="12">
        <v>7.9877128024348071E-2</v>
      </c>
      <c r="E100" s="13"/>
      <c r="F100" s="12"/>
      <c r="G100" s="12"/>
      <c r="H100" s="12">
        <v>5.4645061561248855E-2</v>
      </c>
      <c r="I100" s="11">
        <v>113</v>
      </c>
    </row>
    <row r="101" spans="1:9">
      <c r="A101" s="11">
        <v>114</v>
      </c>
      <c r="B101" s="12"/>
      <c r="C101" s="12"/>
      <c r="D101" s="12">
        <v>2.5232066463099216E-2</v>
      </c>
      <c r="E101" s="13"/>
      <c r="F101" s="12"/>
      <c r="G101" s="12"/>
      <c r="H101" s="12">
        <v>1.7875455629250935E-2</v>
      </c>
      <c r="I101" s="11">
        <v>114</v>
      </c>
    </row>
    <row r="102" spans="1:9">
      <c r="A102" s="11">
        <v>115</v>
      </c>
      <c r="B102" s="12"/>
      <c r="C102" s="12"/>
      <c r="D102" s="12">
        <v>7.3566108338482816E-3</v>
      </c>
      <c r="E102" s="13"/>
      <c r="F102" s="12"/>
      <c r="G102" s="12"/>
      <c r="H102" s="12">
        <v>5.3853481080319635E-3</v>
      </c>
      <c r="I102" s="11">
        <v>115</v>
      </c>
    </row>
    <row r="103" spans="1:9">
      <c r="A103" s="11">
        <v>116</v>
      </c>
      <c r="B103" s="12"/>
      <c r="C103" s="12"/>
      <c r="D103" s="12">
        <v>1.9712627258163182E-3</v>
      </c>
      <c r="E103" s="13"/>
      <c r="F103" s="12"/>
      <c r="G103" s="12"/>
      <c r="H103" s="12">
        <v>1.4879268468106892E-3</v>
      </c>
      <c r="I103" s="11">
        <v>116</v>
      </c>
    </row>
    <row r="104" spans="1:9">
      <c r="A104" s="11">
        <v>117</v>
      </c>
      <c r="B104" s="12"/>
      <c r="C104" s="12"/>
      <c r="D104" s="12">
        <v>4.8333587900562902E-4</v>
      </c>
      <c r="E104" s="13"/>
      <c r="F104" s="12"/>
      <c r="G104" s="12"/>
      <c r="H104" s="12">
        <v>3.7538184375796377E-4</v>
      </c>
      <c r="I104" s="11">
        <v>117</v>
      </c>
    </row>
    <row r="105" spans="1:9">
      <c r="A105" s="11">
        <v>118</v>
      </c>
      <c r="B105" s="12"/>
      <c r="C105" s="12"/>
      <c r="D105" s="12">
        <v>1.0795403524766525E-4</v>
      </c>
      <c r="E105" s="13"/>
      <c r="F105" s="12"/>
      <c r="G105" s="12"/>
      <c r="H105" s="12">
        <v>8.6090860167202342E-5</v>
      </c>
      <c r="I105" s="11">
        <v>118</v>
      </c>
    </row>
    <row r="106" spans="1:9">
      <c r="A106" s="11">
        <v>119</v>
      </c>
      <c r="B106" s="12"/>
      <c r="C106" s="12"/>
      <c r="D106" s="12">
        <v>2.1863175080462908E-5</v>
      </c>
      <c r="E106" s="13"/>
      <c r="F106" s="12"/>
      <c r="G106" s="12"/>
      <c r="H106" s="12">
        <v>1.7867133255131302E-5</v>
      </c>
      <c r="I106" s="11">
        <v>119</v>
      </c>
    </row>
    <row r="107" spans="1:9">
      <c r="A107" s="11">
        <v>120</v>
      </c>
      <c r="B107" s="12"/>
      <c r="C107" s="12"/>
      <c r="D107" s="12">
        <v>3.9960418253316066E-6</v>
      </c>
      <c r="E107" s="13"/>
      <c r="F107" s="12"/>
      <c r="G107" s="12"/>
      <c r="H107" s="12">
        <v>3.9960418253316066E-6</v>
      </c>
      <c r="I107" s="11">
        <v>120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31E42-4191-4F75-B32B-8794CF659A3C}">
  <dimension ref="A3:I35"/>
  <sheetViews>
    <sheetView topLeftCell="A4" workbookViewId="0">
      <selection activeCell="I20" sqref="I20"/>
    </sheetView>
  </sheetViews>
  <sheetFormatPr defaultColWidth="10.90625" defaultRowHeight="14.5"/>
  <cols>
    <col min="4" max="4" width="12.6328125" bestFit="1" customWidth="1"/>
    <col min="5" max="6" width="11.1796875" bestFit="1" customWidth="1"/>
    <col min="7" max="7" width="11.6328125" bestFit="1" customWidth="1"/>
    <col min="8" max="8" width="11.1796875" bestFit="1" customWidth="1"/>
    <col min="9" max="9" width="12.6328125" bestFit="1" customWidth="1"/>
  </cols>
  <sheetData>
    <row r="3" spans="1:9">
      <c r="B3" t="s">
        <v>51</v>
      </c>
      <c r="D3">
        <v>75000</v>
      </c>
      <c r="F3" t="s">
        <v>52</v>
      </c>
      <c r="H3" s="15">
        <v>0.25</v>
      </c>
    </row>
    <row r="4" spans="1:9">
      <c r="B4" t="s">
        <v>53</v>
      </c>
      <c r="D4" s="14">
        <v>8.5000000000000006E-2</v>
      </c>
      <c r="F4" t="s">
        <v>54</v>
      </c>
      <c r="H4" s="14">
        <v>1.0249999999999999</v>
      </c>
    </row>
    <row r="5" spans="1:9">
      <c r="B5" t="s">
        <v>55</v>
      </c>
      <c r="D5" s="14">
        <v>6.5000000000000002E-2</v>
      </c>
      <c r="F5" t="s">
        <v>56</v>
      </c>
      <c r="H5" s="14">
        <v>5.0000000000000001E-3</v>
      </c>
    </row>
    <row r="6" spans="1:9">
      <c r="B6" t="s">
        <v>57</v>
      </c>
      <c r="D6" s="14">
        <v>5.5E-2</v>
      </c>
      <c r="F6" t="s">
        <v>58</v>
      </c>
      <c r="H6" s="15">
        <v>0.05</v>
      </c>
    </row>
    <row r="7" spans="1:9">
      <c r="B7" t="s">
        <v>59</v>
      </c>
      <c r="D7" s="44">
        <v>2000000</v>
      </c>
      <c r="F7" t="s">
        <v>60</v>
      </c>
      <c r="H7" s="15">
        <v>1.1000000000000001</v>
      </c>
    </row>
    <row r="8" spans="1:9">
      <c r="F8" t="s">
        <v>61</v>
      </c>
      <c r="H8" t="s">
        <v>62</v>
      </c>
    </row>
    <row r="9" spans="1:9">
      <c r="C9" t="s">
        <v>63</v>
      </c>
      <c r="D9" s="45">
        <f>150*20</f>
        <v>3000</v>
      </c>
      <c r="E9" t="s">
        <v>64</v>
      </c>
      <c r="F9" s="15">
        <v>0.1</v>
      </c>
      <c r="H9" s="19">
        <f>D9+D3*F9</f>
        <v>10500</v>
      </c>
    </row>
    <row r="10" spans="1:9">
      <c r="C10" t="s">
        <v>65</v>
      </c>
      <c r="D10" s="45">
        <f>65*10</f>
        <v>650</v>
      </c>
      <c r="E10" t="s">
        <v>66</v>
      </c>
      <c r="F10" s="14">
        <v>2.5000000000000001E-2</v>
      </c>
      <c r="H10" s="19">
        <f>D10+F10*D3</f>
        <v>2525</v>
      </c>
    </row>
    <row r="12" spans="1:9">
      <c r="A12" s="18" t="s">
        <v>67</v>
      </c>
      <c r="B12" s="18"/>
      <c r="C12" s="18"/>
      <c r="D12" s="18">
        <v>1</v>
      </c>
      <c r="E12" s="18">
        <v>2</v>
      </c>
      <c r="F12" s="18">
        <v>1</v>
      </c>
      <c r="G12" s="18">
        <v>1</v>
      </c>
      <c r="H12" s="18">
        <v>1</v>
      </c>
      <c r="I12" s="18">
        <v>2</v>
      </c>
    </row>
    <row r="13" spans="1:9">
      <c r="B13" s="114" t="s">
        <v>68</v>
      </c>
      <c r="C13" s="114"/>
      <c r="D13" s="114"/>
      <c r="E13" s="114"/>
      <c r="F13" s="114"/>
      <c r="G13" s="114"/>
      <c r="H13" s="114"/>
      <c r="I13" s="114"/>
    </row>
    <row r="14" spans="1:9" ht="43.5">
      <c r="B14" s="46" t="s">
        <v>69</v>
      </c>
      <c r="C14" s="46" t="s">
        <v>70</v>
      </c>
      <c r="D14" s="46" t="s">
        <v>71</v>
      </c>
      <c r="E14" s="46" t="s">
        <v>72</v>
      </c>
      <c r="F14" s="46" t="s">
        <v>58</v>
      </c>
      <c r="G14" s="46" t="s">
        <v>73</v>
      </c>
      <c r="H14" s="46" t="s">
        <v>56</v>
      </c>
      <c r="I14" s="46" t="s">
        <v>74</v>
      </c>
    </row>
    <row r="15" spans="1:9">
      <c r="B15" s="47">
        <v>1</v>
      </c>
      <c r="C15" s="47">
        <v>40</v>
      </c>
      <c r="D15" s="57">
        <v>0</v>
      </c>
      <c r="E15" s="64">
        <f>$D$3*$H$3</f>
        <v>18750</v>
      </c>
      <c r="F15" s="57">
        <f>E15*$H$6</f>
        <v>937.5</v>
      </c>
      <c r="G15" s="57">
        <f>(D15+E15-F15)*$D$5</f>
        <v>1157.8125</v>
      </c>
      <c r="H15" s="56">
        <f>(D15+E15+G15-F15)*$H$5</f>
        <v>94.8515625</v>
      </c>
      <c r="I15" s="57">
        <f>D15+E15-F15+G15-H15</f>
        <v>18875.4609375</v>
      </c>
    </row>
    <row r="16" spans="1:9">
      <c r="B16" s="47">
        <f>B15+1</f>
        <v>2</v>
      </c>
      <c r="C16" s="47">
        <f>C15+1</f>
        <v>41</v>
      </c>
      <c r="D16" s="57">
        <f>I15</f>
        <v>18875.4609375</v>
      </c>
      <c r="E16" s="57">
        <f>$D$3*$H$4</f>
        <v>76875</v>
      </c>
      <c r="F16" s="57">
        <f>E16*$H$6</f>
        <v>3843.75</v>
      </c>
      <c r="G16" s="57">
        <f>(D16+E16-F16)*$D$5</f>
        <v>5973.9362109375006</v>
      </c>
      <c r="H16" s="57">
        <f>(D16+E16+G16-F16)*$H$5</f>
        <v>489.40323574218752</v>
      </c>
      <c r="I16" s="57">
        <f>D16+E16-F16+G16-H16</f>
        <v>97391.243912695325</v>
      </c>
    </row>
    <row r="17" spans="2:9">
      <c r="B17" s="47">
        <f>B16+1</f>
        <v>3</v>
      </c>
      <c r="C17" s="47">
        <f t="shared" ref="C17:C34" si="0">C16+1</f>
        <v>42</v>
      </c>
      <c r="D17" s="57">
        <f t="shared" ref="D17:D34" si="1">I16</f>
        <v>97391.243912695325</v>
      </c>
      <c r="E17" s="57">
        <f t="shared" ref="E17:E24" si="2">$D$3*$H$4</f>
        <v>76875</v>
      </c>
      <c r="F17" s="57">
        <f t="shared" ref="F17:F34" si="3">E17*$H$6</f>
        <v>3843.75</v>
      </c>
      <c r="G17" s="57">
        <f t="shared" ref="G17:G34" si="4">(D17+E17-F17)*$D$5</f>
        <v>11077.462104325197</v>
      </c>
      <c r="H17" s="57">
        <f t="shared" ref="H17:H34" si="5">(D17+E17+G17-F17)*$H$5</f>
        <v>907.49978008510254</v>
      </c>
      <c r="I17" s="57">
        <f t="shared" ref="I17:I34" si="6">D17+E17-F17+G17-H17</f>
        <v>180592.4562369354</v>
      </c>
    </row>
    <row r="18" spans="2:9">
      <c r="B18" s="47">
        <f t="shared" ref="B18:B34" si="7">B17+1</f>
        <v>4</v>
      </c>
      <c r="C18" s="47">
        <f t="shared" si="0"/>
        <v>43</v>
      </c>
      <c r="D18" s="57">
        <f t="shared" si="1"/>
        <v>180592.4562369354</v>
      </c>
      <c r="E18" s="57">
        <f t="shared" si="2"/>
        <v>76875</v>
      </c>
      <c r="F18" s="57">
        <f t="shared" si="3"/>
        <v>3843.75</v>
      </c>
      <c r="G18" s="57">
        <f t="shared" si="4"/>
        <v>16485.540905400801</v>
      </c>
      <c r="H18" s="57">
        <f t="shared" si="5"/>
        <v>1350.546235711681</v>
      </c>
      <c r="I18" s="57">
        <f t="shared" si="6"/>
        <v>268758.70090662455</v>
      </c>
    </row>
    <row r="19" spans="2:9">
      <c r="B19" s="47">
        <f t="shared" si="7"/>
        <v>5</v>
      </c>
      <c r="C19" s="47">
        <f t="shared" si="0"/>
        <v>44</v>
      </c>
      <c r="D19" s="57">
        <f t="shared" si="1"/>
        <v>268758.70090662455</v>
      </c>
      <c r="E19" s="57">
        <f t="shared" si="2"/>
        <v>76875</v>
      </c>
      <c r="F19" s="57">
        <f t="shared" si="3"/>
        <v>3843.75</v>
      </c>
      <c r="G19" s="57">
        <f t="shared" si="4"/>
        <v>22216.346808930597</v>
      </c>
      <c r="H19" s="57">
        <f t="shared" si="5"/>
        <v>1820.0314885777759</v>
      </c>
      <c r="I19" s="57">
        <f t="shared" si="6"/>
        <v>362186.2662269774</v>
      </c>
    </row>
    <row r="20" spans="2:9">
      <c r="B20" s="47">
        <f t="shared" si="7"/>
        <v>6</v>
      </c>
      <c r="C20" s="47">
        <f t="shared" si="0"/>
        <v>45</v>
      </c>
      <c r="D20" s="57">
        <f t="shared" si="1"/>
        <v>362186.2662269774</v>
      </c>
      <c r="E20" s="57">
        <f t="shared" si="2"/>
        <v>76875</v>
      </c>
      <c r="F20" s="57">
        <f t="shared" si="3"/>
        <v>3843.75</v>
      </c>
      <c r="G20" s="57">
        <f t="shared" si="4"/>
        <v>28289.138554753532</v>
      </c>
      <c r="H20" s="57">
        <f t="shared" si="5"/>
        <v>2317.5332739086548</v>
      </c>
      <c r="I20" s="57">
        <f t="shared" si="6"/>
        <v>461189.1215078223</v>
      </c>
    </row>
    <row r="21" spans="2:9">
      <c r="B21" s="47">
        <f t="shared" si="7"/>
        <v>7</v>
      </c>
      <c r="C21" s="47">
        <f t="shared" si="0"/>
        <v>46</v>
      </c>
      <c r="D21" s="57">
        <f t="shared" si="1"/>
        <v>461189.1215078223</v>
      </c>
      <c r="E21" s="57">
        <f t="shared" si="2"/>
        <v>76875</v>
      </c>
      <c r="F21" s="57">
        <f t="shared" si="3"/>
        <v>3843.75</v>
      </c>
      <c r="G21" s="57">
        <f t="shared" si="4"/>
        <v>34724.324148008454</v>
      </c>
      <c r="H21" s="57">
        <f t="shared" si="5"/>
        <v>2844.7234782791538</v>
      </c>
      <c r="I21" s="57">
        <f t="shared" si="6"/>
        <v>566099.97217755159</v>
      </c>
    </row>
    <row r="22" spans="2:9">
      <c r="B22" s="47">
        <f t="shared" si="7"/>
        <v>8</v>
      </c>
      <c r="C22" s="47">
        <f t="shared" si="0"/>
        <v>47</v>
      </c>
      <c r="D22" s="57">
        <f t="shared" si="1"/>
        <v>566099.97217755159</v>
      </c>
      <c r="E22" s="57">
        <f t="shared" si="2"/>
        <v>76875</v>
      </c>
      <c r="F22" s="57">
        <f t="shared" si="3"/>
        <v>3843.75</v>
      </c>
      <c r="G22" s="57">
        <f t="shared" si="4"/>
        <v>41543.529441540857</v>
      </c>
      <c r="H22" s="57">
        <f t="shared" si="5"/>
        <v>3403.3737580954621</v>
      </c>
      <c r="I22" s="57">
        <f t="shared" si="6"/>
        <v>677271.37786099699</v>
      </c>
    </row>
    <row r="23" spans="2:9">
      <c r="B23" s="47">
        <f t="shared" si="7"/>
        <v>9</v>
      </c>
      <c r="C23" s="47">
        <f t="shared" si="0"/>
        <v>48</v>
      </c>
      <c r="D23" s="57">
        <f t="shared" si="1"/>
        <v>677271.37786099699</v>
      </c>
      <c r="E23" s="57">
        <f t="shared" si="2"/>
        <v>76875</v>
      </c>
      <c r="F23" s="57">
        <f t="shared" si="3"/>
        <v>3843.75</v>
      </c>
      <c r="G23" s="57">
        <f t="shared" si="4"/>
        <v>48769.670810964803</v>
      </c>
      <c r="H23" s="57">
        <f t="shared" si="5"/>
        <v>3995.3614933598087</v>
      </c>
      <c r="I23" s="57">
        <f t="shared" si="6"/>
        <v>795076.93717860198</v>
      </c>
    </row>
    <row r="24" spans="2:9">
      <c r="B24" s="47">
        <f t="shared" si="7"/>
        <v>10</v>
      </c>
      <c r="C24" s="47">
        <f t="shared" si="0"/>
        <v>49</v>
      </c>
      <c r="D24" s="57">
        <f t="shared" si="1"/>
        <v>795076.93717860198</v>
      </c>
      <c r="E24" s="57">
        <f t="shared" si="2"/>
        <v>76875</v>
      </c>
      <c r="F24" s="57">
        <f t="shared" si="3"/>
        <v>3843.75</v>
      </c>
      <c r="G24" s="57">
        <f t="shared" si="4"/>
        <v>56427.032166609133</v>
      </c>
      <c r="H24" s="57">
        <f t="shared" si="5"/>
        <v>4622.6760967260552</v>
      </c>
      <c r="I24" s="57">
        <f t="shared" si="6"/>
        <v>919912.54324848496</v>
      </c>
    </row>
    <row r="25" spans="2:9">
      <c r="B25" s="47">
        <f t="shared" si="7"/>
        <v>11</v>
      </c>
      <c r="C25" s="47">
        <f t="shared" si="0"/>
        <v>50</v>
      </c>
      <c r="D25" s="57">
        <f t="shared" si="1"/>
        <v>919912.54324848496</v>
      </c>
      <c r="E25" s="64">
        <f>$D$3</f>
        <v>75000</v>
      </c>
      <c r="F25" s="65">
        <f t="shared" si="3"/>
        <v>3750</v>
      </c>
      <c r="G25" s="57">
        <f t="shared" si="4"/>
        <v>64425.565311151528</v>
      </c>
      <c r="H25" s="57">
        <f t="shared" si="5"/>
        <v>5277.9405427981819</v>
      </c>
      <c r="I25" s="57">
        <f t="shared" si="6"/>
        <v>1050310.1680168381</v>
      </c>
    </row>
    <row r="26" spans="2:9">
      <c r="B26" s="47">
        <f t="shared" si="7"/>
        <v>12</v>
      </c>
      <c r="C26" s="47">
        <f t="shared" si="0"/>
        <v>51</v>
      </c>
      <c r="D26" s="57">
        <f t="shared" si="1"/>
        <v>1050310.1680168381</v>
      </c>
      <c r="E26" s="64">
        <f t="shared" ref="E26:E34" si="8">$D$3</f>
        <v>75000</v>
      </c>
      <c r="F26" s="65">
        <f t="shared" si="3"/>
        <v>3750</v>
      </c>
      <c r="G26" s="57">
        <f t="shared" si="4"/>
        <v>72901.410921094488</v>
      </c>
      <c r="H26" s="57">
        <f t="shared" si="5"/>
        <v>5972.307894689663</v>
      </c>
      <c r="I26" s="57">
        <f t="shared" si="6"/>
        <v>1188489.2710432429</v>
      </c>
    </row>
    <row r="27" spans="2:9">
      <c r="B27" s="47">
        <f t="shared" si="7"/>
        <v>13</v>
      </c>
      <c r="C27" s="47">
        <f t="shared" si="0"/>
        <v>52</v>
      </c>
      <c r="D27" s="57">
        <f t="shared" si="1"/>
        <v>1188489.2710432429</v>
      </c>
      <c r="E27" s="64">
        <f t="shared" si="8"/>
        <v>75000</v>
      </c>
      <c r="F27" s="65">
        <f t="shared" si="3"/>
        <v>3750</v>
      </c>
      <c r="G27" s="57">
        <f t="shared" si="4"/>
        <v>81883.052617810798</v>
      </c>
      <c r="H27" s="57">
        <f t="shared" si="5"/>
        <v>6708.1116183052691</v>
      </c>
      <c r="I27" s="57">
        <f t="shared" si="6"/>
        <v>1334914.2120427485</v>
      </c>
    </row>
    <row r="28" spans="2:9">
      <c r="B28" s="47">
        <f t="shared" si="7"/>
        <v>14</v>
      </c>
      <c r="C28" s="47">
        <f t="shared" si="0"/>
        <v>53</v>
      </c>
      <c r="D28" s="57">
        <f t="shared" si="1"/>
        <v>1334914.2120427485</v>
      </c>
      <c r="E28" s="64">
        <f t="shared" si="8"/>
        <v>75000</v>
      </c>
      <c r="F28" s="65">
        <f t="shared" si="3"/>
        <v>3750</v>
      </c>
      <c r="G28" s="57">
        <f t="shared" si="4"/>
        <v>91400.673782778656</v>
      </c>
      <c r="H28" s="57">
        <f t="shared" si="5"/>
        <v>7487.824429127636</v>
      </c>
      <c r="I28" s="57">
        <f t="shared" si="6"/>
        <v>1490077.0613963995</v>
      </c>
    </row>
    <row r="29" spans="2:9">
      <c r="B29" s="47">
        <f t="shared" si="7"/>
        <v>15</v>
      </c>
      <c r="C29" s="47">
        <f t="shared" si="0"/>
        <v>54</v>
      </c>
      <c r="D29" s="57">
        <f t="shared" si="1"/>
        <v>1490077.0613963995</v>
      </c>
      <c r="E29" s="64">
        <f t="shared" si="8"/>
        <v>75000</v>
      </c>
      <c r="F29" s="65">
        <f t="shared" si="3"/>
        <v>3750</v>
      </c>
      <c r="G29" s="57">
        <f t="shared" si="4"/>
        <v>101486.25899076597</v>
      </c>
      <c r="H29" s="57">
        <f t="shared" si="5"/>
        <v>8314.0666019358287</v>
      </c>
      <c r="I29" s="57">
        <f t="shared" si="6"/>
        <v>1654499.2537852298</v>
      </c>
    </row>
    <row r="30" spans="2:9">
      <c r="B30" s="47">
        <f t="shared" si="7"/>
        <v>16</v>
      </c>
      <c r="C30" s="47">
        <f t="shared" si="0"/>
        <v>55</v>
      </c>
      <c r="D30" s="57">
        <f t="shared" si="1"/>
        <v>1654499.2537852298</v>
      </c>
      <c r="E30" s="64">
        <f t="shared" si="8"/>
        <v>75000</v>
      </c>
      <c r="F30" s="65">
        <f t="shared" si="3"/>
        <v>3750</v>
      </c>
      <c r="G30" s="57">
        <f t="shared" si="4"/>
        <v>112173.70149603994</v>
      </c>
      <c r="H30" s="57">
        <f t="shared" si="5"/>
        <v>9189.614776406348</v>
      </c>
      <c r="I30" s="57">
        <f t="shared" si="6"/>
        <v>1828733.3405048633</v>
      </c>
    </row>
    <row r="31" spans="2:9">
      <c r="B31" s="47">
        <f t="shared" si="7"/>
        <v>17</v>
      </c>
      <c r="C31" s="47">
        <f t="shared" si="0"/>
        <v>56</v>
      </c>
      <c r="D31" s="57">
        <f t="shared" si="1"/>
        <v>1828733.3405048633</v>
      </c>
      <c r="E31" s="64">
        <f t="shared" si="8"/>
        <v>75000</v>
      </c>
      <c r="F31" s="65">
        <f t="shared" si="3"/>
        <v>3750</v>
      </c>
      <c r="G31" s="57">
        <f t="shared" si="4"/>
        <v>123498.91713281612</v>
      </c>
      <c r="H31" s="57">
        <f t="shared" si="5"/>
        <v>10117.411288188398</v>
      </c>
      <c r="I31" s="57">
        <f t="shared" si="6"/>
        <v>2013364.846349491</v>
      </c>
    </row>
    <row r="32" spans="2:9">
      <c r="B32" s="47">
        <f t="shared" si="7"/>
        <v>18</v>
      </c>
      <c r="C32" s="47">
        <f t="shared" si="0"/>
        <v>57</v>
      </c>
      <c r="D32" s="57">
        <f t="shared" si="1"/>
        <v>2013364.846349491</v>
      </c>
      <c r="E32" s="64">
        <f t="shared" si="8"/>
        <v>75000</v>
      </c>
      <c r="F32" s="65">
        <f t="shared" si="3"/>
        <v>3750</v>
      </c>
      <c r="G32" s="57">
        <f t="shared" si="4"/>
        <v>135499.96501271692</v>
      </c>
      <c r="H32" s="57">
        <f t="shared" si="5"/>
        <v>11100.57405681104</v>
      </c>
      <c r="I32" s="57">
        <f t="shared" si="6"/>
        <v>2209014.2373053967</v>
      </c>
    </row>
    <row r="33" spans="2:9">
      <c r="B33" s="47">
        <f t="shared" si="7"/>
        <v>19</v>
      </c>
      <c r="C33" s="47">
        <f t="shared" si="0"/>
        <v>58</v>
      </c>
      <c r="D33" s="57">
        <f t="shared" si="1"/>
        <v>2209014.2373053967</v>
      </c>
      <c r="E33" s="64">
        <f t="shared" si="8"/>
        <v>75000</v>
      </c>
      <c r="F33" s="65">
        <f t="shared" si="3"/>
        <v>3750</v>
      </c>
      <c r="G33" s="57">
        <f t="shared" si="4"/>
        <v>148217.17542485078</v>
      </c>
      <c r="H33" s="57">
        <f t="shared" si="5"/>
        <v>12142.407063651239</v>
      </c>
      <c r="I33" s="57">
        <f t="shared" si="6"/>
        <v>2416339.0056665963</v>
      </c>
    </row>
    <row r="34" spans="2:9">
      <c r="B34" s="47">
        <f t="shared" si="7"/>
        <v>20</v>
      </c>
      <c r="C34" s="47">
        <f t="shared" si="0"/>
        <v>59</v>
      </c>
      <c r="D34" s="57">
        <f t="shared" si="1"/>
        <v>2416339.0056665963</v>
      </c>
      <c r="E34" s="64">
        <f t="shared" si="8"/>
        <v>75000</v>
      </c>
      <c r="F34" s="65">
        <f t="shared" si="3"/>
        <v>3750</v>
      </c>
      <c r="G34" s="57">
        <f t="shared" si="4"/>
        <v>161693.28536832877</v>
      </c>
      <c r="H34" s="57">
        <f t="shared" si="5"/>
        <v>13246.411455174626</v>
      </c>
      <c r="I34" s="57">
        <f t="shared" si="6"/>
        <v>2636035.8795797508</v>
      </c>
    </row>
    <row r="35" spans="2:9">
      <c r="B35" s="2"/>
    </row>
  </sheetData>
  <mergeCells count="1">
    <mergeCell ref="B13:I13"/>
  </mergeCells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95482-941C-4B7F-9C81-C5A40DB4315A}">
  <dimension ref="A3:AF34"/>
  <sheetViews>
    <sheetView topLeftCell="J17" zoomScale="90" zoomScaleNormal="90" workbookViewId="0">
      <selection activeCell="T34" sqref="T34"/>
    </sheetView>
  </sheetViews>
  <sheetFormatPr defaultColWidth="10.90625" defaultRowHeight="14.5"/>
  <cols>
    <col min="20" max="20" width="11.6328125" bestFit="1" customWidth="1"/>
    <col min="21" max="21" width="12.1796875" bestFit="1" customWidth="1"/>
    <col min="23" max="23" width="12.36328125" customWidth="1"/>
  </cols>
  <sheetData>
    <row r="3" spans="1:32">
      <c r="C3" t="s">
        <v>51</v>
      </c>
      <c r="E3" s="44">
        <v>75000</v>
      </c>
      <c r="G3" t="s">
        <v>52</v>
      </c>
      <c r="I3" s="15">
        <v>0.25</v>
      </c>
      <c r="K3" t="s">
        <v>75</v>
      </c>
      <c r="M3" s="15">
        <v>0.02</v>
      </c>
    </row>
    <row r="4" spans="1:32">
      <c r="C4" t="s">
        <v>53</v>
      </c>
      <c r="E4" s="14">
        <v>8.5000000000000006E-2</v>
      </c>
      <c r="G4" t="s">
        <v>54</v>
      </c>
      <c r="I4" s="14">
        <v>1.0249999999999999</v>
      </c>
    </row>
    <row r="5" spans="1:32">
      <c r="C5" t="s">
        <v>55</v>
      </c>
      <c r="E5" s="14">
        <v>6.5000000000000002E-2</v>
      </c>
      <c r="G5" t="s">
        <v>56</v>
      </c>
      <c r="I5" s="16">
        <v>5.0000000000000001E-3</v>
      </c>
    </row>
    <row r="6" spans="1:32">
      <c r="C6" t="s">
        <v>57</v>
      </c>
      <c r="E6" s="14">
        <v>5.5E-2</v>
      </c>
      <c r="G6" t="s">
        <v>58</v>
      </c>
      <c r="I6" s="15">
        <v>0.05</v>
      </c>
    </row>
    <row r="7" spans="1:32">
      <c r="C7" t="s">
        <v>59</v>
      </c>
      <c r="E7" s="44">
        <v>2000000</v>
      </c>
      <c r="G7" t="s">
        <v>60</v>
      </c>
      <c r="I7" s="15">
        <v>1.05</v>
      </c>
    </row>
    <row r="8" spans="1:32">
      <c r="G8" t="s">
        <v>61</v>
      </c>
      <c r="I8" t="s">
        <v>62</v>
      </c>
    </row>
    <row r="9" spans="1:32">
      <c r="D9" t="s">
        <v>63</v>
      </c>
      <c r="E9" s="45">
        <f>150*20</f>
        <v>3000</v>
      </c>
      <c r="G9" s="15">
        <v>0.1</v>
      </c>
      <c r="I9" s="19">
        <f>E9+E3*G9</f>
        <v>10500</v>
      </c>
    </row>
    <row r="10" spans="1:32">
      <c r="D10" t="s">
        <v>76</v>
      </c>
      <c r="E10" s="45">
        <f>65*10</f>
        <v>650</v>
      </c>
      <c r="G10" s="14">
        <v>2.5000000000000001E-2</v>
      </c>
      <c r="I10" s="19">
        <f>E10+G10*E3</f>
        <v>2525</v>
      </c>
    </row>
    <row r="12" spans="1:32">
      <c r="A12" s="18" t="s">
        <v>67</v>
      </c>
      <c r="B12" s="18">
        <f>SUM(D12:AF12)</f>
        <v>28</v>
      </c>
      <c r="C12" s="18"/>
      <c r="D12" s="18">
        <v>2</v>
      </c>
      <c r="E12" s="18">
        <v>1</v>
      </c>
      <c r="F12" s="18"/>
      <c r="G12" s="18"/>
      <c r="H12" s="18">
        <v>2</v>
      </c>
      <c r="I12" s="18">
        <v>1</v>
      </c>
      <c r="J12" s="18">
        <v>1</v>
      </c>
      <c r="K12" s="18"/>
      <c r="L12" s="18"/>
      <c r="M12" s="18"/>
      <c r="N12" s="18">
        <v>1</v>
      </c>
      <c r="O12" s="18">
        <v>1</v>
      </c>
      <c r="P12" s="18">
        <v>2</v>
      </c>
      <c r="Q12" s="18">
        <v>1</v>
      </c>
      <c r="R12" s="18">
        <v>1</v>
      </c>
      <c r="S12" s="18">
        <v>2</v>
      </c>
      <c r="T12" s="18">
        <v>1</v>
      </c>
      <c r="U12" s="18">
        <v>1</v>
      </c>
      <c r="V12" s="18"/>
      <c r="W12" s="18">
        <v>1</v>
      </c>
      <c r="X12" s="18">
        <v>2</v>
      </c>
      <c r="Y12" s="18">
        <v>2</v>
      </c>
      <c r="Z12" s="18"/>
      <c r="AA12" s="18">
        <v>2</v>
      </c>
      <c r="AB12" s="18">
        <v>2</v>
      </c>
      <c r="AC12" s="18"/>
      <c r="AD12" s="18"/>
      <c r="AE12" s="18"/>
      <c r="AF12" s="18">
        <v>2</v>
      </c>
    </row>
    <row r="14" spans="1:32" ht="44">
      <c r="C14" s="50" t="s">
        <v>70</v>
      </c>
      <c r="D14" s="50" t="s">
        <v>77</v>
      </c>
      <c r="E14" s="50" t="s">
        <v>78</v>
      </c>
      <c r="F14" s="50"/>
      <c r="G14" s="50" t="s">
        <v>79</v>
      </c>
      <c r="H14" s="50" t="s">
        <v>80</v>
      </c>
      <c r="I14" s="50" t="s">
        <v>81</v>
      </c>
      <c r="J14" s="50" t="s">
        <v>82</v>
      </c>
      <c r="L14" s="46" t="s">
        <v>69</v>
      </c>
      <c r="M14" s="46" t="s">
        <v>70</v>
      </c>
      <c r="N14" s="46" t="s">
        <v>83</v>
      </c>
      <c r="O14" s="50" t="s">
        <v>58</v>
      </c>
      <c r="P14" s="51" t="s">
        <v>84</v>
      </c>
      <c r="Q14" s="50" t="s">
        <v>85</v>
      </c>
      <c r="R14" s="46" t="s">
        <v>56</v>
      </c>
      <c r="S14" s="46" t="s">
        <v>86</v>
      </c>
      <c r="T14" s="46" t="s">
        <v>87</v>
      </c>
      <c r="U14" s="46" t="s">
        <v>88</v>
      </c>
      <c r="W14" s="46" t="s">
        <v>89</v>
      </c>
      <c r="X14" s="46" t="s">
        <v>90</v>
      </c>
      <c r="Y14" s="46" t="s">
        <v>91</v>
      </c>
      <c r="AA14" s="46" t="s">
        <v>92</v>
      </c>
      <c r="AB14" s="46" t="s">
        <v>93</v>
      </c>
      <c r="AD14" s="46" t="s">
        <v>94</v>
      </c>
      <c r="AE14" s="46" t="s">
        <v>95</v>
      </c>
      <c r="AF14" s="46" t="s">
        <v>96</v>
      </c>
    </row>
    <row r="15" spans="1:32">
      <c r="C15" s="50">
        <v>40</v>
      </c>
      <c r="D15" s="50">
        <f>'Q2 data'!F27/'Q2 data'!B27</f>
        <v>7.8800088927645647E-4</v>
      </c>
      <c r="E15" s="66">
        <f>M3</f>
        <v>0.02</v>
      </c>
      <c r="F15" s="50"/>
      <c r="G15" s="50">
        <f>D15</f>
        <v>7.8800088927645647E-4</v>
      </c>
      <c r="H15" s="53">
        <f>(1-G15)*(E15)</f>
        <v>1.998423998221447E-2</v>
      </c>
      <c r="I15" s="54">
        <f>(1-G15-H15)</f>
        <v>0.97922775912850912</v>
      </c>
      <c r="J15" s="50">
        <v>1</v>
      </c>
      <c r="L15" s="50">
        <v>1</v>
      </c>
      <c r="M15" s="50">
        <v>40</v>
      </c>
      <c r="N15" s="55">
        <f>($E$3-'2(i)'!$E15)</f>
        <v>56250</v>
      </c>
      <c r="O15" s="55">
        <f>'2(i)'!$F15</f>
        <v>937.5</v>
      </c>
      <c r="P15" s="56">
        <f>$E$9+$E$3*$G$9</f>
        <v>10500</v>
      </c>
      <c r="Q15" s="57">
        <f t="shared" ref="Q15:Q34" si="0">(N15+O15-P15)*$E$6</f>
        <v>2567.8125</v>
      </c>
      <c r="R15" s="49">
        <f>'2(i)'!$H15</f>
        <v>94.8515625</v>
      </c>
      <c r="S15" s="48">
        <f>MAX(0,($E$7-'2(i)'!I15)*'2(ii)'!$G15)</f>
        <v>1561.1278985486599</v>
      </c>
      <c r="T15" s="50"/>
      <c r="U15" s="55">
        <f>N15+O15+Q15+R15-P15-S15-T15</f>
        <v>47789.036163951343</v>
      </c>
      <c r="W15" s="55">
        <f>U15</f>
        <v>47789.036163951343</v>
      </c>
      <c r="X15" s="55">
        <f>W15*J15</f>
        <v>47789.036163951343</v>
      </c>
      <c r="Y15" s="58">
        <f t="shared" ref="Y15:Y34" si="1">(1+$E$4)^(-$L15)</f>
        <v>0.92165898617511521</v>
      </c>
      <c r="AA15" s="57">
        <f>X15*Y15</f>
        <v>44045.194621153314</v>
      </c>
      <c r="AB15" s="57">
        <f>$E$3*$J15</f>
        <v>75000</v>
      </c>
      <c r="AD15" s="56">
        <f>SUM(AA15:AA34)</f>
        <v>41436.842750078846</v>
      </c>
      <c r="AE15" s="56">
        <f>SUM(AB15:AB34)</f>
        <v>666957.0202004608</v>
      </c>
      <c r="AF15" s="59">
        <f>AD15/AE15</f>
        <v>6.2128205409135023E-2</v>
      </c>
    </row>
    <row r="16" spans="1:32">
      <c r="C16" s="50">
        <f>C15+1</f>
        <v>41</v>
      </c>
      <c r="D16" s="50">
        <f>'Q2 data'!G28/'Q2 data'!C28</f>
        <v>9.6199535811130037E-4</v>
      </c>
      <c r="E16" s="66">
        <f>E15</f>
        <v>0.02</v>
      </c>
      <c r="F16" s="50"/>
      <c r="G16" s="50">
        <f>D16</f>
        <v>9.6199535811130037E-4</v>
      </c>
      <c r="H16" s="53">
        <f t="shared" ref="H16:H34" si="2">(1-G16)*(E16)</f>
        <v>1.9980760092837776E-2</v>
      </c>
      <c r="I16" s="54">
        <f t="shared" ref="I16:I34" si="3">(1-G16-H16)</f>
        <v>0.97905724454905096</v>
      </c>
      <c r="J16" s="54">
        <f>J15*I15</f>
        <v>0.97922775912850912</v>
      </c>
      <c r="L16" s="50">
        <f>L15+1</f>
        <v>2</v>
      </c>
      <c r="M16" s="50">
        <f>M15+1</f>
        <v>41</v>
      </c>
      <c r="N16" s="55">
        <f>($E$3-'2(i)'!$E16)</f>
        <v>-1875</v>
      </c>
      <c r="O16" s="55">
        <f>'2(i)'!$F16</f>
        <v>3843.75</v>
      </c>
      <c r="P16" s="56">
        <f t="shared" ref="P16:P34" si="4">$E$10+$G$10*$E$3</f>
        <v>2525</v>
      </c>
      <c r="Q16" s="57">
        <f t="shared" si="0"/>
        <v>-30.59375</v>
      </c>
      <c r="R16" s="49">
        <f>'2(i)'!$H16</f>
        <v>489.40323574218752</v>
      </c>
      <c r="S16" s="48">
        <f>MAX(0,($E$7-'2(i)'!I16)*'2(ii)'!$G16)</f>
        <v>1830.3007916579022</v>
      </c>
      <c r="T16" s="50"/>
      <c r="U16" s="55">
        <f t="shared" ref="U16:U34" si="5">N16+O16+Q16+R16-P16-S16-T16</f>
        <v>-1927.7413059157147</v>
      </c>
      <c r="W16" s="55">
        <f t="shared" ref="W16:W34" si="6">U16</f>
        <v>-1927.7413059157147</v>
      </c>
      <c r="X16" s="55">
        <f t="shared" ref="X16:X34" si="7">W16*J16</f>
        <v>-1887.6977991713111</v>
      </c>
      <c r="Y16" s="58">
        <f t="shared" si="1"/>
        <v>0.84945528679734128</v>
      </c>
      <c r="AA16" s="57">
        <f t="shared" ref="AA16:AA34" si="8">X16*Y16</f>
        <v>-1603.5148753817759</v>
      </c>
      <c r="AB16" s="57">
        <f t="shared" ref="AB16:AB34" si="9">$E$3*$J16*$Y15</f>
        <v>67688.554778468373</v>
      </c>
    </row>
    <row r="17" spans="3:28">
      <c r="C17" s="50">
        <f t="shared" ref="C17:C34" si="10">C16+1</f>
        <v>42</v>
      </c>
      <c r="D17" s="50">
        <f>'Q2 data'!H29/'Q2 data'!D29</f>
        <v>1.1040000000000186E-3</v>
      </c>
      <c r="E17" s="66">
        <f t="shared" ref="E17:E33" si="11">E16</f>
        <v>0.02</v>
      </c>
      <c r="F17" s="50"/>
      <c r="G17" s="50">
        <f>D17</f>
        <v>1.1040000000000186E-3</v>
      </c>
      <c r="H17" s="53">
        <f t="shared" si="2"/>
        <v>1.997792E-2</v>
      </c>
      <c r="I17" s="54">
        <f t="shared" si="3"/>
        <v>0.97891808000000002</v>
      </c>
      <c r="J17" s="54">
        <f>J16*I16</f>
        <v>0.95872003163829989</v>
      </c>
      <c r="L17" s="50">
        <f t="shared" ref="L17:M32" si="12">L16+1</f>
        <v>3</v>
      </c>
      <c r="M17" s="50">
        <f t="shared" si="12"/>
        <v>42</v>
      </c>
      <c r="N17" s="55">
        <f>($E$3-'2(i)'!$E17)</f>
        <v>-1875</v>
      </c>
      <c r="O17" s="55">
        <f>'2(i)'!$F17</f>
        <v>3843.75</v>
      </c>
      <c r="P17" s="56">
        <f t="shared" si="4"/>
        <v>2525</v>
      </c>
      <c r="Q17" s="57">
        <f t="shared" si="0"/>
        <v>-30.59375</v>
      </c>
      <c r="R17" s="49">
        <f>'2(i)'!$H17</f>
        <v>907.49978008510254</v>
      </c>
      <c r="S17" s="48">
        <f>MAX(0,($E$7-'2(i)'!I17)*'2(ii)'!$G17)</f>
        <v>2008.625928314457</v>
      </c>
      <c r="T17" s="50"/>
      <c r="U17" s="55">
        <f t="shared" si="5"/>
        <v>-1687.9698982293546</v>
      </c>
      <c r="W17" s="55">
        <f t="shared" si="6"/>
        <v>-1687.9698982293546</v>
      </c>
      <c r="X17" s="55">
        <f t="shared" si="7"/>
        <v>-1618.2905542349447</v>
      </c>
      <c r="Y17" s="58">
        <f t="shared" si="1"/>
        <v>0.78290809843072917</v>
      </c>
      <c r="AA17" s="57">
        <f t="shared" si="8"/>
        <v>-1266.9727805244913</v>
      </c>
      <c r="AB17" s="57">
        <f t="shared" si="9"/>
        <v>61079.234957525114</v>
      </c>
    </row>
    <row r="18" spans="3:28">
      <c r="C18" s="50">
        <f t="shared" si="10"/>
        <v>43</v>
      </c>
      <c r="D18" s="50">
        <f>'Q2 data'!H30/'Q2 data'!D30</f>
        <v>1.2079999999999012E-3</v>
      </c>
      <c r="E18" s="66">
        <f t="shared" si="11"/>
        <v>0.02</v>
      </c>
      <c r="F18" s="50"/>
      <c r="G18" s="50">
        <f t="shared" ref="G18:G33" si="13">D18</f>
        <v>1.2079999999999012E-3</v>
      </c>
      <c r="H18" s="53">
        <f t="shared" si="2"/>
        <v>1.9975840000000002E-2</v>
      </c>
      <c r="I18" s="54">
        <f t="shared" si="3"/>
        <v>0.97881616000000016</v>
      </c>
      <c r="J18" s="54">
        <f t="shared" ref="J18:J34" si="14">J17*I17</f>
        <v>0.93850837262890385</v>
      </c>
      <c r="L18" s="50">
        <f t="shared" si="12"/>
        <v>4</v>
      </c>
      <c r="M18" s="50">
        <f t="shared" si="12"/>
        <v>43</v>
      </c>
      <c r="N18" s="55">
        <f>($E$3-'2(i)'!$E18)</f>
        <v>-1875</v>
      </c>
      <c r="O18" s="55">
        <f>'2(i)'!$F18</f>
        <v>3843.75</v>
      </c>
      <c r="P18" s="56">
        <f t="shared" si="4"/>
        <v>2525</v>
      </c>
      <c r="Q18" s="57">
        <f t="shared" si="0"/>
        <v>-30.59375</v>
      </c>
      <c r="R18" s="49">
        <f>'2(i)'!$H18</f>
        <v>1350.546235711681</v>
      </c>
      <c r="S18" s="48">
        <f>MAX(0,($E$7-'2(i)'!I18)*'2(ii)'!$G18)</f>
        <v>2091.3394893046266</v>
      </c>
      <c r="T18" s="50"/>
      <c r="U18" s="55">
        <f t="shared" si="5"/>
        <v>-1327.6370035929453</v>
      </c>
      <c r="W18" s="55">
        <f t="shared" si="6"/>
        <v>-1327.6370035929453</v>
      </c>
      <c r="X18" s="55">
        <f t="shared" si="7"/>
        <v>-1245.9984436839293</v>
      </c>
      <c r="Y18" s="58">
        <f t="shared" si="1"/>
        <v>0.72157428426795334</v>
      </c>
      <c r="AA18" s="57">
        <f t="shared" si="8"/>
        <v>-899.08043520021499</v>
      </c>
      <c r="AB18" s="57">
        <f t="shared" si="9"/>
        <v>55107.435403215997</v>
      </c>
    </row>
    <row r="19" spans="3:28">
      <c r="C19" s="50">
        <f t="shared" si="10"/>
        <v>44</v>
      </c>
      <c r="D19" s="50">
        <f>'Q2 data'!H31/'Q2 data'!D31</f>
        <v>1.3270000000000194E-3</v>
      </c>
      <c r="E19" s="66">
        <f t="shared" si="11"/>
        <v>0.02</v>
      </c>
      <c r="F19" s="50"/>
      <c r="G19" s="50">
        <f t="shared" si="13"/>
        <v>1.3270000000000194E-3</v>
      </c>
      <c r="H19" s="53">
        <f t="shared" si="2"/>
        <v>1.9973460000000002E-2</v>
      </c>
      <c r="I19" s="54">
        <f t="shared" si="3"/>
        <v>0.97869954000000003</v>
      </c>
      <c r="J19" s="54">
        <f t="shared" si="14"/>
        <v>0.91862716142447287</v>
      </c>
      <c r="L19" s="50">
        <f t="shared" si="12"/>
        <v>5</v>
      </c>
      <c r="M19" s="50">
        <f t="shared" si="12"/>
        <v>44</v>
      </c>
      <c r="N19" s="55">
        <f>($E$3-'2(i)'!$E19)</f>
        <v>-1875</v>
      </c>
      <c r="O19" s="55">
        <f>'2(i)'!$F19</f>
        <v>3843.75</v>
      </c>
      <c r="P19" s="56">
        <f t="shared" si="4"/>
        <v>2525</v>
      </c>
      <c r="Q19" s="57">
        <f t="shared" si="0"/>
        <v>-30.59375</v>
      </c>
      <c r="R19" s="49">
        <f>'2(i)'!$H19</f>
        <v>1820.0314885777759</v>
      </c>
      <c r="S19" s="48">
        <f>MAX(0,($E$7-'2(i)'!I19)*'2(ii)'!$G19)</f>
        <v>2173.3788247168327</v>
      </c>
      <c r="T19" s="50"/>
      <c r="U19" s="55">
        <f t="shared" si="5"/>
        <v>-940.19108613905655</v>
      </c>
      <c r="W19" s="55">
        <f t="shared" si="6"/>
        <v>-940.19108613905655</v>
      </c>
      <c r="X19" s="55">
        <f t="shared" si="7"/>
        <v>-863.68506865651364</v>
      </c>
      <c r="Y19" s="58">
        <f t="shared" si="1"/>
        <v>0.66504542328843619</v>
      </c>
      <c r="AA19" s="57">
        <f t="shared" si="8"/>
        <v>-574.38980207257316</v>
      </c>
      <c r="AB19" s="57">
        <f t="shared" si="9"/>
        <v>49714.330238547431</v>
      </c>
    </row>
    <row r="20" spans="3:28">
      <c r="C20" s="50">
        <f t="shared" si="10"/>
        <v>45</v>
      </c>
      <c r="D20" s="50">
        <f>'Q2 data'!H32/'Q2 data'!D32</f>
        <v>1.4649999999999626E-3</v>
      </c>
      <c r="E20" s="66">
        <f t="shared" si="11"/>
        <v>0.02</v>
      </c>
      <c r="F20" s="50"/>
      <c r="G20" s="50">
        <f t="shared" si="13"/>
        <v>1.4649999999999626E-3</v>
      </c>
      <c r="H20" s="53">
        <f t="shared" si="2"/>
        <v>1.9970700000000001E-2</v>
      </c>
      <c r="I20" s="54">
        <f t="shared" si="3"/>
        <v>0.97856430000000005</v>
      </c>
      <c r="J20" s="54">
        <f t="shared" si="14"/>
        <v>0.89905998031763734</v>
      </c>
      <c r="L20" s="50">
        <f t="shared" si="12"/>
        <v>6</v>
      </c>
      <c r="M20" s="50">
        <f t="shared" si="12"/>
        <v>45</v>
      </c>
      <c r="N20" s="55">
        <f>($E$3-'2(i)'!$E20)</f>
        <v>-1875</v>
      </c>
      <c r="O20" s="55">
        <f>'2(i)'!$F20</f>
        <v>3843.75</v>
      </c>
      <c r="P20" s="56">
        <f t="shared" si="4"/>
        <v>2525</v>
      </c>
      <c r="Q20" s="57">
        <f t="shared" si="0"/>
        <v>-30.59375</v>
      </c>
      <c r="R20" s="49">
        <f>'2(i)'!$H20</f>
        <v>2317.5332739086548</v>
      </c>
      <c r="S20" s="48">
        <f>MAX(0,($E$7-'2(i)'!I20)*'2(ii)'!$G20)</f>
        <v>2254.357936990983</v>
      </c>
      <c r="T20" s="50"/>
      <c r="U20" s="55">
        <f t="shared" si="5"/>
        <v>-523.66841308232779</v>
      </c>
      <c r="W20" s="55">
        <f t="shared" si="6"/>
        <v>-523.66841308232779</v>
      </c>
      <c r="X20" s="55">
        <f t="shared" si="7"/>
        <v>-470.80931315876597</v>
      </c>
      <c r="Y20" s="58">
        <f t="shared" si="1"/>
        <v>0.6129450905884205</v>
      </c>
      <c r="AA20" s="57">
        <f t="shared" si="8"/>
        <v>-288.58025710397186</v>
      </c>
      <c r="AB20" s="57">
        <f t="shared" si="9"/>
        <v>44843.679387902717</v>
      </c>
    </row>
    <row r="21" spans="3:28">
      <c r="C21" s="50">
        <f t="shared" si="10"/>
        <v>46</v>
      </c>
      <c r="D21" s="50">
        <f>'Q2 data'!H33/'Q2 data'!D33</f>
        <v>1.6220000000000613E-3</v>
      </c>
      <c r="E21" s="66">
        <f t="shared" si="11"/>
        <v>0.02</v>
      </c>
      <c r="F21" s="50"/>
      <c r="G21" s="50">
        <f t="shared" si="13"/>
        <v>1.6220000000000613E-3</v>
      </c>
      <c r="H21" s="53">
        <f t="shared" si="2"/>
        <v>1.9967559999999999E-2</v>
      </c>
      <c r="I21" s="54">
        <f t="shared" si="3"/>
        <v>0.97841043999999999</v>
      </c>
      <c r="J21" s="54">
        <f t="shared" si="14"/>
        <v>0.87978800029754256</v>
      </c>
      <c r="L21" s="50">
        <f t="shared" si="12"/>
        <v>7</v>
      </c>
      <c r="M21" s="50">
        <f t="shared" si="12"/>
        <v>46</v>
      </c>
      <c r="N21" s="55">
        <f>($E$3-'2(i)'!$E21)</f>
        <v>-1875</v>
      </c>
      <c r="O21" s="55">
        <f>'2(i)'!$F21</f>
        <v>3843.75</v>
      </c>
      <c r="P21" s="56">
        <f t="shared" si="4"/>
        <v>2525</v>
      </c>
      <c r="Q21" s="57">
        <f t="shared" si="0"/>
        <v>-30.59375</v>
      </c>
      <c r="R21" s="49">
        <f>'2(i)'!$H21</f>
        <v>2844.7234782791538</v>
      </c>
      <c r="S21" s="48">
        <f>MAX(0,($E$7-'2(i)'!I21)*'2(ii)'!$G21)</f>
        <v>2325.785845128099</v>
      </c>
      <c r="T21" s="50"/>
      <c r="U21" s="55">
        <f t="shared" si="5"/>
        <v>-67.906116848945203</v>
      </c>
      <c r="W21" s="55">
        <f t="shared" si="6"/>
        <v>-67.906116848945203</v>
      </c>
      <c r="X21" s="55">
        <f t="shared" si="7"/>
        <v>-59.742986750504762</v>
      </c>
      <c r="Y21" s="58">
        <f t="shared" si="1"/>
        <v>0.56492635077273778</v>
      </c>
      <c r="AA21" s="57">
        <f t="shared" si="8"/>
        <v>-33.750387489226682</v>
      </c>
      <c r="AB21" s="57">
        <f t="shared" si="9"/>
        <v>40444.63016557369</v>
      </c>
    </row>
    <row r="22" spans="3:28">
      <c r="C22" s="50">
        <f t="shared" si="10"/>
        <v>47</v>
      </c>
      <c r="D22" s="50">
        <f>'Q2 data'!H34/'Q2 data'!D34</f>
        <v>1.8019999999999542E-3</v>
      </c>
      <c r="E22" s="66">
        <f t="shared" si="11"/>
        <v>0.02</v>
      </c>
      <c r="F22" s="50"/>
      <c r="G22" s="50">
        <f t="shared" si="13"/>
        <v>1.8019999999999542E-3</v>
      </c>
      <c r="H22" s="53">
        <f t="shared" si="2"/>
        <v>1.9963959999999999E-2</v>
      </c>
      <c r="I22" s="54">
        <f t="shared" si="3"/>
        <v>0.97823404000000003</v>
      </c>
      <c r="J22" s="54">
        <f t="shared" si="14"/>
        <v>0.86079376447783873</v>
      </c>
      <c r="L22" s="50">
        <f t="shared" si="12"/>
        <v>8</v>
      </c>
      <c r="M22" s="50">
        <f t="shared" si="12"/>
        <v>47</v>
      </c>
      <c r="N22" s="55">
        <f>($E$3-'2(i)'!$E22)</f>
        <v>-1875</v>
      </c>
      <c r="O22" s="55">
        <f>'2(i)'!$F22</f>
        <v>3843.75</v>
      </c>
      <c r="P22" s="56">
        <f t="shared" si="4"/>
        <v>2525</v>
      </c>
      <c r="Q22" s="57">
        <f t="shared" si="0"/>
        <v>-30.59375</v>
      </c>
      <c r="R22" s="49">
        <f>'2(i)'!$H22</f>
        <v>3403.3737580954621</v>
      </c>
      <c r="S22" s="48">
        <f>MAX(0,($E$7-'2(i)'!I22)*'2(ii)'!$G22)</f>
        <v>2383.556977094423</v>
      </c>
      <c r="T22" s="50"/>
      <c r="U22" s="55">
        <f t="shared" si="5"/>
        <v>432.97303100103909</v>
      </c>
      <c r="W22" s="55">
        <f t="shared" si="6"/>
        <v>432.97303100103909</v>
      </c>
      <c r="X22" s="55">
        <f t="shared" si="7"/>
        <v>372.70048527276441</v>
      </c>
      <c r="Y22" s="58">
        <f t="shared" si="1"/>
        <v>0.52066944771680901</v>
      </c>
      <c r="AA22" s="57">
        <f t="shared" si="8"/>
        <v>194.05375583075696</v>
      </c>
      <c r="AB22" s="57">
        <f t="shared" si="9"/>
        <v>36471.381010079473</v>
      </c>
    </row>
    <row r="23" spans="3:28">
      <c r="C23" s="50">
        <f t="shared" si="10"/>
        <v>48</v>
      </c>
      <c r="D23" s="50">
        <f>'Q2 data'!H35/'Q2 data'!D35</f>
        <v>2.0079999999999599E-3</v>
      </c>
      <c r="E23" s="66">
        <f t="shared" si="11"/>
        <v>0.02</v>
      </c>
      <c r="F23" s="50"/>
      <c r="G23" s="50">
        <f t="shared" si="13"/>
        <v>2.0079999999999599E-3</v>
      </c>
      <c r="H23" s="53">
        <f t="shared" si="2"/>
        <v>1.995984E-2</v>
      </c>
      <c r="I23" s="54">
        <f t="shared" si="3"/>
        <v>0.97803216000000004</v>
      </c>
      <c r="J23" s="54">
        <f t="shared" si="14"/>
        <v>0.84205776183196468</v>
      </c>
      <c r="L23" s="50">
        <f t="shared" si="12"/>
        <v>9</v>
      </c>
      <c r="M23" s="50">
        <f t="shared" si="12"/>
        <v>48</v>
      </c>
      <c r="N23" s="55">
        <f>($E$3-'2(i)'!$E23)</f>
        <v>-1875</v>
      </c>
      <c r="O23" s="55">
        <f>'2(i)'!$F23</f>
        <v>3843.75</v>
      </c>
      <c r="P23" s="56">
        <f t="shared" si="4"/>
        <v>2525</v>
      </c>
      <c r="Q23" s="57">
        <f t="shared" si="0"/>
        <v>-30.59375</v>
      </c>
      <c r="R23" s="49">
        <f>'2(i)'!$H23</f>
        <v>3995.3614933598087</v>
      </c>
      <c r="S23" s="48">
        <f>MAX(0,($E$7-'2(i)'!I23)*'2(ii)'!$G23)</f>
        <v>2419.485510145319</v>
      </c>
      <c r="T23" s="50"/>
      <c r="U23" s="55">
        <f t="shared" si="5"/>
        <v>989.03223321449013</v>
      </c>
      <c r="W23" s="55">
        <f t="shared" si="6"/>
        <v>989.03223321449013</v>
      </c>
      <c r="X23" s="55">
        <f t="shared" si="7"/>
        <v>832.82226868026328</v>
      </c>
      <c r="Y23" s="58">
        <f t="shared" si="1"/>
        <v>0.4798796753150314</v>
      </c>
      <c r="AA23" s="57">
        <f t="shared" si="8"/>
        <v>399.65447988941258</v>
      </c>
      <c r="AB23" s="57">
        <f t="shared" si="9"/>
        <v>32882.531234902599</v>
      </c>
    </row>
    <row r="24" spans="3:28">
      <c r="C24" s="50">
        <f t="shared" si="10"/>
        <v>49</v>
      </c>
      <c r="D24" s="50">
        <f>'Q2 data'!H36/'Q2 data'!D36</f>
        <v>2.2410000000001075E-3</v>
      </c>
      <c r="E24" s="66">
        <f t="shared" si="11"/>
        <v>0.02</v>
      </c>
      <c r="F24" s="50"/>
      <c r="G24" s="50">
        <f t="shared" si="13"/>
        <v>2.2410000000001075E-3</v>
      </c>
      <c r="H24" s="53">
        <f t="shared" si="2"/>
        <v>1.9955179999999996E-2</v>
      </c>
      <c r="I24" s="54">
        <f t="shared" si="3"/>
        <v>0.97780381999999988</v>
      </c>
      <c r="J24" s="54">
        <f t="shared" si="14"/>
        <v>0.82355957164928195</v>
      </c>
      <c r="L24" s="50">
        <f t="shared" si="12"/>
        <v>10</v>
      </c>
      <c r="M24" s="50">
        <f t="shared" si="12"/>
        <v>49</v>
      </c>
      <c r="N24" s="55">
        <f>($E$3-'2(i)'!$E24)</f>
        <v>-1875</v>
      </c>
      <c r="O24" s="55">
        <f>'2(i)'!$F24</f>
        <v>3843.75</v>
      </c>
      <c r="P24" s="56">
        <f t="shared" si="4"/>
        <v>2525</v>
      </c>
      <c r="Q24" s="57">
        <f t="shared" si="0"/>
        <v>-30.59375</v>
      </c>
      <c r="R24" s="49">
        <f>'2(i)'!$H24</f>
        <v>4622.6760967260552</v>
      </c>
      <c r="S24" s="48">
        <f>MAX(0,($E$7-'2(i)'!I24)*'2(ii)'!$G24)</f>
        <v>2420.4759905802616</v>
      </c>
      <c r="T24" s="50"/>
      <c r="U24" s="55">
        <f t="shared" si="5"/>
        <v>1615.3563561457936</v>
      </c>
      <c r="W24" s="55">
        <f t="shared" si="6"/>
        <v>1615.3563561457936</v>
      </c>
      <c r="X24" s="55">
        <f t="shared" si="7"/>
        <v>1330.3421887283748</v>
      </c>
      <c r="Y24" s="58">
        <f t="shared" si="1"/>
        <v>0.44228541503689528</v>
      </c>
      <c r="AA24" s="57">
        <f t="shared" si="8"/>
        <v>588.39094708282096</v>
      </c>
      <c r="AB24" s="57">
        <f t="shared" si="9"/>
        <v>29640.71248842328</v>
      </c>
    </row>
    <row r="25" spans="3:28">
      <c r="C25" s="50">
        <f t="shared" si="10"/>
        <v>50</v>
      </c>
      <c r="D25" s="50">
        <f>'Q2 data'!H37/'Q2 data'!D37</f>
        <v>2.5079999999998615E-3</v>
      </c>
      <c r="E25" s="66">
        <f t="shared" si="11"/>
        <v>0.02</v>
      </c>
      <c r="F25" s="50"/>
      <c r="G25" s="50">
        <f t="shared" si="13"/>
        <v>2.5079999999998615E-3</v>
      </c>
      <c r="H25" s="53">
        <f t="shared" si="2"/>
        <v>1.9949840000000003E-2</v>
      </c>
      <c r="I25" s="54">
        <f t="shared" si="3"/>
        <v>0.97754216000000016</v>
      </c>
      <c r="J25" s="54">
        <f t="shared" si="14"/>
        <v>0.80527969515623155</v>
      </c>
      <c r="L25" s="50">
        <f t="shared" si="12"/>
        <v>11</v>
      </c>
      <c r="M25" s="50">
        <f t="shared" si="12"/>
        <v>50</v>
      </c>
      <c r="N25" s="55">
        <f>($E$3-'2(i)'!$E25)</f>
        <v>0</v>
      </c>
      <c r="O25" s="55">
        <f>'2(i)'!$F25</f>
        <v>3750</v>
      </c>
      <c r="P25" s="56">
        <f t="shared" si="4"/>
        <v>2525</v>
      </c>
      <c r="Q25" s="57">
        <f t="shared" si="0"/>
        <v>67.375</v>
      </c>
      <c r="R25" s="49">
        <f>'2(i)'!$H25</f>
        <v>5277.9405427981819</v>
      </c>
      <c r="S25" s="48">
        <f>MAX(0,($E$7-'2(i)'!I25)*'2(ii)'!$G25)</f>
        <v>2381.8220986136384</v>
      </c>
      <c r="T25" s="50"/>
      <c r="U25" s="55">
        <f t="shared" si="5"/>
        <v>4188.4934441845435</v>
      </c>
      <c r="W25" s="55">
        <f t="shared" si="6"/>
        <v>4188.4934441845435</v>
      </c>
      <c r="X25" s="55">
        <f t="shared" si="7"/>
        <v>3372.9087238968036</v>
      </c>
      <c r="Y25" s="58">
        <f t="shared" si="1"/>
        <v>0.40763632722294496</v>
      </c>
      <c r="AA25" s="57">
        <f t="shared" si="8"/>
        <v>1374.9201242675231</v>
      </c>
      <c r="AB25" s="57">
        <f t="shared" si="9"/>
        <v>26712.25981447188</v>
      </c>
    </row>
    <row r="26" spans="3:28">
      <c r="C26" s="50">
        <f t="shared" si="10"/>
        <v>51</v>
      </c>
      <c r="D26" s="50">
        <f>'Q2 data'!H38/'Q2 data'!D38</f>
        <v>2.8089999999999665E-3</v>
      </c>
      <c r="E26" s="66">
        <f t="shared" si="11"/>
        <v>0.02</v>
      </c>
      <c r="F26" s="50"/>
      <c r="G26" s="50">
        <f t="shared" si="13"/>
        <v>2.8089999999999665E-3</v>
      </c>
      <c r="H26" s="53">
        <f t="shared" si="2"/>
        <v>1.9943820000000001E-2</v>
      </c>
      <c r="I26" s="54">
        <f t="shared" si="3"/>
        <v>0.97724717999999999</v>
      </c>
      <c r="J26" s="54">
        <f t="shared" si="14"/>
        <v>0.78719485260716426</v>
      </c>
      <c r="L26" s="50">
        <f t="shared" si="12"/>
        <v>12</v>
      </c>
      <c r="M26" s="50">
        <f t="shared" si="12"/>
        <v>51</v>
      </c>
      <c r="N26" s="55">
        <f>($E$3-'2(i)'!$E26)</f>
        <v>0</v>
      </c>
      <c r="O26" s="55">
        <f>'2(i)'!$F26</f>
        <v>3750</v>
      </c>
      <c r="P26" s="56">
        <f t="shared" si="4"/>
        <v>2525</v>
      </c>
      <c r="Q26" s="57">
        <f t="shared" si="0"/>
        <v>67.375</v>
      </c>
      <c r="R26" s="49">
        <f>'2(i)'!$H26</f>
        <v>5972.307894689663</v>
      </c>
      <c r="S26" s="48">
        <f>MAX(0,($E$7-'2(i)'!I26)*'2(ii)'!$G26)</f>
        <v>2279.5336376395035</v>
      </c>
      <c r="T26" s="50"/>
      <c r="U26" s="55">
        <f t="shared" si="5"/>
        <v>4985.1492570501605</v>
      </c>
      <c r="W26" s="55">
        <f t="shared" si="6"/>
        <v>4985.1492570501605</v>
      </c>
      <c r="X26" s="55">
        <f t="shared" si="7"/>
        <v>3924.2838346283156</v>
      </c>
      <c r="Y26" s="58">
        <f t="shared" si="1"/>
        <v>0.37570168407644705</v>
      </c>
      <c r="AA26" s="57">
        <f t="shared" si="8"/>
        <v>1474.3600454638356</v>
      </c>
      <c r="AB26" s="57">
        <f t="shared" si="9"/>
        <v>24066.691389419397</v>
      </c>
    </row>
    <row r="27" spans="3:28">
      <c r="C27" s="50">
        <f t="shared" si="10"/>
        <v>52</v>
      </c>
      <c r="D27" s="50">
        <f>'Q2 data'!H39/'Q2 data'!D39</f>
        <v>3.1519999999999829E-3</v>
      </c>
      <c r="E27" s="66">
        <f t="shared" si="11"/>
        <v>0.02</v>
      </c>
      <c r="F27" s="50"/>
      <c r="G27" s="50">
        <f t="shared" si="13"/>
        <v>3.1519999999999829E-3</v>
      </c>
      <c r="H27" s="53">
        <f t="shared" si="2"/>
        <v>1.993696E-2</v>
      </c>
      <c r="I27" s="54">
        <f t="shared" si="3"/>
        <v>0.97691104000000006</v>
      </c>
      <c r="J27" s="54">
        <f t="shared" si="14"/>
        <v>0.7692839498208669</v>
      </c>
      <c r="L27" s="50">
        <f t="shared" si="12"/>
        <v>13</v>
      </c>
      <c r="M27" s="50">
        <f t="shared" si="12"/>
        <v>52</v>
      </c>
      <c r="N27" s="55">
        <f>($E$3-'2(i)'!$E27)</f>
        <v>0</v>
      </c>
      <c r="O27" s="55">
        <f>'2(i)'!$F27</f>
        <v>3750</v>
      </c>
      <c r="P27" s="56">
        <f t="shared" si="4"/>
        <v>2525</v>
      </c>
      <c r="Q27" s="57">
        <f t="shared" si="0"/>
        <v>67.375</v>
      </c>
      <c r="R27" s="49">
        <f>'2(i)'!$H27</f>
        <v>6708.1116183052691</v>
      </c>
      <c r="S27" s="48">
        <f>MAX(0,($E$7-'2(i)'!I27)*'2(ii)'!$G27)</f>
        <v>2096.3504036412455</v>
      </c>
      <c r="T27" s="50"/>
      <c r="U27" s="55">
        <f t="shared" si="5"/>
        <v>5904.136214664024</v>
      </c>
      <c r="W27" s="55">
        <f t="shared" si="6"/>
        <v>5904.136214664024</v>
      </c>
      <c r="X27" s="55">
        <f t="shared" si="7"/>
        <v>4541.9572274971624</v>
      </c>
      <c r="Y27" s="58">
        <f t="shared" si="1"/>
        <v>0.3462688332501816</v>
      </c>
      <c r="AA27" s="57">
        <f t="shared" si="8"/>
        <v>1572.738229837672</v>
      </c>
      <c r="AB27" s="57">
        <f t="shared" si="9"/>
        <v>21676.595661051051</v>
      </c>
    </row>
    <row r="28" spans="3:28">
      <c r="C28" s="50">
        <f t="shared" si="10"/>
        <v>53</v>
      </c>
      <c r="D28" s="50">
        <f>'Q2 data'!H40/'Q2 data'!D40</f>
        <v>3.5389999999999042E-3</v>
      </c>
      <c r="E28" s="66">
        <f t="shared" si="11"/>
        <v>0.02</v>
      </c>
      <c r="F28" s="50"/>
      <c r="G28" s="50">
        <f t="shared" si="13"/>
        <v>3.5389999999999042E-3</v>
      </c>
      <c r="H28" s="53">
        <f t="shared" si="2"/>
        <v>1.9929220000000001E-2</v>
      </c>
      <c r="I28" s="54">
        <f t="shared" si="3"/>
        <v>0.97653178000000007</v>
      </c>
      <c r="J28" s="54">
        <f t="shared" si="14"/>
        <v>0.75152198347481092</v>
      </c>
      <c r="L28" s="50">
        <f t="shared" si="12"/>
        <v>14</v>
      </c>
      <c r="M28" s="50">
        <f t="shared" si="12"/>
        <v>53</v>
      </c>
      <c r="N28" s="55">
        <f>($E$3-'2(i)'!$E28)</f>
        <v>0</v>
      </c>
      <c r="O28" s="55">
        <f>'2(i)'!$F28</f>
        <v>3750</v>
      </c>
      <c r="P28" s="56">
        <f t="shared" si="4"/>
        <v>2525</v>
      </c>
      <c r="Q28" s="57">
        <f t="shared" si="0"/>
        <v>67.375</v>
      </c>
      <c r="R28" s="49">
        <f>'2(i)'!$H28</f>
        <v>7487.824429127636</v>
      </c>
      <c r="S28" s="48">
        <f>MAX(0,($E$7-'2(i)'!I28)*'2(ii)'!$G28)</f>
        <v>1804.6172797180932</v>
      </c>
      <c r="T28" s="50"/>
      <c r="U28" s="55">
        <f t="shared" si="5"/>
        <v>6975.5821494095417</v>
      </c>
      <c r="W28" s="55">
        <f t="shared" si="6"/>
        <v>6975.5821494095417</v>
      </c>
      <c r="X28" s="55">
        <f t="shared" si="7"/>
        <v>5242.3033328157435</v>
      </c>
      <c r="Y28" s="58">
        <f t="shared" si="1"/>
        <v>0.31914178179740244</v>
      </c>
      <c r="AA28" s="57">
        <f t="shared" si="8"/>
        <v>1673.0380263572777</v>
      </c>
      <c r="AB28" s="57">
        <f t="shared" si="9"/>
        <v>19517.148028476378</v>
      </c>
    </row>
    <row r="29" spans="3:28">
      <c r="C29" s="50">
        <f t="shared" si="10"/>
        <v>54</v>
      </c>
      <c r="D29" s="50">
        <f>'Q2 data'!H41/'Q2 data'!D41</f>
        <v>3.9760000000000177E-3</v>
      </c>
      <c r="E29" s="66">
        <f t="shared" si="11"/>
        <v>0.02</v>
      </c>
      <c r="F29" s="50"/>
      <c r="G29" s="50">
        <f t="shared" si="13"/>
        <v>3.9760000000000177E-3</v>
      </c>
      <c r="H29" s="53">
        <f t="shared" si="2"/>
        <v>1.9920480000000001E-2</v>
      </c>
      <c r="I29" s="54">
        <f t="shared" si="3"/>
        <v>0.97610352</v>
      </c>
      <c r="J29" s="54">
        <f t="shared" si="14"/>
        <v>0.73388510023178777</v>
      </c>
      <c r="L29" s="50">
        <f t="shared" si="12"/>
        <v>15</v>
      </c>
      <c r="M29" s="50">
        <f t="shared" si="12"/>
        <v>54</v>
      </c>
      <c r="N29" s="55">
        <f>($E$3-'2(i)'!$E29)</f>
        <v>0</v>
      </c>
      <c r="O29" s="55">
        <f>'2(i)'!$F29</f>
        <v>3750</v>
      </c>
      <c r="P29" s="56">
        <f t="shared" si="4"/>
        <v>2525</v>
      </c>
      <c r="Q29" s="57">
        <f t="shared" si="0"/>
        <v>67.375</v>
      </c>
      <c r="R29" s="49">
        <f>'2(i)'!$H29</f>
        <v>8314.0666019358287</v>
      </c>
      <c r="S29" s="48">
        <f>MAX(0,($E$7-'2(i)'!I29)*'2(ii)'!$G29)</f>
        <v>1373.7109669499325</v>
      </c>
      <c r="T29" s="50"/>
      <c r="U29" s="55">
        <f t="shared" si="5"/>
        <v>8232.7306349858954</v>
      </c>
      <c r="W29" s="55">
        <f t="shared" si="6"/>
        <v>8232.7306349858954</v>
      </c>
      <c r="X29" s="55">
        <f t="shared" si="7"/>
        <v>6041.8783472379337</v>
      </c>
      <c r="Y29" s="58">
        <f t="shared" si="1"/>
        <v>0.2941398910575137</v>
      </c>
      <c r="AA29" s="57">
        <f t="shared" si="8"/>
        <v>1777.1574388393167</v>
      </c>
      <c r="AB29" s="57">
        <f t="shared" si="9"/>
        <v>17566.004889190353</v>
      </c>
    </row>
    <row r="30" spans="3:28">
      <c r="C30" s="50">
        <f t="shared" si="10"/>
        <v>55</v>
      </c>
      <c r="D30" s="50">
        <f>'Q2 data'!H42/'Q2 data'!D42</f>
        <v>4.4690000000000294E-3</v>
      </c>
      <c r="E30" s="66">
        <f t="shared" si="11"/>
        <v>0.02</v>
      </c>
      <c r="F30" s="50"/>
      <c r="G30" s="50">
        <f t="shared" si="13"/>
        <v>4.4690000000000294E-3</v>
      </c>
      <c r="H30" s="53">
        <f t="shared" si="2"/>
        <v>1.991062E-2</v>
      </c>
      <c r="I30" s="54">
        <f t="shared" si="3"/>
        <v>0.97562037999999995</v>
      </c>
      <c r="J30" s="54">
        <f t="shared" si="14"/>
        <v>0.71634782961180088</v>
      </c>
      <c r="L30" s="50">
        <f t="shared" si="12"/>
        <v>16</v>
      </c>
      <c r="M30" s="50">
        <f t="shared" si="12"/>
        <v>55</v>
      </c>
      <c r="N30" s="55">
        <f>($E$3-'2(i)'!$E30)</f>
        <v>0</v>
      </c>
      <c r="O30" s="55">
        <f>'2(i)'!$F30</f>
        <v>3750</v>
      </c>
      <c r="P30" s="56">
        <f t="shared" si="4"/>
        <v>2525</v>
      </c>
      <c r="Q30" s="57">
        <f t="shared" si="0"/>
        <v>67.375</v>
      </c>
      <c r="R30" s="49">
        <f>'2(i)'!$H30</f>
        <v>9189.614776406348</v>
      </c>
      <c r="S30" s="48">
        <f>MAX(0,($E$7-'2(i)'!I30)*'2(ii)'!$G30)</f>
        <v>765.39070128377091</v>
      </c>
      <c r="T30" s="50"/>
      <c r="U30" s="55">
        <f t="shared" si="5"/>
        <v>9716.5990751225763</v>
      </c>
      <c r="W30" s="55">
        <f t="shared" si="6"/>
        <v>9716.5990751225763</v>
      </c>
      <c r="X30" s="55">
        <f t="shared" si="7"/>
        <v>6960.4646586720892</v>
      </c>
      <c r="Y30" s="58">
        <f t="shared" si="1"/>
        <v>0.27109667378572694</v>
      </c>
      <c r="AA30" s="57">
        <f t="shared" si="8"/>
        <v>1886.9588169691085</v>
      </c>
      <c r="AB30" s="57">
        <f t="shared" si="9"/>
        <v>15802.985442097612</v>
      </c>
    </row>
    <row r="31" spans="3:28">
      <c r="C31" s="50">
        <f t="shared" si="10"/>
        <v>56</v>
      </c>
      <c r="D31" s="50">
        <f>'Q2 data'!H43/'Q2 data'!D43</f>
        <v>5.0249999999998846E-3</v>
      </c>
      <c r="E31" s="66">
        <f t="shared" si="11"/>
        <v>0.02</v>
      </c>
      <c r="F31" s="50"/>
      <c r="G31" s="50">
        <f t="shared" si="13"/>
        <v>5.0249999999998846E-3</v>
      </c>
      <c r="H31" s="53">
        <f t="shared" si="2"/>
        <v>1.9899500000000004E-2</v>
      </c>
      <c r="I31" s="54">
        <f t="shared" si="3"/>
        <v>0.97507550000000021</v>
      </c>
      <c r="J31" s="54">
        <f t="shared" si="14"/>
        <v>0.69888354173804035</v>
      </c>
      <c r="L31" s="50">
        <f t="shared" si="12"/>
        <v>17</v>
      </c>
      <c r="M31" s="50">
        <f t="shared" si="12"/>
        <v>56</v>
      </c>
      <c r="N31" s="55">
        <f>($E$3-'2(i)'!$E31)</f>
        <v>0</v>
      </c>
      <c r="O31" s="55">
        <f>'2(i)'!$F31</f>
        <v>3750</v>
      </c>
      <c r="P31" s="56">
        <f t="shared" si="4"/>
        <v>2525</v>
      </c>
      <c r="Q31" s="57">
        <f t="shared" si="0"/>
        <v>67.375</v>
      </c>
      <c r="R31" s="49">
        <f>'2(i)'!$H31</f>
        <v>10117.411288188398</v>
      </c>
      <c r="S31" s="48">
        <f>MAX(0,($E$7-'2(i)'!I31)*'2(ii)'!$G31)</f>
        <v>0</v>
      </c>
      <c r="T31" s="50"/>
      <c r="U31" s="55">
        <f t="shared" si="5"/>
        <v>11409.786288188398</v>
      </c>
      <c r="W31" s="55">
        <f t="shared" si="6"/>
        <v>11409.786288188398</v>
      </c>
      <c r="X31" s="55">
        <f t="shared" si="7"/>
        <v>7974.1118515632361</v>
      </c>
      <c r="Y31" s="58">
        <f t="shared" si="1"/>
        <v>0.24985868551679907</v>
      </c>
      <c r="AA31" s="57">
        <f t="shared" si="8"/>
        <v>1992.4011053955189</v>
      </c>
      <c r="AB31" s="57">
        <f t="shared" si="9"/>
        <v>14209.875264657825</v>
      </c>
    </row>
    <row r="32" spans="3:28">
      <c r="C32" s="50">
        <f t="shared" si="10"/>
        <v>57</v>
      </c>
      <c r="D32" s="50">
        <f>'Q2 data'!H44/'Q2 data'!D44</f>
        <v>5.6499999999999519E-3</v>
      </c>
      <c r="E32" s="66">
        <f t="shared" si="11"/>
        <v>0.02</v>
      </c>
      <c r="F32" s="50"/>
      <c r="G32" s="50">
        <f t="shared" si="13"/>
        <v>5.6499999999999519E-3</v>
      </c>
      <c r="H32" s="53">
        <f t="shared" si="2"/>
        <v>1.9887000000000002E-2</v>
      </c>
      <c r="I32" s="54">
        <f t="shared" si="3"/>
        <v>0.97446300000000008</v>
      </c>
      <c r="J32" s="54">
        <f t="shared" si="14"/>
        <v>0.68146421890199071</v>
      </c>
      <c r="L32" s="50">
        <f t="shared" si="12"/>
        <v>18</v>
      </c>
      <c r="M32" s="50">
        <f t="shared" si="12"/>
        <v>57</v>
      </c>
      <c r="N32" s="55">
        <f>($E$3-'2(i)'!$E32)</f>
        <v>0</v>
      </c>
      <c r="O32" s="55">
        <f>'2(i)'!$F32</f>
        <v>3750</v>
      </c>
      <c r="P32" s="56">
        <f t="shared" si="4"/>
        <v>2525</v>
      </c>
      <c r="Q32" s="57">
        <f t="shared" si="0"/>
        <v>67.375</v>
      </c>
      <c r="R32" s="49">
        <f>'2(i)'!$H32</f>
        <v>11100.57405681104</v>
      </c>
      <c r="S32" s="48">
        <f>MAX(0,($E$7-'2(i)'!I32)*'2(ii)'!$G32)</f>
        <v>0</v>
      </c>
      <c r="T32" s="50"/>
      <c r="U32" s="55">
        <f t="shared" si="5"/>
        <v>12392.94905681104</v>
      </c>
      <c r="W32" s="55">
        <f t="shared" si="6"/>
        <v>12392.94905681104</v>
      </c>
      <c r="X32" s="55">
        <f t="shared" si="7"/>
        <v>8445.3513488918979</v>
      </c>
      <c r="Y32" s="58">
        <f t="shared" si="1"/>
        <v>0.23028450278045995</v>
      </c>
      <c r="AA32" s="57">
        <f t="shared" si="8"/>
        <v>1944.8335361858574</v>
      </c>
      <c r="AB32" s="57">
        <f t="shared" si="9"/>
        <v>12770.23154711877</v>
      </c>
    </row>
    <row r="33" spans="3:28">
      <c r="C33" s="50">
        <f t="shared" si="10"/>
        <v>58</v>
      </c>
      <c r="D33" s="50">
        <f>'Q2 data'!H45/'Q2 data'!D45</f>
        <v>6.3520000000000633E-3</v>
      </c>
      <c r="E33" s="66">
        <f t="shared" si="11"/>
        <v>0.02</v>
      </c>
      <c r="F33" s="50"/>
      <c r="G33" s="50">
        <f t="shared" si="13"/>
        <v>6.3520000000000633E-3</v>
      </c>
      <c r="H33" s="53">
        <f t="shared" si="2"/>
        <v>1.9872959999999999E-2</v>
      </c>
      <c r="I33" s="54">
        <f t="shared" si="3"/>
        <v>0.97377503999999993</v>
      </c>
      <c r="J33" s="54">
        <f t="shared" si="14"/>
        <v>0.66406166714389059</v>
      </c>
      <c r="L33" s="50">
        <f t="shared" ref="L33:M34" si="15">L32+1</f>
        <v>19</v>
      </c>
      <c r="M33" s="50">
        <f t="shared" si="15"/>
        <v>58</v>
      </c>
      <c r="N33" s="55">
        <f>($E$3-'2(i)'!$E33)</f>
        <v>0</v>
      </c>
      <c r="O33" s="55">
        <f>'2(i)'!$F33</f>
        <v>3750</v>
      </c>
      <c r="P33" s="56">
        <f t="shared" si="4"/>
        <v>2525</v>
      </c>
      <c r="Q33" s="57">
        <f t="shared" si="0"/>
        <v>67.375</v>
      </c>
      <c r="R33" s="49">
        <f>'2(i)'!$H33</f>
        <v>12142.407063651239</v>
      </c>
      <c r="S33" s="48">
        <f>MAX(0,($E$7-'2(i)'!I33)*'2(ii)'!$G33)</f>
        <v>0</v>
      </c>
      <c r="T33" s="50"/>
      <c r="U33" s="55">
        <f t="shared" si="5"/>
        <v>13434.782063651239</v>
      </c>
      <c r="W33" s="55">
        <f t="shared" si="6"/>
        <v>13434.782063651239</v>
      </c>
      <c r="X33" s="55">
        <f t="shared" si="7"/>
        <v>8921.5237749030803</v>
      </c>
      <c r="Y33" s="58">
        <f t="shared" si="1"/>
        <v>0.21224378136447922</v>
      </c>
      <c r="AA33" s="57">
        <f t="shared" si="8"/>
        <v>1893.5379415185328</v>
      </c>
      <c r="AB33" s="57">
        <f t="shared" si="9"/>
        <v>11469.233312534561</v>
      </c>
    </row>
    <row r="34" spans="3:28">
      <c r="C34" s="50">
        <f t="shared" si="10"/>
        <v>59</v>
      </c>
      <c r="D34" s="50">
        <f>'Q2 data'!H46/'Q2 data'!D46</f>
        <v>7.1400000000001063E-3</v>
      </c>
      <c r="E34" s="66">
        <v>0</v>
      </c>
      <c r="F34" s="50"/>
      <c r="G34" s="50">
        <f>D34</f>
        <v>7.1400000000001063E-3</v>
      </c>
      <c r="H34" s="53">
        <f t="shared" si="2"/>
        <v>0</v>
      </c>
      <c r="I34" s="54">
        <f t="shared" si="3"/>
        <v>0.99285999999999985</v>
      </c>
      <c r="J34" s="54">
        <f t="shared" si="14"/>
        <v>0.64664667648550866</v>
      </c>
      <c r="L34" s="50">
        <f t="shared" si="15"/>
        <v>20</v>
      </c>
      <c r="M34" s="50">
        <f t="shared" si="15"/>
        <v>59</v>
      </c>
      <c r="N34" s="55">
        <f>($E$3-'2(i)'!$E34)</f>
        <v>0</v>
      </c>
      <c r="O34" s="55">
        <f>'2(i)'!$F34</f>
        <v>3750</v>
      </c>
      <c r="P34" s="56">
        <f t="shared" si="4"/>
        <v>2525</v>
      </c>
      <c r="Q34" s="57">
        <f t="shared" si="0"/>
        <v>67.375</v>
      </c>
      <c r="R34" s="49">
        <f>'2(i)'!$H34</f>
        <v>13246.411455174626</v>
      </c>
      <c r="S34" s="48">
        <f>MAX(0,($E$7-'2(i)'!I34)*'2(ii)'!$G34)</f>
        <v>0</v>
      </c>
      <c r="T34" s="57">
        <f>'2(i)'!$I$34*('2(ii)'!$I$7-1)*(1-D34)</f>
        <v>130860.72916997768</v>
      </c>
      <c r="U34" s="48">
        <f t="shared" si="5"/>
        <v>-116321.94271480307</v>
      </c>
      <c r="W34" s="55">
        <f t="shared" si="6"/>
        <v>-116321.94271480307</v>
      </c>
      <c r="X34" s="55">
        <f>W34*J34</f>
        <v>-75219.197658865131</v>
      </c>
      <c r="Y34" s="58">
        <f t="shared" si="1"/>
        <v>0.19561638835435877</v>
      </c>
      <c r="AA34" s="57">
        <f t="shared" si="8"/>
        <v>-14714.107780939836</v>
      </c>
      <c r="AB34" s="57">
        <f t="shared" si="9"/>
        <v>10293.505186804308</v>
      </c>
    </row>
  </sheetData>
  <pageMargins left="0.7" right="0.7" top="0.75" bottom="0.75" header="0.3" footer="0.3"/>
  <pageSetup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355A9-3666-4F6A-B377-0C06E60C9927}">
  <dimension ref="A3:AH34"/>
  <sheetViews>
    <sheetView topLeftCell="R9" workbookViewId="0">
      <selection activeCell="AF15" sqref="AF15"/>
    </sheetView>
  </sheetViews>
  <sheetFormatPr defaultColWidth="10.90625" defaultRowHeight="14.5"/>
  <cols>
    <col min="20" max="20" width="11.6328125" bestFit="1" customWidth="1"/>
    <col min="21" max="21" width="12.1796875" bestFit="1" customWidth="1"/>
    <col min="23" max="23" width="12.36328125" customWidth="1"/>
  </cols>
  <sheetData>
    <row r="3" spans="1:34">
      <c r="C3" t="s">
        <v>51</v>
      </c>
      <c r="E3">
        <v>75000</v>
      </c>
      <c r="G3" t="s">
        <v>52</v>
      </c>
      <c r="I3" s="15">
        <v>0.25</v>
      </c>
      <c r="K3" t="s">
        <v>75</v>
      </c>
      <c r="M3" s="15">
        <v>0.02</v>
      </c>
    </row>
    <row r="4" spans="1:34">
      <c r="C4" t="s">
        <v>53</v>
      </c>
      <c r="E4" s="14">
        <v>8.5000000000000006E-2</v>
      </c>
      <c r="G4" t="s">
        <v>54</v>
      </c>
      <c r="I4" s="14">
        <v>1.0249999999999999</v>
      </c>
    </row>
    <row r="5" spans="1:34">
      <c r="C5" t="s">
        <v>55</v>
      </c>
      <c r="E5" s="14">
        <v>6.5000000000000002E-2</v>
      </c>
      <c r="G5" t="s">
        <v>56</v>
      </c>
      <c r="I5" s="16">
        <v>5.0000000000000001E-3</v>
      </c>
    </row>
    <row r="6" spans="1:34">
      <c r="C6" t="s">
        <v>57</v>
      </c>
      <c r="E6" s="14">
        <v>5.5E-2</v>
      </c>
      <c r="G6" t="s">
        <v>58</v>
      </c>
      <c r="I6" s="15">
        <v>0.05</v>
      </c>
    </row>
    <row r="7" spans="1:34">
      <c r="C7" t="s">
        <v>59</v>
      </c>
      <c r="E7" s="44">
        <v>2000000</v>
      </c>
      <c r="G7" t="s">
        <v>60</v>
      </c>
      <c r="I7" s="15">
        <v>1.05</v>
      </c>
    </row>
    <row r="8" spans="1:34">
      <c r="G8" t="s">
        <v>61</v>
      </c>
      <c r="I8" t="s">
        <v>62</v>
      </c>
    </row>
    <row r="9" spans="1:34">
      <c r="D9" t="s">
        <v>63</v>
      </c>
      <c r="E9" s="45">
        <f>150*20</f>
        <v>3000</v>
      </c>
      <c r="G9" s="15">
        <v>0.1</v>
      </c>
      <c r="I9" s="19">
        <f>E9+E3*G9</f>
        <v>10500</v>
      </c>
    </row>
    <row r="10" spans="1:34">
      <c r="D10" t="s">
        <v>76</v>
      </c>
      <c r="E10" s="45">
        <f>65*10</f>
        <v>650</v>
      </c>
      <c r="G10" s="60">
        <v>3.905340282932146E-2</v>
      </c>
      <c r="I10" s="19">
        <f>E10+G10*E3</f>
        <v>3579.0052121991093</v>
      </c>
    </row>
    <row r="11" spans="1:34">
      <c r="G11" s="61" t="s">
        <v>97</v>
      </c>
    </row>
    <row r="12" spans="1:34">
      <c r="A12" s="18" t="s">
        <v>67</v>
      </c>
      <c r="B12" s="18">
        <f>SUM(C12:AF12)</f>
        <v>5</v>
      </c>
      <c r="C12" s="18">
        <v>2</v>
      </c>
      <c r="D12" s="18" t="s">
        <v>99</v>
      </c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67">
        <v>1</v>
      </c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67">
        <v>2</v>
      </c>
    </row>
    <row r="14" spans="1:34" ht="44">
      <c r="C14" s="50" t="s">
        <v>70</v>
      </c>
      <c r="D14" s="50" t="s">
        <v>77</v>
      </c>
      <c r="E14" s="50" t="s">
        <v>78</v>
      </c>
      <c r="F14" s="50"/>
      <c r="G14" s="50" t="s">
        <v>79</v>
      </c>
      <c r="H14" s="50" t="s">
        <v>80</v>
      </c>
      <c r="I14" s="50" t="s">
        <v>81</v>
      </c>
      <c r="J14" s="50" t="s">
        <v>82</v>
      </c>
      <c r="L14" s="46" t="s">
        <v>69</v>
      </c>
      <c r="M14" s="46" t="s">
        <v>70</v>
      </c>
      <c r="N14" s="46" t="s">
        <v>83</v>
      </c>
      <c r="O14" s="50" t="s">
        <v>58</v>
      </c>
      <c r="P14" s="51" t="s">
        <v>84</v>
      </c>
      <c r="Q14" s="50" t="s">
        <v>85</v>
      </c>
      <c r="R14" s="46" t="s">
        <v>56</v>
      </c>
      <c r="S14" s="46" t="s">
        <v>86</v>
      </c>
      <c r="T14" s="46" t="s">
        <v>87</v>
      </c>
      <c r="U14" s="46" t="s">
        <v>88</v>
      </c>
      <c r="W14" s="46" t="s">
        <v>89</v>
      </c>
      <c r="X14" s="46" t="s">
        <v>90</v>
      </c>
      <c r="Y14" s="46" t="s">
        <v>91</v>
      </c>
      <c r="AA14" s="46" t="s">
        <v>92</v>
      </c>
      <c r="AB14" s="46" t="s">
        <v>93</v>
      </c>
      <c r="AD14" s="46" t="s">
        <v>94</v>
      </c>
      <c r="AE14" s="46" t="s">
        <v>95</v>
      </c>
      <c r="AF14" s="46" t="s">
        <v>96</v>
      </c>
    </row>
    <row r="15" spans="1:34">
      <c r="C15" s="50">
        <v>40</v>
      </c>
      <c r="D15" s="50">
        <f>'Q2 data'!F27/'Q2 data'!B27</f>
        <v>7.8800088927645647E-4</v>
      </c>
      <c r="E15" s="52">
        <f>M3</f>
        <v>0.02</v>
      </c>
      <c r="F15" s="50"/>
      <c r="G15" s="50">
        <f>D15</f>
        <v>7.8800088927645647E-4</v>
      </c>
      <c r="H15" s="53">
        <f>(1-G15)*(E15)</f>
        <v>1.998423998221447E-2</v>
      </c>
      <c r="I15" s="54">
        <f>(1-G15-H15)</f>
        <v>0.97922775912850912</v>
      </c>
      <c r="J15" s="50">
        <v>1</v>
      </c>
      <c r="L15" s="50">
        <v>1</v>
      </c>
      <c r="M15" s="50">
        <v>40</v>
      </c>
      <c r="N15" s="55">
        <f>($E$3-'2(i)'!$E15)</f>
        <v>56250</v>
      </c>
      <c r="O15" s="55">
        <f>'2(i)'!$F15</f>
        <v>937.5</v>
      </c>
      <c r="P15" s="62">
        <f>$E$9+$E$3*$G$9</f>
        <v>10500</v>
      </c>
      <c r="Q15" s="57">
        <f t="shared" ref="Q15:Q34" si="0">(N15+O15-P15)*$E$6</f>
        <v>2567.8125</v>
      </c>
      <c r="R15" s="49">
        <f>'2(i)'!$H15</f>
        <v>94.8515625</v>
      </c>
      <c r="S15" s="48">
        <f>MAX(0,($E$7-'2(i)'!I15)*'2(iii)'!$G15)</f>
        <v>1561.1278985486599</v>
      </c>
      <c r="T15" s="50"/>
      <c r="U15" s="55">
        <f>N15+O15+Q15+R15-P15-S15-T15</f>
        <v>47789.036163951343</v>
      </c>
      <c r="W15" s="55">
        <f>U15</f>
        <v>47789.036163951343</v>
      </c>
      <c r="X15" s="55">
        <f>W15*J15</f>
        <v>47789.036163951343</v>
      </c>
      <c r="Y15" s="58">
        <f t="shared" ref="Y15:Y34" si="1">(1+$E$4)^(-$L15)</f>
        <v>0.92165898617511521</v>
      </c>
      <c r="AA15" s="57">
        <f>X15*Y15</f>
        <v>44045.194621153314</v>
      </c>
      <c r="AB15" s="57">
        <f>$E$3*$J15</f>
        <v>75000</v>
      </c>
      <c r="AD15" s="56">
        <f>SUM(AA15:AA34)</f>
        <v>33347.851010023041</v>
      </c>
      <c r="AE15" s="56">
        <f>SUM(AB15:AB34)</f>
        <v>666957.0202004608</v>
      </c>
      <c r="AF15" s="63">
        <f>AD15/AE15</f>
        <v>0.05</v>
      </c>
      <c r="AH15" t="s">
        <v>98</v>
      </c>
    </row>
    <row r="16" spans="1:34">
      <c r="C16" s="50">
        <f>C15+1</f>
        <v>41</v>
      </c>
      <c r="D16" s="50">
        <f>'Q2 data'!G28/'Q2 data'!C28</f>
        <v>9.6199535811130037E-4</v>
      </c>
      <c r="E16" s="52">
        <f>E15</f>
        <v>0.02</v>
      </c>
      <c r="F16" s="50"/>
      <c r="G16" s="50">
        <f>D16</f>
        <v>9.6199535811130037E-4</v>
      </c>
      <c r="H16" s="53">
        <f t="shared" ref="H16:H34" si="2">(1-G16)*(E16)</f>
        <v>1.9980760092837776E-2</v>
      </c>
      <c r="I16" s="54">
        <f t="shared" ref="I16:I34" si="3">(1-G16-H16)</f>
        <v>0.97905724454905096</v>
      </c>
      <c r="J16" s="54">
        <f>J15*I15</f>
        <v>0.97922775912850912</v>
      </c>
      <c r="L16" s="50">
        <f>L15+1</f>
        <v>2</v>
      </c>
      <c r="M16" s="50">
        <f>M15+1</f>
        <v>41</v>
      </c>
      <c r="N16" s="55">
        <f>($E$3-'2(i)'!$E16)</f>
        <v>-1875</v>
      </c>
      <c r="O16" s="55">
        <f>'2(i)'!$F16</f>
        <v>3843.75</v>
      </c>
      <c r="P16" s="62">
        <f t="shared" ref="P16:P34" si="4">$E$10+$G$10*$E$3</f>
        <v>3579.0052121991093</v>
      </c>
      <c r="Q16" s="57">
        <f t="shared" si="0"/>
        <v>-88.564036670951012</v>
      </c>
      <c r="R16" s="49">
        <f>'2(i)'!$H16</f>
        <v>489.40323574218752</v>
      </c>
      <c r="S16" s="48">
        <f>MAX(0,($E$7-'2(i)'!I16)*'2(iii)'!$G16)</f>
        <v>1830.3007916579022</v>
      </c>
      <c r="T16" s="50"/>
      <c r="U16" s="55">
        <f t="shared" ref="U16:U34" si="5">N16+O16+Q16+R16-P16-S16-T16</f>
        <v>-3039.7168047857749</v>
      </c>
      <c r="W16" s="55">
        <f t="shared" ref="W16:W34" si="6">U16</f>
        <v>-3039.7168047857749</v>
      </c>
      <c r="X16" s="55">
        <f t="shared" ref="X16:X34" si="7">W16*J16</f>
        <v>-2976.5750751356463</v>
      </c>
      <c r="Y16" s="58">
        <f t="shared" si="1"/>
        <v>0.84945528679734128</v>
      </c>
      <c r="AA16" s="57">
        <f t="shared" ref="AA16:AA34" si="8">X16*Y16</f>
        <v>-2528.467434123168</v>
      </c>
      <c r="AB16" s="57">
        <f t="shared" ref="AB16:AB34" si="9">$E$3*$J16*$Y15</f>
        <v>67688.554778468373</v>
      </c>
    </row>
    <row r="17" spans="3:28">
      <c r="C17" s="50">
        <f t="shared" ref="C17:C34" si="10">C16+1</f>
        <v>42</v>
      </c>
      <c r="D17" s="50">
        <f>'Q2 data'!H29/'Q2 data'!D29</f>
        <v>1.1040000000000186E-3</v>
      </c>
      <c r="E17" s="52">
        <f t="shared" ref="E17:E33" si="11">E16</f>
        <v>0.02</v>
      </c>
      <c r="F17" s="50"/>
      <c r="G17" s="50">
        <f>D17</f>
        <v>1.1040000000000186E-3</v>
      </c>
      <c r="H17" s="53">
        <f t="shared" si="2"/>
        <v>1.997792E-2</v>
      </c>
      <c r="I17" s="54">
        <f t="shared" si="3"/>
        <v>0.97891808000000002</v>
      </c>
      <c r="J17" s="54">
        <f>J16*I16</f>
        <v>0.95872003163829989</v>
      </c>
      <c r="L17" s="50">
        <f t="shared" ref="L17:M32" si="12">L16+1</f>
        <v>3</v>
      </c>
      <c r="M17" s="50">
        <f t="shared" si="12"/>
        <v>42</v>
      </c>
      <c r="N17" s="55">
        <f>($E$3-'2(i)'!$E17)</f>
        <v>-1875</v>
      </c>
      <c r="O17" s="55">
        <f>'2(i)'!$F17</f>
        <v>3843.75</v>
      </c>
      <c r="P17" s="62">
        <f t="shared" si="4"/>
        <v>3579.0052121991093</v>
      </c>
      <c r="Q17" s="57">
        <f t="shared" si="0"/>
        <v>-88.564036670951012</v>
      </c>
      <c r="R17" s="49">
        <f>'2(i)'!$H17</f>
        <v>907.49978008510254</v>
      </c>
      <c r="S17" s="48">
        <f>MAX(0,($E$7-'2(i)'!I17)*'2(iii)'!$G17)</f>
        <v>2008.625928314457</v>
      </c>
      <c r="T17" s="50"/>
      <c r="U17" s="55">
        <f t="shared" si="5"/>
        <v>-2799.9453970994145</v>
      </c>
      <c r="W17" s="55">
        <f t="shared" si="6"/>
        <v>-2799.9453970994145</v>
      </c>
      <c r="X17" s="55">
        <f t="shared" si="7"/>
        <v>-2684.3637396926629</v>
      </c>
      <c r="Y17" s="58">
        <f t="shared" si="1"/>
        <v>0.78290809843072917</v>
      </c>
      <c r="AA17" s="57">
        <f t="shared" si="8"/>
        <v>-2101.6101109391834</v>
      </c>
      <c r="AB17" s="57">
        <f t="shared" si="9"/>
        <v>61079.234957525114</v>
      </c>
    </row>
    <row r="18" spans="3:28">
      <c r="C18" s="50">
        <f t="shared" si="10"/>
        <v>43</v>
      </c>
      <c r="D18" s="50">
        <f>'Q2 data'!H30/'Q2 data'!D30</f>
        <v>1.2079999999999012E-3</v>
      </c>
      <c r="E18" s="52">
        <f t="shared" si="11"/>
        <v>0.02</v>
      </c>
      <c r="F18" s="50"/>
      <c r="G18" s="50">
        <f t="shared" ref="G18:G33" si="13">D18</f>
        <v>1.2079999999999012E-3</v>
      </c>
      <c r="H18" s="53">
        <f t="shared" si="2"/>
        <v>1.9975840000000002E-2</v>
      </c>
      <c r="I18" s="54">
        <f t="shared" si="3"/>
        <v>0.97881616000000016</v>
      </c>
      <c r="J18" s="54">
        <f t="shared" ref="J18:J34" si="14">J17*I17</f>
        <v>0.93850837262890385</v>
      </c>
      <c r="L18" s="50">
        <f t="shared" si="12"/>
        <v>4</v>
      </c>
      <c r="M18" s="50">
        <f t="shared" si="12"/>
        <v>43</v>
      </c>
      <c r="N18" s="55">
        <f>($E$3-'2(i)'!$E18)</f>
        <v>-1875</v>
      </c>
      <c r="O18" s="55">
        <f>'2(i)'!$F18</f>
        <v>3843.75</v>
      </c>
      <c r="P18" s="62">
        <f t="shared" si="4"/>
        <v>3579.0052121991093</v>
      </c>
      <c r="Q18" s="57">
        <f t="shared" si="0"/>
        <v>-88.564036670951012</v>
      </c>
      <c r="R18" s="49">
        <f>'2(i)'!$H18</f>
        <v>1350.546235711681</v>
      </c>
      <c r="S18" s="48">
        <f>MAX(0,($E$7-'2(i)'!I18)*'2(iii)'!$G18)</f>
        <v>2091.3394893046266</v>
      </c>
      <c r="T18" s="50"/>
      <c r="U18" s="55">
        <f t="shared" si="5"/>
        <v>-2439.612502463006</v>
      </c>
      <c r="W18" s="55">
        <f t="shared" si="6"/>
        <v>-2439.612502463006</v>
      </c>
      <c r="X18" s="55">
        <f t="shared" si="7"/>
        <v>-2289.5967595316833</v>
      </c>
      <c r="Y18" s="58">
        <f t="shared" si="1"/>
        <v>0.72157428426795334</v>
      </c>
      <c r="AA18" s="57">
        <f t="shared" si="8"/>
        <v>-1652.1141430212997</v>
      </c>
      <c r="AB18" s="57">
        <f t="shared" si="9"/>
        <v>55107.435403215997</v>
      </c>
    </row>
    <row r="19" spans="3:28">
      <c r="C19" s="50">
        <f t="shared" si="10"/>
        <v>44</v>
      </c>
      <c r="D19" s="50">
        <f>'Q2 data'!H31/'Q2 data'!D31</f>
        <v>1.3270000000000194E-3</v>
      </c>
      <c r="E19" s="52">
        <f t="shared" si="11"/>
        <v>0.02</v>
      </c>
      <c r="F19" s="50"/>
      <c r="G19" s="50">
        <f t="shared" si="13"/>
        <v>1.3270000000000194E-3</v>
      </c>
      <c r="H19" s="53">
        <f t="shared" si="2"/>
        <v>1.9973460000000002E-2</v>
      </c>
      <c r="I19" s="54">
        <f t="shared" si="3"/>
        <v>0.97869954000000003</v>
      </c>
      <c r="J19" s="54">
        <f t="shared" si="14"/>
        <v>0.91862716142447287</v>
      </c>
      <c r="L19" s="50">
        <f t="shared" si="12"/>
        <v>5</v>
      </c>
      <c r="M19" s="50">
        <f t="shared" si="12"/>
        <v>44</v>
      </c>
      <c r="N19" s="55">
        <f>($E$3-'2(i)'!$E19)</f>
        <v>-1875</v>
      </c>
      <c r="O19" s="55">
        <f>'2(i)'!$F19</f>
        <v>3843.75</v>
      </c>
      <c r="P19" s="62">
        <f t="shared" si="4"/>
        <v>3579.0052121991093</v>
      </c>
      <c r="Q19" s="57">
        <f t="shared" si="0"/>
        <v>-88.564036670951012</v>
      </c>
      <c r="R19" s="49">
        <f>'2(i)'!$H19</f>
        <v>1820.0314885777759</v>
      </c>
      <c r="S19" s="48">
        <f>MAX(0,($E$7-'2(i)'!I19)*'2(iii)'!$G19)</f>
        <v>2173.3788247168327</v>
      </c>
      <c r="T19" s="50"/>
      <c r="U19" s="55">
        <f t="shared" si="5"/>
        <v>-2052.1665850091172</v>
      </c>
      <c r="W19" s="55">
        <f t="shared" si="6"/>
        <v>-2052.1665850091172</v>
      </c>
      <c r="X19" s="55">
        <f t="shared" si="7"/>
        <v>-1885.1759647570796</v>
      </c>
      <c r="Y19" s="58">
        <f t="shared" si="1"/>
        <v>0.66504542328843619</v>
      </c>
      <c r="AA19" s="57">
        <f t="shared" si="8"/>
        <v>-1253.7276474550581</v>
      </c>
      <c r="AB19" s="57">
        <f t="shared" si="9"/>
        <v>49714.330238547431</v>
      </c>
    </row>
    <row r="20" spans="3:28">
      <c r="C20" s="50">
        <f t="shared" si="10"/>
        <v>45</v>
      </c>
      <c r="D20" s="50">
        <f>'Q2 data'!H32/'Q2 data'!D32</f>
        <v>1.4649999999999626E-3</v>
      </c>
      <c r="E20" s="52">
        <f t="shared" si="11"/>
        <v>0.02</v>
      </c>
      <c r="F20" s="50"/>
      <c r="G20" s="50">
        <f t="shared" si="13"/>
        <v>1.4649999999999626E-3</v>
      </c>
      <c r="H20" s="53">
        <f t="shared" si="2"/>
        <v>1.9970700000000001E-2</v>
      </c>
      <c r="I20" s="54">
        <f t="shared" si="3"/>
        <v>0.97856430000000005</v>
      </c>
      <c r="J20" s="54">
        <f t="shared" si="14"/>
        <v>0.89905998031763734</v>
      </c>
      <c r="L20" s="50">
        <f t="shared" si="12"/>
        <v>6</v>
      </c>
      <c r="M20" s="50">
        <f t="shared" si="12"/>
        <v>45</v>
      </c>
      <c r="N20" s="55">
        <f>($E$3-'2(i)'!$E20)</f>
        <v>-1875</v>
      </c>
      <c r="O20" s="55">
        <f>'2(i)'!$F20</f>
        <v>3843.75</v>
      </c>
      <c r="P20" s="62">
        <f t="shared" si="4"/>
        <v>3579.0052121991093</v>
      </c>
      <c r="Q20" s="57">
        <f t="shared" si="0"/>
        <v>-88.564036670951012</v>
      </c>
      <c r="R20" s="49">
        <f>'2(i)'!$H20</f>
        <v>2317.5332739086548</v>
      </c>
      <c r="S20" s="48">
        <f>MAX(0,($E$7-'2(i)'!I20)*'2(iii)'!$G20)</f>
        <v>2254.357936990983</v>
      </c>
      <c r="T20" s="50"/>
      <c r="U20" s="55">
        <f t="shared" si="5"/>
        <v>-1635.6439119523884</v>
      </c>
      <c r="W20" s="55">
        <f t="shared" si="6"/>
        <v>-1635.6439119523884</v>
      </c>
      <c r="X20" s="55">
        <f t="shared" si="7"/>
        <v>-1470.5419832865778</v>
      </c>
      <c r="Y20" s="58">
        <f t="shared" si="1"/>
        <v>0.6129450905884205</v>
      </c>
      <c r="AA20" s="57">
        <f t="shared" si="8"/>
        <v>-901.36148915966692</v>
      </c>
      <c r="AB20" s="57">
        <f t="shared" si="9"/>
        <v>44843.679387902717</v>
      </c>
    </row>
    <row r="21" spans="3:28">
      <c r="C21" s="50">
        <f t="shared" si="10"/>
        <v>46</v>
      </c>
      <c r="D21" s="50">
        <f>'Q2 data'!H33/'Q2 data'!D33</f>
        <v>1.6220000000000613E-3</v>
      </c>
      <c r="E21" s="52">
        <f t="shared" si="11"/>
        <v>0.02</v>
      </c>
      <c r="F21" s="50"/>
      <c r="G21" s="50">
        <f t="shared" si="13"/>
        <v>1.6220000000000613E-3</v>
      </c>
      <c r="H21" s="53">
        <f t="shared" si="2"/>
        <v>1.9967559999999999E-2</v>
      </c>
      <c r="I21" s="54">
        <f t="shared" si="3"/>
        <v>0.97841043999999999</v>
      </c>
      <c r="J21" s="54">
        <f t="shared" si="14"/>
        <v>0.87978800029754256</v>
      </c>
      <c r="L21" s="50">
        <f t="shared" si="12"/>
        <v>7</v>
      </c>
      <c r="M21" s="50">
        <f t="shared" si="12"/>
        <v>46</v>
      </c>
      <c r="N21" s="55">
        <f>($E$3-'2(i)'!$E21)</f>
        <v>-1875</v>
      </c>
      <c r="O21" s="55">
        <f>'2(i)'!$F21</f>
        <v>3843.75</v>
      </c>
      <c r="P21" s="62">
        <f t="shared" si="4"/>
        <v>3579.0052121991093</v>
      </c>
      <c r="Q21" s="57">
        <f t="shared" si="0"/>
        <v>-88.564036670951012</v>
      </c>
      <c r="R21" s="49">
        <f>'2(i)'!$H21</f>
        <v>2844.7234782791538</v>
      </c>
      <c r="S21" s="48">
        <f>MAX(0,($E$7-'2(i)'!I21)*'2(iii)'!$G21)</f>
        <v>2325.785845128099</v>
      </c>
      <c r="T21" s="50"/>
      <c r="U21" s="55">
        <f t="shared" si="5"/>
        <v>-1179.8816157190058</v>
      </c>
      <c r="W21" s="55">
        <f t="shared" si="6"/>
        <v>-1179.8816157190058</v>
      </c>
      <c r="X21" s="55">
        <f t="shared" si="7"/>
        <v>-1038.0456872812576</v>
      </c>
      <c r="Y21" s="58">
        <f t="shared" si="1"/>
        <v>0.56492635077273778</v>
      </c>
      <c r="AA21" s="57">
        <f t="shared" si="8"/>
        <v>-586.41936205117941</v>
      </c>
      <c r="AB21" s="57">
        <f t="shared" si="9"/>
        <v>40444.63016557369</v>
      </c>
    </row>
    <row r="22" spans="3:28">
      <c r="C22" s="50">
        <f t="shared" si="10"/>
        <v>47</v>
      </c>
      <c r="D22" s="50">
        <f>'Q2 data'!H34/'Q2 data'!D34</f>
        <v>1.8019999999999542E-3</v>
      </c>
      <c r="E22" s="52">
        <f t="shared" si="11"/>
        <v>0.02</v>
      </c>
      <c r="F22" s="50"/>
      <c r="G22" s="50">
        <f t="shared" si="13"/>
        <v>1.8019999999999542E-3</v>
      </c>
      <c r="H22" s="53">
        <f t="shared" si="2"/>
        <v>1.9963959999999999E-2</v>
      </c>
      <c r="I22" s="54">
        <f t="shared" si="3"/>
        <v>0.97823404000000003</v>
      </c>
      <c r="J22" s="54">
        <f t="shared" si="14"/>
        <v>0.86079376447783873</v>
      </c>
      <c r="L22" s="50">
        <f t="shared" si="12"/>
        <v>8</v>
      </c>
      <c r="M22" s="50">
        <f t="shared" si="12"/>
        <v>47</v>
      </c>
      <c r="N22" s="55">
        <f>($E$3-'2(i)'!$E22)</f>
        <v>-1875</v>
      </c>
      <c r="O22" s="55">
        <f>'2(i)'!$F22</f>
        <v>3843.75</v>
      </c>
      <c r="P22" s="62">
        <f t="shared" si="4"/>
        <v>3579.0052121991093</v>
      </c>
      <c r="Q22" s="57">
        <f t="shared" si="0"/>
        <v>-88.564036670951012</v>
      </c>
      <c r="R22" s="49">
        <f>'2(i)'!$H22</f>
        <v>3403.3737580954621</v>
      </c>
      <c r="S22" s="48">
        <f>MAX(0,($E$7-'2(i)'!I22)*'2(iii)'!$G22)</f>
        <v>2383.556977094423</v>
      </c>
      <c r="T22" s="50"/>
      <c r="U22" s="55">
        <f t="shared" si="5"/>
        <v>-679.00246786902153</v>
      </c>
      <c r="W22" s="55">
        <f t="shared" si="6"/>
        <v>-679.00246786902153</v>
      </c>
      <c r="X22" s="55">
        <f t="shared" si="7"/>
        <v>-584.48109040671773</v>
      </c>
      <c r="Y22" s="58">
        <f t="shared" si="1"/>
        <v>0.52066944771680901</v>
      </c>
      <c r="AA22" s="57">
        <f t="shared" si="8"/>
        <v>-304.32144654298401</v>
      </c>
      <c r="AB22" s="57">
        <f t="shared" si="9"/>
        <v>36471.381010079473</v>
      </c>
    </row>
    <row r="23" spans="3:28">
      <c r="C23" s="50">
        <f t="shared" si="10"/>
        <v>48</v>
      </c>
      <c r="D23" s="50">
        <f>'Q2 data'!H35/'Q2 data'!D35</f>
        <v>2.0079999999999599E-3</v>
      </c>
      <c r="E23" s="52">
        <f t="shared" si="11"/>
        <v>0.02</v>
      </c>
      <c r="F23" s="50"/>
      <c r="G23" s="50">
        <f t="shared" si="13"/>
        <v>2.0079999999999599E-3</v>
      </c>
      <c r="H23" s="53">
        <f t="shared" si="2"/>
        <v>1.995984E-2</v>
      </c>
      <c r="I23" s="54">
        <f t="shared" si="3"/>
        <v>0.97803216000000004</v>
      </c>
      <c r="J23" s="54">
        <f t="shared" si="14"/>
        <v>0.84205776183196468</v>
      </c>
      <c r="L23" s="50">
        <f t="shared" si="12"/>
        <v>9</v>
      </c>
      <c r="M23" s="50">
        <f t="shared" si="12"/>
        <v>48</v>
      </c>
      <c r="N23" s="55">
        <f>($E$3-'2(i)'!$E23)</f>
        <v>-1875</v>
      </c>
      <c r="O23" s="55">
        <f>'2(i)'!$F23</f>
        <v>3843.75</v>
      </c>
      <c r="P23" s="62">
        <f t="shared" si="4"/>
        <v>3579.0052121991093</v>
      </c>
      <c r="Q23" s="57">
        <f t="shared" si="0"/>
        <v>-88.564036670951012</v>
      </c>
      <c r="R23" s="49">
        <f>'2(i)'!$H23</f>
        <v>3995.3614933598087</v>
      </c>
      <c r="S23" s="48">
        <f>MAX(0,($E$7-'2(i)'!I23)*'2(iii)'!$G23)</f>
        <v>2419.485510145319</v>
      </c>
      <c r="T23" s="50"/>
      <c r="U23" s="55">
        <f t="shared" si="5"/>
        <v>-122.94326565557049</v>
      </c>
      <c r="W23" s="55">
        <f t="shared" si="6"/>
        <v>-122.94326565557049</v>
      </c>
      <c r="X23" s="55">
        <f t="shared" si="7"/>
        <v>-103.52533111024233</v>
      </c>
      <c r="Y23" s="58">
        <f t="shared" si="1"/>
        <v>0.4798796753150314</v>
      </c>
      <c r="AA23" s="57">
        <f t="shared" si="8"/>
        <v>-49.679702280064213</v>
      </c>
      <c r="AB23" s="57">
        <f t="shared" si="9"/>
        <v>32882.531234902599</v>
      </c>
    </row>
    <row r="24" spans="3:28">
      <c r="C24" s="50">
        <f t="shared" si="10"/>
        <v>49</v>
      </c>
      <c r="D24" s="50">
        <f>'Q2 data'!H36/'Q2 data'!D36</f>
        <v>2.2410000000001075E-3</v>
      </c>
      <c r="E24" s="52">
        <f t="shared" si="11"/>
        <v>0.02</v>
      </c>
      <c r="F24" s="50"/>
      <c r="G24" s="50">
        <f t="shared" si="13"/>
        <v>2.2410000000001075E-3</v>
      </c>
      <c r="H24" s="53">
        <f t="shared" si="2"/>
        <v>1.9955179999999996E-2</v>
      </c>
      <c r="I24" s="54">
        <f t="shared" si="3"/>
        <v>0.97780381999999988</v>
      </c>
      <c r="J24" s="54">
        <f t="shared" si="14"/>
        <v>0.82355957164928195</v>
      </c>
      <c r="L24" s="50">
        <f t="shared" si="12"/>
        <v>10</v>
      </c>
      <c r="M24" s="50">
        <f t="shared" si="12"/>
        <v>49</v>
      </c>
      <c r="N24" s="55">
        <f>($E$3-'2(i)'!$E24)</f>
        <v>-1875</v>
      </c>
      <c r="O24" s="55">
        <f>'2(i)'!$F24</f>
        <v>3843.75</v>
      </c>
      <c r="P24" s="62">
        <f t="shared" si="4"/>
        <v>3579.0052121991093</v>
      </c>
      <c r="Q24" s="57">
        <f t="shared" si="0"/>
        <v>-88.564036670951012</v>
      </c>
      <c r="R24" s="49">
        <f>'2(i)'!$H24</f>
        <v>4622.6760967260552</v>
      </c>
      <c r="S24" s="48">
        <f>MAX(0,($E$7-'2(i)'!I24)*'2(iii)'!$G24)</f>
        <v>2420.4759905802616</v>
      </c>
      <c r="T24" s="50"/>
      <c r="U24" s="55">
        <f t="shared" si="5"/>
        <v>503.38085727573298</v>
      </c>
      <c r="W24" s="55">
        <f t="shared" si="6"/>
        <v>503.38085727573298</v>
      </c>
      <c r="X24" s="55">
        <f t="shared" si="7"/>
        <v>414.56412319445099</v>
      </c>
      <c r="Y24" s="58">
        <f t="shared" si="1"/>
        <v>0.44228541503689528</v>
      </c>
      <c r="AA24" s="57">
        <f t="shared" si="8"/>
        <v>183.35566528646433</v>
      </c>
      <c r="AB24" s="57">
        <f t="shared" si="9"/>
        <v>29640.71248842328</v>
      </c>
    </row>
    <row r="25" spans="3:28">
      <c r="C25" s="50">
        <f t="shared" si="10"/>
        <v>50</v>
      </c>
      <c r="D25" s="50">
        <f>'Q2 data'!H37/'Q2 data'!D37</f>
        <v>2.5079999999998615E-3</v>
      </c>
      <c r="E25" s="52">
        <f t="shared" si="11"/>
        <v>0.02</v>
      </c>
      <c r="F25" s="50"/>
      <c r="G25" s="50">
        <f t="shared" si="13"/>
        <v>2.5079999999998615E-3</v>
      </c>
      <c r="H25" s="53">
        <f t="shared" si="2"/>
        <v>1.9949840000000003E-2</v>
      </c>
      <c r="I25" s="54">
        <f t="shared" si="3"/>
        <v>0.97754216000000016</v>
      </c>
      <c r="J25" s="54">
        <f t="shared" si="14"/>
        <v>0.80527969515623155</v>
      </c>
      <c r="L25" s="50">
        <f t="shared" si="12"/>
        <v>11</v>
      </c>
      <c r="M25" s="50">
        <f t="shared" si="12"/>
        <v>50</v>
      </c>
      <c r="N25" s="55">
        <f>($E$3-'2(i)'!$E25)</f>
        <v>0</v>
      </c>
      <c r="O25" s="55">
        <f>'2(i)'!$F25</f>
        <v>3750</v>
      </c>
      <c r="P25" s="62">
        <f t="shared" si="4"/>
        <v>3579.0052121991093</v>
      </c>
      <c r="Q25" s="57">
        <f t="shared" si="0"/>
        <v>9.4047133290489864</v>
      </c>
      <c r="R25" s="49">
        <f>'2(i)'!$H25</f>
        <v>5277.9405427981819</v>
      </c>
      <c r="S25" s="48">
        <f>MAX(0,($E$7-'2(i)'!I25)*'2(iii)'!$G25)</f>
        <v>2381.8220986136384</v>
      </c>
      <c r="T25" s="50"/>
      <c r="U25" s="55">
        <f t="shared" si="5"/>
        <v>3076.5179453144838</v>
      </c>
      <c r="W25" s="55">
        <f t="shared" si="6"/>
        <v>3076.5179453144838</v>
      </c>
      <c r="X25" s="55">
        <f t="shared" si="7"/>
        <v>2477.4574331455233</v>
      </c>
      <c r="Y25" s="58">
        <f t="shared" si="1"/>
        <v>0.40763632722294496</v>
      </c>
      <c r="AA25" s="57">
        <f t="shared" si="8"/>
        <v>1009.9016488986258</v>
      </c>
      <c r="AB25" s="57">
        <f t="shared" si="9"/>
        <v>26712.25981447188</v>
      </c>
    </row>
    <row r="26" spans="3:28">
      <c r="C26" s="50">
        <f t="shared" si="10"/>
        <v>51</v>
      </c>
      <c r="D26" s="50">
        <f>'Q2 data'!H38/'Q2 data'!D38</f>
        <v>2.8089999999999665E-3</v>
      </c>
      <c r="E26" s="52">
        <f t="shared" si="11"/>
        <v>0.02</v>
      </c>
      <c r="F26" s="50"/>
      <c r="G26" s="50">
        <f t="shared" si="13"/>
        <v>2.8089999999999665E-3</v>
      </c>
      <c r="H26" s="53">
        <f t="shared" si="2"/>
        <v>1.9943820000000001E-2</v>
      </c>
      <c r="I26" s="54">
        <f t="shared" si="3"/>
        <v>0.97724717999999999</v>
      </c>
      <c r="J26" s="54">
        <f t="shared" si="14"/>
        <v>0.78719485260716426</v>
      </c>
      <c r="L26" s="50">
        <f t="shared" si="12"/>
        <v>12</v>
      </c>
      <c r="M26" s="50">
        <f t="shared" si="12"/>
        <v>51</v>
      </c>
      <c r="N26" s="55">
        <f>($E$3-'2(i)'!$E26)</f>
        <v>0</v>
      </c>
      <c r="O26" s="55">
        <f>'2(i)'!$F26</f>
        <v>3750</v>
      </c>
      <c r="P26" s="62">
        <f t="shared" si="4"/>
        <v>3579.0052121991093</v>
      </c>
      <c r="Q26" s="57">
        <f t="shared" si="0"/>
        <v>9.4047133290489864</v>
      </c>
      <c r="R26" s="49">
        <f>'2(i)'!$H26</f>
        <v>5972.307894689663</v>
      </c>
      <c r="S26" s="48">
        <f>MAX(0,($E$7-'2(i)'!I26)*'2(iii)'!$G26)</f>
        <v>2279.5336376395035</v>
      </c>
      <c r="T26" s="50"/>
      <c r="U26" s="55">
        <f t="shared" si="5"/>
        <v>3873.173758180099</v>
      </c>
      <c r="W26" s="55">
        <f t="shared" si="6"/>
        <v>3873.173758180099</v>
      </c>
      <c r="X26" s="55">
        <f t="shared" si="7"/>
        <v>3048.9424456925194</v>
      </c>
      <c r="Y26" s="58">
        <f t="shared" si="1"/>
        <v>0.37570168407644705</v>
      </c>
      <c r="AA26" s="57">
        <f t="shared" si="8"/>
        <v>1145.4928114988406</v>
      </c>
      <c r="AB26" s="57">
        <f t="shared" si="9"/>
        <v>24066.691389419397</v>
      </c>
    </row>
    <row r="27" spans="3:28">
      <c r="C27" s="50">
        <f t="shared" si="10"/>
        <v>52</v>
      </c>
      <c r="D27" s="50">
        <f>'Q2 data'!H39/'Q2 data'!D39</f>
        <v>3.1519999999999829E-3</v>
      </c>
      <c r="E27" s="52">
        <f t="shared" si="11"/>
        <v>0.02</v>
      </c>
      <c r="F27" s="50"/>
      <c r="G27" s="50">
        <f t="shared" si="13"/>
        <v>3.1519999999999829E-3</v>
      </c>
      <c r="H27" s="53">
        <f t="shared" si="2"/>
        <v>1.993696E-2</v>
      </c>
      <c r="I27" s="54">
        <f t="shared" si="3"/>
        <v>0.97691104000000006</v>
      </c>
      <c r="J27" s="54">
        <f t="shared" si="14"/>
        <v>0.7692839498208669</v>
      </c>
      <c r="L27" s="50">
        <f t="shared" si="12"/>
        <v>13</v>
      </c>
      <c r="M27" s="50">
        <f t="shared" si="12"/>
        <v>52</v>
      </c>
      <c r="N27" s="55">
        <f>($E$3-'2(i)'!$E27)</f>
        <v>0</v>
      </c>
      <c r="O27" s="55">
        <f>'2(i)'!$F27</f>
        <v>3750</v>
      </c>
      <c r="P27" s="62">
        <f t="shared" si="4"/>
        <v>3579.0052121991093</v>
      </c>
      <c r="Q27" s="57">
        <f t="shared" si="0"/>
        <v>9.4047133290489864</v>
      </c>
      <c r="R27" s="49">
        <f>'2(i)'!$H27</f>
        <v>6708.1116183052691</v>
      </c>
      <c r="S27" s="48">
        <f>MAX(0,($E$7-'2(i)'!I27)*'2(iii)'!$G27)</f>
        <v>2096.3504036412455</v>
      </c>
      <c r="T27" s="50"/>
      <c r="U27" s="55">
        <f t="shared" si="5"/>
        <v>4792.1607157939634</v>
      </c>
      <c r="W27" s="55">
        <f t="shared" si="6"/>
        <v>4792.1607157939634</v>
      </c>
      <c r="X27" s="55">
        <f t="shared" si="7"/>
        <v>3686.532323622373</v>
      </c>
      <c r="Y27" s="58">
        <f t="shared" si="1"/>
        <v>0.3462688332501816</v>
      </c>
      <c r="AA27" s="57">
        <f t="shared" si="8"/>
        <v>1276.5312464398</v>
      </c>
      <c r="AB27" s="57">
        <f t="shared" si="9"/>
        <v>21676.595661051051</v>
      </c>
    </row>
    <row r="28" spans="3:28">
      <c r="C28" s="50">
        <f t="shared" si="10"/>
        <v>53</v>
      </c>
      <c r="D28" s="50">
        <f>'Q2 data'!H40/'Q2 data'!D40</f>
        <v>3.5389999999999042E-3</v>
      </c>
      <c r="E28" s="52">
        <f t="shared" si="11"/>
        <v>0.02</v>
      </c>
      <c r="F28" s="50"/>
      <c r="G28" s="50">
        <f t="shared" si="13"/>
        <v>3.5389999999999042E-3</v>
      </c>
      <c r="H28" s="53">
        <f t="shared" si="2"/>
        <v>1.9929220000000001E-2</v>
      </c>
      <c r="I28" s="54">
        <f t="shared" si="3"/>
        <v>0.97653178000000007</v>
      </c>
      <c r="J28" s="54">
        <f t="shared" si="14"/>
        <v>0.75152198347481092</v>
      </c>
      <c r="L28" s="50">
        <f t="shared" si="12"/>
        <v>14</v>
      </c>
      <c r="M28" s="50">
        <f t="shared" si="12"/>
        <v>53</v>
      </c>
      <c r="N28" s="55">
        <f>($E$3-'2(i)'!$E28)</f>
        <v>0</v>
      </c>
      <c r="O28" s="55">
        <f>'2(i)'!$F28</f>
        <v>3750</v>
      </c>
      <c r="P28" s="62">
        <f t="shared" si="4"/>
        <v>3579.0052121991093</v>
      </c>
      <c r="Q28" s="57">
        <f t="shared" si="0"/>
        <v>9.4047133290489864</v>
      </c>
      <c r="R28" s="49">
        <f>'2(i)'!$H28</f>
        <v>7487.824429127636</v>
      </c>
      <c r="S28" s="48">
        <f>MAX(0,($E$7-'2(i)'!I28)*'2(iii)'!$G28)</f>
        <v>1804.6172797180932</v>
      </c>
      <c r="T28" s="50"/>
      <c r="U28" s="55">
        <f t="shared" si="5"/>
        <v>5863.606650539482</v>
      </c>
      <c r="W28" s="55">
        <f t="shared" si="6"/>
        <v>5863.606650539482</v>
      </c>
      <c r="X28" s="55">
        <f t="shared" si="7"/>
        <v>4406.6293003295241</v>
      </c>
      <c r="Y28" s="58">
        <f t="shared" si="1"/>
        <v>0.31914178179740244</v>
      </c>
      <c r="AA28" s="57">
        <f t="shared" si="8"/>
        <v>1406.3395266278051</v>
      </c>
      <c r="AB28" s="57">
        <f t="shared" si="9"/>
        <v>19517.148028476378</v>
      </c>
    </row>
    <row r="29" spans="3:28">
      <c r="C29" s="50">
        <f t="shared" si="10"/>
        <v>54</v>
      </c>
      <c r="D29" s="50">
        <f>'Q2 data'!H41/'Q2 data'!D41</f>
        <v>3.9760000000000177E-3</v>
      </c>
      <c r="E29" s="52">
        <f t="shared" si="11"/>
        <v>0.02</v>
      </c>
      <c r="F29" s="50"/>
      <c r="G29" s="50">
        <f t="shared" si="13"/>
        <v>3.9760000000000177E-3</v>
      </c>
      <c r="H29" s="53">
        <f t="shared" si="2"/>
        <v>1.9920480000000001E-2</v>
      </c>
      <c r="I29" s="54">
        <f t="shared" si="3"/>
        <v>0.97610352</v>
      </c>
      <c r="J29" s="54">
        <f t="shared" si="14"/>
        <v>0.73388510023178777</v>
      </c>
      <c r="L29" s="50">
        <f t="shared" si="12"/>
        <v>15</v>
      </c>
      <c r="M29" s="50">
        <f t="shared" si="12"/>
        <v>54</v>
      </c>
      <c r="N29" s="55">
        <f>($E$3-'2(i)'!$E29)</f>
        <v>0</v>
      </c>
      <c r="O29" s="55">
        <f>'2(i)'!$F29</f>
        <v>3750</v>
      </c>
      <c r="P29" s="62">
        <f t="shared" si="4"/>
        <v>3579.0052121991093</v>
      </c>
      <c r="Q29" s="57">
        <f t="shared" si="0"/>
        <v>9.4047133290489864</v>
      </c>
      <c r="R29" s="49">
        <f>'2(i)'!$H29</f>
        <v>8314.0666019358287</v>
      </c>
      <c r="S29" s="48">
        <f>MAX(0,($E$7-'2(i)'!I29)*'2(iii)'!$G29)</f>
        <v>1373.7109669499325</v>
      </c>
      <c r="T29" s="50"/>
      <c r="U29" s="55">
        <f t="shared" si="5"/>
        <v>7120.7551361158376</v>
      </c>
      <c r="W29" s="55">
        <f t="shared" si="6"/>
        <v>7120.7551361158376</v>
      </c>
      <c r="X29" s="55">
        <f t="shared" si="7"/>
        <v>5225.8160967943886</v>
      </c>
      <c r="Y29" s="58">
        <f t="shared" si="1"/>
        <v>0.2941398910575137</v>
      </c>
      <c r="AA29" s="57">
        <f t="shared" si="8"/>
        <v>1537.120977397703</v>
      </c>
      <c r="AB29" s="57">
        <f t="shared" si="9"/>
        <v>17566.004889190353</v>
      </c>
    </row>
    <row r="30" spans="3:28">
      <c r="C30" s="50">
        <f t="shared" si="10"/>
        <v>55</v>
      </c>
      <c r="D30" s="50">
        <f>'Q2 data'!H42/'Q2 data'!D42</f>
        <v>4.4690000000000294E-3</v>
      </c>
      <c r="E30" s="52">
        <f t="shared" si="11"/>
        <v>0.02</v>
      </c>
      <c r="F30" s="50"/>
      <c r="G30" s="50">
        <f t="shared" si="13"/>
        <v>4.4690000000000294E-3</v>
      </c>
      <c r="H30" s="53">
        <f t="shared" si="2"/>
        <v>1.991062E-2</v>
      </c>
      <c r="I30" s="54">
        <f t="shared" si="3"/>
        <v>0.97562037999999995</v>
      </c>
      <c r="J30" s="54">
        <f t="shared" si="14"/>
        <v>0.71634782961180088</v>
      </c>
      <c r="L30" s="50">
        <f t="shared" si="12"/>
        <v>16</v>
      </c>
      <c r="M30" s="50">
        <f t="shared" si="12"/>
        <v>55</v>
      </c>
      <c r="N30" s="55">
        <f>($E$3-'2(i)'!$E30)</f>
        <v>0</v>
      </c>
      <c r="O30" s="55">
        <f>'2(i)'!$F30</f>
        <v>3750</v>
      </c>
      <c r="P30" s="62">
        <f t="shared" si="4"/>
        <v>3579.0052121991093</v>
      </c>
      <c r="Q30" s="57">
        <f t="shared" si="0"/>
        <v>9.4047133290489864</v>
      </c>
      <c r="R30" s="49">
        <f>'2(i)'!$H30</f>
        <v>9189.614776406348</v>
      </c>
      <c r="S30" s="48">
        <f>MAX(0,($E$7-'2(i)'!I30)*'2(iii)'!$G30)</f>
        <v>765.39070128377091</v>
      </c>
      <c r="T30" s="50"/>
      <c r="U30" s="55">
        <f t="shared" si="5"/>
        <v>8604.6235762525157</v>
      </c>
      <c r="W30" s="55">
        <f t="shared" si="6"/>
        <v>8604.6235762525157</v>
      </c>
      <c r="X30" s="55">
        <f t="shared" si="7"/>
        <v>6163.9034234750216</v>
      </c>
      <c r="Y30" s="58">
        <f t="shared" si="1"/>
        <v>0.27109667378572694</v>
      </c>
      <c r="AA30" s="57">
        <f t="shared" si="8"/>
        <v>1671.0137156405335</v>
      </c>
      <c r="AB30" s="57">
        <f t="shared" si="9"/>
        <v>15802.985442097612</v>
      </c>
    </row>
    <row r="31" spans="3:28">
      <c r="C31" s="50">
        <f t="shared" si="10"/>
        <v>56</v>
      </c>
      <c r="D31" s="50">
        <f>'Q2 data'!H43/'Q2 data'!D43</f>
        <v>5.0249999999998846E-3</v>
      </c>
      <c r="E31" s="52">
        <f t="shared" si="11"/>
        <v>0.02</v>
      </c>
      <c r="F31" s="50"/>
      <c r="G31" s="50">
        <f t="shared" si="13"/>
        <v>5.0249999999998846E-3</v>
      </c>
      <c r="H31" s="53">
        <f t="shared" si="2"/>
        <v>1.9899500000000004E-2</v>
      </c>
      <c r="I31" s="54">
        <f t="shared" si="3"/>
        <v>0.97507550000000021</v>
      </c>
      <c r="J31" s="54">
        <f t="shared" si="14"/>
        <v>0.69888354173804035</v>
      </c>
      <c r="L31" s="50">
        <f t="shared" si="12"/>
        <v>17</v>
      </c>
      <c r="M31" s="50">
        <f t="shared" si="12"/>
        <v>56</v>
      </c>
      <c r="N31" s="55">
        <f>($E$3-'2(i)'!$E31)</f>
        <v>0</v>
      </c>
      <c r="O31" s="55">
        <f>'2(i)'!$F31</f>
        <v>3750</v>
      </c>
      <c r="P31" s="62">
        <f t="shared" si="4"/>
        <v>3579.0052121991093</v>
      </c>
      <c r="Q31" s="57">
        <f t="shared" si="0"/>
        <v>9.4047133290489864</v>
      </c>
      <c r="R31" s="49">
        <f>'2(i)'!$H31</f>
        <v>10117.411288188398</v>
      </c>
      <c r="S31" s="48">
        <f>MAX(0,($E$7-'2(i)'!I31)*'2(iii)'!$G31)</f>
        <v>0</v>
      </c>
      <c r="T31" s="50"/>
      <c r="U31" s="55">
        <f t="shared" si="5"/>
        <v>10297.810789318337</v>
      </c>
      <c r="W31" s="55">
        <f t="shared" si="6"/>
        <v>10297.810789318337</v>
      </c>
      <c r="X31" s="55">
        <f t="shared" si="7"/>
        <v>7196.9704765870038</v>
      </c>
      <c r="Y31" s="58">
        <f t="shared" si="1"/>
        <v>0.24985868551679907</v>
      </c>
      <c r="AA31" s="57">
        <f t="shared" si="8"/>
        <v>1798.2255829832397</v>
      </c>
      <c r="AB31" s="57">
        <f t="shared" si="9"/>
        <v>14209.875264657825</v>
      </c>
    </row>
    <row r="32" spans="3:28">
      <c r="C32" s="50">
        <f t="shared" si="10"/>
        <v>57</v>
      </c>
      <c r="D32" s="50">
        <f>'Q2 data'!H44/'Q2 data'!D44</f>
        <v>5.6499999999999519E-3</v>
      </c>
      <c r="E32" s="52">
        <f t="shared" si="11"/>
        <v>0.02</v>
      </c>
      <c r="F32" s="50"/>
      <c r="G32" s="50">
        <f t="shared" si="13"/>
        <v>5.6499999999999519E-3</v>
      </c>
      <c r="H32" s="53">
        <f t="shared" si="2"/>
        <v>1.9887000000000002E-2</v>
      </c>
      <c r="I32" s="54">
        <f t="shared" si="3"/>
        <v>0.97446300000000008</v>
      </c>
      <c r="J32" s="54">
        <f t="shared" si="14"/>
        <v>0.68146421890199071</v>
      </c>
      <c r="L32" s="50">
        <f t="shared" si="12"/>
        <v>18</v>
      </c>
      <c r="M32" s="50">
        <f t="shared" si="12"/>
        <v>57</v>
      </c>
      <c r="N32" s="55">
        <f>($E$3-'2(i)'!$E32)</f>
        <v>0</v>
      </c>
      <c r="O32" s="55">
        <f>'2(i)'!$F32</f>
        <v>3750</v>
      </c>
      <c r="P32" s="62">
        <f t="shared" si="4"/>
        <v>3579.0052121991093</v>
      </c>
      <c r="Q32" s="57">
        <f t="shared" si="0"/>
        <v>9.4047133290489864</v>
      </c>
      <c r="R32" s="49">
        <f>'2(i)'!$H32</f>
        <v>11100.57405681104</v>
      </c>
      <c r="S32" s="48">
        <f>MAX(0,($E$7-'2(i)'!I32)*'2(iii)'!$G32)</f>
        <v>0</v>
      </c>
      <c r="T32" s="50"/>
      <c r="U32" s="55">
        <f t="shared" si="5"/>
        <v>11280.973557940979</v>
      </c>
      <c r="W32" s="55">
        <f t="shared" si="6"/>
        <v>11280.973557940979</v>
      </c>
      <c r="X32" s="55">
        <f t="shared" si="7"/>
        <v>7687.5798341162599</v>
      </c>
      <c r="Y32" s="58">
        <f t="shared" si="1"/>
        <v>0.23028450278045995</v>
      </c>
      <c r="AA32" s="57">
        <f t="shared" si="8"/>
        <v>1770.3304996845536</v>
      </c>
      <c r="AB32" s="57">
        <f t="shared" si="9"/>
        <v>12770.23154711877</v>
      </c>
    </row>
    <row r="33" spans="3:28">
      <c r="C33" s="50">
        <f t="shared" si="10"/>
        <v>58</v>
      </c>
      <c r="D33" s="50">
        <f>'Q2 data'!H45/'Q2 data'!D45</f>
        <v>6.3520000000000633E-3</v>
      </c>
      <c r="E33" s="52">
        <f t="shared" si="11"/>
        <v>0.02</v>
      </c>
      <c r="F33" s="50"/>
      <c r="G33" s="50">
        <f t="shared" si="13"/>
        <v>6.3520000000000633E-3</v>
      </c>
      <c r="H33" s="53">
        <f t="shared" si="2"/>
        <v>1.9872959999999999E-2</v>
      </c>
      <c r="I33" s="54">
        <f t="shared" si="3"/>
        <v>0.97377503999999993</v>
      </c>
      <c r="J33" s="54">
        <f t="shared" si="14"/>
        <v>0.66406166714389059</v>
      </c>
      <c r="L33" s="50">
        <f t="shared" ref="L33:M34" si="15">L32+1</f>
        <v>19</v>
      </c>
      <c r="M33" s="50">
        <f t="shared" si="15"/>
        <v>58</v>
      </c>
      <c r="N33" s="55">
        <f>($E$3-'2(i)'!$E33)</f>
        <v>0</v>
      </c>
      <c r="O33" s="55">
        <f>'2(i)'!$F33</f>
        <v>3750</v>
      </c>
      <c r="P33" s="62">
        <f t="shared" si="4"/>
        <v>3579.0052121991093</v>
      </c>
      <c r="Q33" s="57">
        <f t="shared" si="0"/>
        <v>9.4047133290489864</v>
      </c>
      <c r="R33" s="49">
        <f>'2(i)'!$H33</f>
        <v>12142.407063651239</v>
      </c>
      <c r="S33" s="48">
        <f>MAX(0,($E$7-'2(i)'!I33)*'2(iii)'!$G33)</f>
        <v>0</v>
      </c>
      <c r="T33" s="50"/>
      <c r="U33" s="55">
        <f t="shared" si="5"/>
        <v>12322.806564781178</v>
      </c>
      <c r="W33" s="55">
        <f t="shared" si="6"/>
        <v>12322.806564781178</v>
      </c>
      <c r="X33" s="55">
        <f t="shared" si="7"/>
        <v>8183.1034713002682</v>
      </c>
      <c r="Y33" s="58">
        <f t="shared" si="1"/>
        <v>0.21224378136447922</v>
      </c>
      <c r="AA33" s="57">
        <f t="shared" si="8"/>
        <v>1736.8128240455651</v>
      </c>
      <c r="AB33" s="57">
        <f t="shared" si="9"/>
        <v>11469.233312534561</v>
      </c>
    </row>
    <row r="34" spans="3:28">
      <c r="C34" s="50">
        <f t="shared" si="10"/>
        <v>59</v>
      </c>
      <c r="D34" s="50">
        <f>'Q2 data'!H46/'Q2 data'!D46</f>
        <v>7.1400000000001063E-3</v>
      </c>
      <c r="E34" s="52">
        <v>0</v>
      </c>
      <c r="F34" s="50"/>
      <c r="G34" s="50">
        <f>D34</f>
        <v>7.1400000000001063E-3</v>
      </c>
      <c r="H34" s="53">
        <f t="shared" si="2"/>
        <v>0</v>
      </c>
      <c r="I34" s="54">
        <f t="shared" si="3"/>
        <v>0.99285999999999985</v>
      </c>
      <c r="J34" s="54">
        <f t="shared" si="14"/>
        <v>0.64664667648550866</v>
      </c>
      <c r="L34" s="50">
        <f t="shared" si="15"/>
        <v>20</v>
      </c>
      <c r="M34" s="50">
        <f t="shared" si="15"/>
        <v>59</v>
      </c>
      <c r="N34" s="55">
        <f>($E$3-'2(i)'!$E34)</f>
        <v>0</v>
      </c>
      <c r="O34" s="55">
        <f>'2(i)'!$F34</f>
        <v>3750</v>
      </c>
      <c r="P34" s="62">
        <f t="shared" si="4"/>
        <v>3579.0052121991093</v>
      </c>
      <c r="Q34" s="57">
        <f t="shared" si="0"/>
        <v>9.4047133290489864</v>
      </c>
      <c r="R34" s="49">
        <f>'2(i)'!$H34</f>
        <v>13246.411455174626</v>
      </c>
      <c r="S34" s="48">
        <f>MAX(0,($E$7-'2(i)'!I34)*'2(iii)'!$G34)</f>
        <v>0</v>
      </c>
      <c r="T34" s="57">
        <f>'2(i)'!$I$34*('2(iii)'!$I$7-1)*(1-D34)</f>
        <v>130860.72916997768</v>
      </c>
      <c r="U34" s="48">
        <f t="shared" si="5"/>
        <v>-117433.91821367311</v>
      </c>
      <c r="W34" s="55">
        <f t="shared" si="6"/>
        <v>-117433.91821367311</v>
      </c>
      <c r="X34" s="55">
        <f t="shared" si="7"/>
        <v>-75938.252919542763</v>
      </c>
      <c r="Y34" s="58">
        <f t="shared" si="1"/>
        <v>0.19561638835435877</v>
      </c>
      <c r="AA34" s="57">
        <f t="shared" si="8"/>
        <v>-14854.766774060796</v>
      </c>
      <c r="AB34" s="57">
        <f t="shared" si="9"/>
        <v>10293.505186804308</v>
      </c>
    </row>
  </sheetData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06ABD-A069-4737-8C54-04A9E71DEEC3}">
  <dimension ref="B2:C6"/>
  <sheetViews>
    <sheetView workbookViewId="0">
      <selection activeCell="C2" sqref="C2"/>
    </sheetView>
  </sheetViews>
  <sheetFormatPr defaultRowHeight="14.5"/>
  <sheetData>
    <row r="2" spans="2:3">
      <c r="C2" s="67" t="s">
        <v>103</v>
      </c>
    </row>
    <row r="4" spans="2:3">
      <c r="B4">
        <v>1</v>
      </c>
      <c r="C4" t="s">
        <v>100</v>
      </c>
    </row>
    <row r="5" spans="2:3">
      <c r="B5">
        <v>2</v>
      </c>
      <c r="C5" t="s">
        <v>101</v>
      </c>
    </row>
    <row r="6" spans="2:3">
      <c r="B6">
        <v>3</v>
      </c>
      <c r="C6" t="s">
        <v>102</v>
      </c>
    </row>
  </sheetData>
  <pageMargins left="0.7" right="0.7" top="0.75" bottom="0.75" header="0.3" footer="0.3"/>
  <pageSetup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1451B-D760-439E-A3A6-98689347719D}">
  <dimension ref="B4:C15"/>
  <sheetViews>
    <sheetView workbookViewId="0">
      <selection activeCell="F16" sqref="F16"/>
    </sheetView>
  </sheetViews>
  <sheetFormatPr defaultRowHeight="14.5"/>
  <sheetData>
    <row r="4" spans="2:3">
      <c r="B4" t="s">
        <v>10</v>
      </c>
    </row>
    <row r="6" spans="2:3">
      <c r="B6">
        <v>1</v>
      </c>
      <c r="C6" s="14">
        <v>4.4999999999999998E-2</v>
      </c>
    </row>
    <row r="7" spans="2:3">
      <c r="B7">
        <v>2</v>
      </c>
      <c r="C7" s="14">
        <v>4.7500000000000001E-2</v>
      </c>
    </row>
    <row r="8" spans="2:3">
      <c r="B8">
        <v>3</v>
      </c>
      <c r="C8" s="14">
        <v>0.05</v>
      </c>
    </row>
    <row r="9" spans="2:3">
      <c r="B9">
        <v>4</v>
      </c>
      <c r="C9" s="14">
        <v>5.2999999999999999E-2</v>
      </c>
    </row>
    <row r="10" spans="2:3">
      <c r="B10">
        <v>5</v>
      </c>
      <c r="C10" s="14">
        <v>5.2999999999999999E-2</v>
      </c>
    </row>
    <row r="11" spans="2:3">
      <c r="B11">
        <v>6</v>
      </c>
      <c r="C11" s="14">
        <v>5.2999999999999999E-2</v>
      </c>
    </row>
    <row r="12" spans="2:3">
      <c r="B12">
        <v>7</v>
      </c>
      <c r="C12" s="14">
        <v>5.7000000000000002E-2</v>
      </c>
    </row>
    <row r="13" spans="2:3">
      <c r="B13">
        <v>8</v>
      </c>
      <c r="C13" s="14">
        <v>5.7000000000000002E-2</v>
      </c>
    </row>
    <row r="14" spans="2:3">
      <c r="B14">
        <v>9</v>
      </c>
      <c r="C14" s="14">
        <v>5.7000000000000002E-2</v>
      </c>
    </row>
    <row r="15" spans="2:3">
      <c r="B15">
        <v>10</v>
      </c>
      <c r="C15" s="14">
        <v>5.7000000000000002E-2</v>
      </c>
    </row>
  </sheetData>
  <pageMargins left="0.7" right="0.7" top="0.75" bottom="0.75" header="0.3" footer="0.3"/>
  <pageSetup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B2235-4365-4761-97E4-85D1282E91C9}">
  <dimension ref="B1:J150"/>
  <sheetViews>
    <sheetView workbookViewId="0">
      <selection activeCell="G9" sqref="G9"/>
    </sheetView>
  </sheetViews>
  <sheetFormatPr defaultRowHeight="14.5"/>
  <cols>
    <col min="2" max="2" width="27.6328125" bestFit="1" customWidth="1"/>
    <col min="4" max="4" width="28.90625" bestFit="1" customWidth="1"/>
    <col min="7" max="7" width="25.7265625" bestFit="1" customWidth="1"/>
    <col min="8" max="8" width="11.81640625" bestFit="1" customWidth="1"/>
    <col min="10" max="10" width="20" bestFit="1" customWidth="1"/>
  </cols>
  <sheetData>
    <row r="1" spans="2:10" ht="15" thickBot="1"/>
    <row r="2" spans="2:10">
      <c r="B2" t="s">
        <v>14</v>
      </c>
      <c r="C2" s="15">
        <v>0.05</v>
      </c>
      <c r="G2" s="31" t="s">
        <v>27</v>
      </c>
      <c r="H2" s="32">
        <f>E28</f>
        <v>7.9293064439898897</v>
      </c>
    </row>
    <row r="3" spans="2:10">
      <c r="B3" t="s">
        <v>13</v>
      </c>
      <c r="C3">
        <v>10</v>
      </c>
      <c r="G3" s="27"/>
      <c r="H3" s="28"/>
    </row>
    <row r="4" spans="2:10">
      <c r="G4" s="27" t="s">
        <v>12</v>
      </c>
      <c r="H4" s="29">
        <f>C2</f>
        <v>0.05</v>
      </c>
    </row>
    <row r="5" spans="2:10">
      <c r="G5" s="27" t="s">
        <v>26</v>
      </c>
      <c r="H5" s="30">
        <f>C6/(1+C6)*12</f>
        <v>4.8691111787195748E-2</v>
      </c>
      <c r="I5" s="18" t="s">
        <v>24</v>
      </c>
      <c r="J5" s="21"/>
    </row>
    <row r="6" spans="2:10">
      <c r="B6" t="s">
        <v>15</v>
      </c>
      <c r="C6" s="26">
        <f>(1+C2)^(1/12)-1</f>
        <v>4.0741237836483535E-3</v>
      </c>
      <c r="D6" s="18" t="s">
        <v>24</v>
      </c>
      <c r="G6" s="27" t="s">
        <v>25</v>
      </c>
      <c r="H6" s="28">
        <f>E12</f>
        <v>7.7217349291848123</v>
      </c>
    </row>
    <row r="7" spans="2:10">
      <c r="G7" s="27"/>
      <c r="H7" s="28"/>
    </row>
    <row r="8" spans="2:10" ht="15" thickBot="1">
      <c r="G8" s="33" t="s">
        <v>28</v>
      </c>
      <c r="H8" s="34">
        <f>H4/H5*H6</f>
        <v>7.9293064439898355</v>
      </c>
      <c r="I8" s="18" t="s">
        <v>20</v>
      </c>
    </row>
    <row r="9" spans="2:10" ht="15" thickBot="1">
      <c r="B9" s="17" t="s">
        <v>18</v>
      </c>
      <c r="G9" s="35" t="s">
        <v>29</v>
      </c>
      <c r="H9" s="36">
        <f>H8-H2</f>
        <v>-5.4178883601707639E-14</v>
      </c>
      <c r="I9" s="18" t="s">
        <v>20</v>
      </c>
    </row>
    <row r="10" spans="2:10">
      <c r="B10" s="18" t="s">
        <v>24</v>
      </c>
      <c r="C10" s="18" t="s">
        <v>24</v>
      </c>
      <c r="D10" s="18" t="s">
        <v>20</v>
      </c>
      <c r="E10" s="18" t="s">
        <v>20</v>
      </c>
    </row>
    <row r="11" spans="2:10">
      <c r="B11" t="s">
        <v>23</v>
      </c>
      <c r="C11" t="s">
        <v>16</v>
      </c>
      <c r="D11" t="s">
        <v>17</v>
      </c>
      <c r="E11" t="s">
        <v>19</v>
      </c>
    </row>
    <row r="12" spans="2:10">
      <c r="B12">
        <v>0</v>
      </c>
      <c r="E12">
        <f>SUMPRODUCT(C13:C22,D13:D22)</f>
        <v>7.7217349291848123</v>
      </c>
    </row>
    <row r="13" spans="2:10">
      <c r="B13">
        <v>1</v>
      </c>
      <c r="C13">
        <v>1</v>
      </c>
      <c r="D13">
        <f>(1+$C$2)^(-B13)</f>
        <v>0.95238095238095233</v>
      </c>
    </row>
    <row r="14" spans="2:10">
      <c r="B14">
        <f>B13+1</f>
        <v>2</v>
      </c>
      <c r="C14">
        <v>1</v>
      </c>
      <c r="D14">
        <f t="shared" ref="D14:D22" si="0">(1+$C$2)^(-B14)</f>
        <v>0.90702947845804982</v>
      </c>
    </row>
    <row r="15" spans="2:10">
      <c r="B15">
        <f t="shared" ref="B15:B22" si="1">B14+1</f>
        <v>3</v>
      </c>
      <c r="C15">
        <v>1</v>
      </c>
      <c r="D15">
        <f t="shared" si="0"/>
        <v>0.86383759853147601</v>
      </c>
    </row>
    <row r="16" spans="2:10">
      <c r="B16">
        <f t="shared" si="1"/>
        <v>4</v>
      </c>
      <c r="C16">
        <v>1</v>
      </c>
      <c r="D16">
        <f t="shared" si="0"/>
        <v>0.82270247479188197</v>
      </c>
    </row>
    <row r="17" spans="2:5">
      <c r="B17">
        <f t="shared" si="1"/>
        <v>5</v>
      </c>
      <c r="C17">
        <v>1</v>
      </c>
      <c r="D17">
        <f t="shared" si="0"/>
        <v>0.78352616646845896</v>
      </c>
    </row>
    <row r="18" spans="2:5">
      <c r="B18">
        <f t="shared" si="1"/>
        <v>6</v>
      </c>
      <c r="C18">
        <v>1</v>
      </c>
      <c r="D18">
        <f t="shared" si="0"/>
        <v>0.74621539663662761</v>
      </c>
    </row>
    <row r="19" spans="2:5">
      <c r="B19">
        <f t="shared" si="1"/>
        <v>7</v>
      </c>
      <c r="C19">
        <v>1</v>
      </c>
      <c r="D19">
        <f t="shared" si="0"/>
        <v>0.71068133013012147</v>
      </c>
    </row>
    <row r="20" spans="2:5">
      <c r="B20">
        <f t="shared" si="1"/>
        <v>8</v>
      </c>
      <c r="C20">
        <v>1</v>
      </c>
      <c r="D20">
        <f t="shared" si="0"/>
        <v>0.67683936202868722</v>
      </c>
    </row>
    <row r="21" spans="2:5">
      <c r="B21">
        <f t="shared" si="1"/>
        <v>9</v>
      </c>
      <c r="C21">
        <v>1</v>
      </c>
      <c r="D21">
        <f t="shared" si="0"/>
        <v>0.64460891621779726</v>
      </c>
    </row>
    <row r="22" spans="2:5">
      <c r="B22">
        <f t="shared" si="1"/>
        <v>10</v>
      </c>
      <c r="C22">
        <v>1</v>
      </c>
      <c r="D22">
        <f t="shared" si="0"/>
        <v>0.61391325354075932</v>
      </c>
    </row>
    <row r="25" spans="2:5">
      <c r="B25" s="17" t="s">
        <v>21</v>
      </c>
    </row>
    <row r="26" spans="2:5">
      <c r="B26" s="18" t="s">
        <v>24</v>
      </c>
      <c r="C26" s="18" t="s">
        <v>24</v>
      </c>
      <c r="D26" s="18" t="s">
        <v>20</v>
      </c>
      <c r="E26" s="18" t="s">
        <v>20</v>
      </c>
    </row>
    <row r="27" spans="2:5">
      <c r="B27" t="s">
        <v>22</v>
      </c>
      <c r="C27" t="s">
        <v>16</v>
      </c>
      <c r="D27" t="s">
        <v>17</v>
      </c>
      <c r="E27" t="s">
        <v>19</v>
      </c>
    </row>
    <row r="28" spans="2:5">
      <c r="B28">
        <v>0</v>
      </c>
      <c r="C28">
        <f>1/12</f>
        <v>8.3333333333333329E-2</v>
      </c>
      <c r="D28">
        <f>(1+$C$6)^(-B28)</f>
        <v>1</v>
      </c>
      <c r="E28">
        <f>SUMPRODUCT(C28:C147,D28:D147)</f>
        <v>7.9293064439898897</v>
      </c>
    </row>
    <row r="29" spans="2:5">
      <c r="B29" s="20">
        <v>1</v>
      </c>
      <c r="C29">
        <f t="shared" ref="C29:C60" si="2">$C$28</f>
        <v>8.3333333333333329E-2</v>
      </c>
      <c r="D29">
        <f t="shared" ref="D29:D92" si="3">(1+$C$6)^(-B29)</f>
        <v>0.99594240735106698</v>
      </c>
    </row>
    <row r="30" spans="2:5">
      <c r="B30" s="20">
        <f>B29+1</f>
        <v>2</v>
      </c>
      <c r="C30">
        <f t="shared" si="2"/>
        <v>8.3333333333333329E-2</v>
      </c>
      <c r="D30">
        <f t="shared" si="3"/>
        <v>0.9919012787602387</v>
      </c>
    </row>
    <row r="31" spans="2:5">
      <c r="B31" s="20">
        <f t="shared" ref="B31:B94" si="4">B30+1</f>
        <v>3</v>
      </c>
      <c r="C31">
        <f t="shared" si="2"/>
        <v>8.3333333333333329E-2</v>
      </c>
      <c r="D31">
        <f t="shared" si="3"/>
        <v>0.98787654742307385</v>
      </c>
    </row>
    <row r="32" spans="2:5">
      <c r="B32" s="20">
        <f t="shared" si="4"/>
        <v>4</v>
      </c>
      <c r="C32">
        <f t="shared" si="2"/>
        <v>8.3333333333333329E-2</v>
      </c>
      <c r="D32">
        <f t="shared" si="3"/>
        <v>0.98386814680619672</v>
      </c>
    </row>
    <row r="33" spans="2:4">
      <c r="B33" s="20">
        <f t="shared" si="4"/>
        <v>5</v>
      </c>
      <c r="C33">
        <f t="shared" si="2"/>
        <v>8.3333333333333329E-2</v>
      </c>
      <c r="D33">
        <f t="shared" si="3"/>
        <v>0.97987601064619656</v>
      </c>
    </row>
    <row r="34" spans="2:4">
      <c r="B34" s="20">
        <f t="shared" si="4"/>
        <v>6</v>
      </c>
      <c r="C34">
        <f t="shared" si="2"/>
        <v>8.3333333333333329E-2</v>
      </c>
      <c r="D34">
        <f t="shared" si="3"/>
        <v>0.97590007294853265</v>
      </c>
    </row>
    <row r="35" spans="2:4">
      <c r="B35" s="20">
        <f t="shared" si="4"/>
        <v>7</v>
      </c>
      <c r="C35">
        <f t="shared" si="2"/>
        <v>8.3333333333333329E-2</v>
      </c>
      <c r="D35">
        <f t="shared" si="3"/>
        <v>0.97194026798644362</v>
      </c>
    </row>
    <row r="36" spans="2:4">
      <c r="B36" s="20">
        <f t="shared" si="4"/>
        <v>8</v>
      </c>
      <c r="C36">
        <f t="shared" si="2"/>
        <v>8.3333333333333329E-2</v>
      </c>
      <c r="D36">
        <f t="shared" si="3"/>
        <v>0.96799653029985977</v>
      </c>
    </row>
    <row r="37" spans="2:4">
      <c r="B37" s="20">
        <f t="shared" si="4"/>
        <v>9</v>
      </c>
      <c r="C37">
        <f t="shared" si="2"/>
        <v>8.3333333333333329E-2</v>
      </c>
      <c r="D37">
        <f t="shared" si="3"/>
        <v>0.96406879469432227</v>
      </c>
    </row>
    <row r="38" spans="2:4">
      <c r="B38" s="20">
        <f t="shared" si="4"/>
        <v>10</v>
      </c>
      <c r="C38">
        <f t="shared" si="2"/>
        <v>8.3333333333333329E-2</v>
      </c>
      <c r="D38">
        <f t="shared" si="3"/>
        <v>0.96015699623990491</v>
      </c>
    </row>
    <row r="39" spans="2:4">
      <c r="B39" s="20">
        <f t="shared" si="4"/>
        <v>11</v>
      </c>
      <c r="C39">
        <f t="shared" si="2"/>
        <v>8.3333333333333329E-2</v>
      </c>
      <c r="D39">
        <f t="shared" si="3"/>
        <v>0.95626107027014029</v>
      </c>
    </row>
    <row r="40" spans="2:4">
      <c r="B40" s="20">
        <f t="shared" si="4"/>
        <v>12</v>
      </c>
      <c r="C40">
        <f t="shared" si="2"/>
        <v>8.3333333333333329E-2</v>
      </c>
      <c r="D40">
        <f t="shared" si="3"/>
        <v>0.95238095238095133</v>
      </c>
    </row>
    <row r="41" spans="2:4">
      <c r="B41" s="20">
        <f t="shared" si="4"/>
        <v>13</v>
      </c>
      <c r="C41">
        <f t="shared" si="2"/>
        <v>8.3333333333333329E-2</v>
      </c>
      <c r="D41">
        <f t="shared" si="3"/>
        <v>0.94851657842958659</v>
      </c>
    </row>
    <row r="42" spans="2:4">
      <c r="B42" s="20">
        <f t="shared" si="4"/>
        <v>14</v>
      </c>
      <c r="C42">
        <f t="shared" si="2"/>
        <v>8.3333333333333329E-2</v>
      </c>
      <c r="D42">
        <f t="shared" si="3"/>
        <v>0.94466788453355954</v>
      </c>
    </row>
    <row r="43" spans="2:4">
      <c r="B43" s="20">
        <f t="shared" si="4"/>
        <v>15</v>
      </c>
      <c r="C43">
        <f t="shared" si="2"/>
        <v>8.3333333333333329E-2</v>
      </c>
      <c r="D43">
        <f t="shared" si="3"/>
        <v>0.9408348070695931</v>
      </c>
    </row>
    <row r="44" spans="2:4">
      <c r="B44" s="20">
        <f t="shared" si="4"/>
        <v>16</v>
      </c>
      <c r="C44">
        <f t="shared" si="2"/>
        <v>8.3333333333333329E-2</v>
      </c>
      <c r="D44">
        <f t="shared" si="3"/>
        <v>0.93701728267256712</v>
      </c>
    </row>
    <row r="45" spans="2:4">
      <c r="B45" s="20">
        <f t="shared" si="4"/>
        <v>17</v>
      </c>
      <c r="C45">
        <f t="shared" si="2"/>
        <v>8.3333333333333329E-2</v>
      </c>
      <c r="D45">
        <f t="shared" si="3"/>
        <v>0.93321524823447188</v>
      </c>
    </row>
    <row r="46" spans="2:4">
      <c r="B46" s="20">
        <f t="shared" si="4"/>
        <v>18</v>
      </c>
      <c r="C46">
        <f t="shared" si="2"/>
        <v>8.3333333333333329E-2</v>
      </c>
      <c r="D46">
        <f t="shared" si="3"/>
        <v>0.92942864090336341</v>
      </c>
    </row>
    <row r="47" spans="2:4">
      <c r="B47" s="20">
        <f t="shared" si="4"/>
        <v>19</v>
      </c>
      <c r="C47">
        <f t="shared" si="2"/>
        <v>8.3333333333333329E-2</v>
      </c>
      <c r="D47">
        <f t="shared" si="3"/>
        <v>0.92565739808232606</v>
      </c>
    </row>
    <row r="48" spans="2:4">
      <c r="B48" s="20">
        <f t="shared" si="4"/>
        <v>20</v>
      </c>
      <c r="C48">
        <f t="shared" si="2"/>
        <v>8.3333333333333329E-2</v>
      </c>
      <c r="D48">
        <f t="shared" si="3"/>
        <v>0.92190145742843688</v>
      </c>
    </row>
    <row r="49" spans="2:4">
      <c r="B49" s="20">
        <f t="shared" si="4"/>
        <v>21</v>
      </c>
      <c r="C49">
        <f t="shared" si="2"/>
        <v>8.3333333333333329E-2</v>
      </c>
      <c r="D49">
        <f t="shared" si="3"/>
        <v>0.91816075685173459</v>
      </c>
    </row>
    <row r="50" spans="2:4">
      <c r="B50" s="20">
        <f t="shared" si="4"/>
        <v>22</v>
      </c>
      <c r="C50">
        <f t="shared" si="2"/>
        <v>8.3333333333333329E-2</v>
      </c>
      <c r="D50">
        <f t="shared" si="3"/>
        <v>0.91443523451419417</v>
      </c>
    </row>
    <row r="51" spans="2:4">
      <c r="B51" s="20">
        <f t="shared" si="4"/>
        <v>23</v>
      </c>
      <c r="C51">
        <f t="shared" si="2"/>
        <v>8.3333333333333329E-2</v>
      </c>
      <c r="D51">
        <f t="shared" si="3"/>
        <v>0.9107248288287042</v>
      </c>
    </row>
    <row r="52" spans="2:4">
      <c r="B52" s="20">
        <f t="shared" si="4"/>
        <v>24</v>
      </c>
      <c r="C52">
        <f t="shared" si="2"/>
        <v>8.3333333333333329E-2</v>
      </c>
      <c r="D52">
        <f t="shared" si="3"/>
        <v>0.90702947845804782</v>
      </c>
    </row>
    <row r="53" spans="2:4">
      <c r="B53" s="20">
        <f t="shared" si="4"/>
        <v>25</v>
      </c>
      <c r="C53">
        <f t="shared" si="2"/>
        <v>8.3333333333333329E-2</v>
      </c>
      <c r="D53">
        <f t="shared" si="3"/>
        <v>0.90334912231389097</v>
      </c>
    </row>
    <row r="54" spans="2:4">
      <c r="B54" s="20">
        <f t="shared" si="4"/>
        <v>26</v>
      </c>
      <c r="C54">
        <f t="shared" si="2"/>
        <v>8.3333333333333329E-2</v>
      </c>
      <c r="D54">
        <f t="shared" si="3"/>
        <v>0.8996836995557701</v>
      </c>
    </row>
    <row r="55" spans="2:4">
      <c r="B55" s="20">
        <f t="shared" si="4"/>
        <v>27</v>
      </c>
      <c r="C55">
        <f t="shared" si="2"/>
        <v>8.3333333333333329E-2</v>
      </c>
      <c r="D55">
        <f t="shared" si="3"/>
        <v>0.89603314959008773</v>
      </c>
    </row>
    <row r="56" spans="2:4">
      <c r="B56" s="20">
        <f t="shared" si="4"/>
        <v>28</v>
      </c>
      <c r="C56">
        <f t="shared" si="2"/>
        <v>8.3333333333333329E-2</v>
      </c>
      <c r="D56">
        <f t="shared" si="3"/>
        <v>0.89239741206911061</v>
      </c>
    </row>
    <row r="57" spans="2:4">
      <c r="B57" s="20">
        <f t="shared" si="4"/>
        <v>29</v>
      </c>
      <c r="C57">
        <f t="shared" si="2"/>
        <v>8.3333333333333329E-2</v>
      </c>
      <c r="D57">
        <f t="shared" si="3"/>
        <v>0.88877642688997216</v>
      </c>
    </row>
    <row r="58" spans="2:4">
      <c r="B58" s="20">
        <f t="shared" si="4"/>
        <v>30</v>
      </c>
      <c r="C58">
        <f t="shared" si="2"/>
        <v>8.3333333333333329E-2</v>
      </c>
      <c r="D58">
        <f t="shared" si="3"/>
        <v>0.88517013419367852</v>
      </c>
    </row>
    <row r="59" spans="2:4">
      <c r="B59" s="20">
        <f t="shared" si="4"/>
        <v>31</v>
      </c>
      <c r="C59">
        <f t="shared" si="2"/>
        <v>8.3333333333333329E-2</v>
      </c>
      <c r="D59">
        <f t="shared" si="3"/>
        <v>0.88157847436411918</v>
      </c>
    </row>
    <row r="60" spans="2:4">
      <c r="B60" s="20">
        <f t="shared" si="4"/>
        <v>32</v>
      </c>
      <c r="C60">
        <f t="shared" si="2"/>
        <v>8.3333333333333329E-2</v>
      </c>
      <c r="D60">
        <f t="shared" si="3"/>
        <v>0.87800138802708161</v>
      </c>
    </row>
    <row r="61" spans="2:4">
      <c r="B61" s="20">
        <f t="shared" si="4"/>
        <v>33</v>
      </c>
      <c r="C61">
        <f t="shared" ref="C61:C92" si="5">$C$28</f>
        <v>8.3333333333333329E-2</v>
      </c>
      <c r="D61">
        <f t="shared" si="3"/>
        <v>0.87443881604926998</v>
      </c>
    </row>
    <row r="62" spans="2:4">
      <c r="B62" s="20">
        <f t="shared" si="4"/>
        <v>34</v>
      </c>
      <c r="C62">
        <f t="shared" si="5"/>
        <v>8.3333333333333329E-2</v>
      </c>
      <c r="D62">
        <f t="shared" si="3"/>
        <v>0.87089069953732667</v>
      </c>
    </row>
    <row r="63" spans="2:4">
      <c r="B63" s="20">
        <f t="shared" si="4"/>
        <v>35</v>
      </c>
      <c r="C63">
        <f t="shared" si="5"/>
        <v>8.3333333333333329E-2</v>
      </c>
      <c r="D63">
        <f t="shared" si="3"/>
        <v>0.86735697983685989</v>
      </c>
    </row>
    <row r="64" spans="2:4">
      <c r="B64" s="20">
        <f t="shared" si="4"/>
        <v>36</v>
      </c>
      <c r="C64">
        <f t="shared" si="5"/>
        <v>8.3333333333333329E-2</v>
      </c>
      <c r="D64">
        <f t="shared" si="3"/>
        <v>0.86383759853147313</v>
      </c>
    </row>
    <row r="65" spans="2:4">
      <c r="B65" s="20">
        <f t="shared" si="4"/>
        <v>37</v>
      </c>
      <c r="C65">
        <f t="shared" si="5"/>
        <v>8.3333333333333329E-2</v>
      </c>
      <c r="D65">
        <f t="shared" si="3"/>
        <v>0.86033249744180007</v>
      </c>
    </row>
    <row r="66" spans="2:4">
      <c r="B66" s="20">
        <f t="shared" si="4"/>
        <v>38</v>
      </c>
      <c r="C66">
        <f t="shared" si="5"/>
        <v>8.3333333333333329E-2</v>
      </c>
      <c r="D66">
        <f t="shared" si="3"/>
        <v>0.856841618624542</v>
      </c>
    </row>
    <row r="67" spans="2:4">
      <c r="B67" s="20">
        <f t="shared" si="4"/>
        <v>39</v>
      </c>
      <c r="C67">
        <f t="shared" si="5"/>
        <v>8.3333333333333329E-2</v>
      </c>
      <c r="D67">
        <f t="shared" si="3"/>
        <v>0.85336490437151113</v>
      </c>
    </row>
    <row r="68" spans="2:4">
      <c r="B68" s="20">
        <f t="shared" si="4"/>
        <v>40</v>
      </c>
      <c r="C68">
        <f t="shared" si="5"/>
        <v>8.3333333333333329E-2</v>
      </c>
      <c r="D68">
        <f t="shared" si="3"/>
        <v>0.84990229720867583</v>
      </c>
    </row>
    <row r="69" spans="2:4">
      <c r="B69" s="20">
        <f t="shared" si="4"/>
        <v>41</v>
      </c>
      <c r="C69">
        <f t="shared" si="5"/>
        <v>8.3333333333333329E-2</v>
      </c>
      <c r="D69">
        <f t="shared" si="3"/>
        <v>0.84645373989521056</v>
      </c>
    </row>
    <row r="70" spans="2:4">
      <c r="B70" s="20">
        <f t="shared" si="4"/>
        <v>42</v>
      </c>
      <c r="C70">
        <f t="shared" si="5"/>
        <v>8.3333333333333329E-2</v>
      </c>
      <c r="D70">
        <f t="shared" si="3"/>
        <v>0.84301917542254989</v>
      </c>
    </row>
    <row r="71" spans="2:4">
      <c r="B71" s="20">
        <f t="shared" si="4"/>
        <v>43</v>
      </c>
      <c r="C71">
        <f t="shared" si="5"/>
        <v>8.3333333333333329E-2</v>
      </c>
      <c r="D71">
        <f t="shared" si="3"/>
        <v>0.83959854701344583</v>
      </c>
    </row>
    <row r="72" spans="2:4">
      <c r="B72" s="20">
        <f t="shared" si="4"/>
        <v>44</v>
      </c>
      <c r="C72">
        <f t="shared" si="5"/>
        <v>8.3333333333333329E-2</v>
      </c>
      <c r="D72">
        <f t="shared" si="3"/>
        <v>0.83619179812102928</v>
      </c>
    </row>
    <row r="73" spans="2:4">
      <c r="B73" s="20">
        <f t="shared" si="4"/>
        <v>45</v>
      </c>
      <c r="C73">
        <f t="shared" si="5"/>
        <v>8.3333333333333329E-2</v>
      </c>
      <c r="D73">
        <f t="shared" si="3"/>
        <v>0.83279887242787531</v>
      </c>
    </row>
    <row r="74" spans="2:4">
      <c r="B74" s="20">
        <f t="shared" si="4"/>
        <v>46</v>
      </c>
      <c r="C74">
        <f t="shared" si="5"/>
        <v>8.3333333333333329E-2</v>
      </c>
      <c r="D74">
        <f t="shared" si="3"/>
        <v>0.82941971384507229</v>
      </c>
    </row>
    <row r="75" spans="2:4">
      <c r="B75" s="20">
        <f t="shared" si="4"/>
        <v>47</v>
      </c>
      <c r="C75">
        <f t="shared" si="5"/>
        <v>8.3333333333333329E-2</v>
      </c>
      <c r="D75">
        <f t="shared" si="3"/>
        <v>0.82605426651129432</v>
      </c>
    </row>
    <row r="76" spans="2:4">
      <c r="B76" s="20">
        <f t="shared" si="4"/>
        <v>48</v>
      </c>
      <c r="C76">
        <f t="shared" si="5"/>
        <v>8.3333333333333329E-2</v>
      </c>
      <c r="D76">
        <f t="shared" si="3"/>
        <v>0.82270247479187819</v>
      </c>
    </row>
    <row r="77" spans="2:4">
      <c r="B77" s="20">
        <f t="shared" si="4"/>
        <v>49</v>
      </c>
      <c r="C77">
        <f t="shared" si="5"/>
        <v>8.3333333333333329E-2</v>
      </c>
      <c r="D77">
        <f t="shared" si="3"/>
        <v>0.81936428327790389</v>
      </c>
    </row>
    <row r="78" spans="2:4">
      <c r="B78" s="20">
        <f t="shared" si="4"/>
        <v>50</v>
      </c>
      <c r="C78">
        <f t="shared" si="5"/>
        <v>8.3333333333333329E-2</v>
      </c>
      <c r="D78">
        <f t="shared" si="3"/>
        <v>0.81603963678527702</v>
      </c>
    </row>
    <row r="79" spans="2:4">
      <c r="B79" s="20">
        <f t="shared" si="4"/>
        <v>51</v>
      </c>
      <c r="C79">
        <f t="shared" si="5"/>
        <v>8.3333333333333329E-2</v>
      </c>
      <c r="D79">
        <f t="shared" si="3"/>
        <v>0.81272848035381917</v>
      </c>
    </row>
    <row r="80" spans="2:4">
      <c r="B80" s="20">
        <f t="shared" si="4"/>
        <v>52</v>
      </c>
      <c r="C80">
        <f t="shared" si="5"/>
        <v>8.3333333333333329E-2</v>
      </c>
      <c r="D80">
        <f t="shared" si="3"/>
        <v>0.80943075924635699</v>
      </c>
    </row>
    <row r="81" spans="2:4">
      <c r="B81" s="20">
        <f t="shared" si="4"/>
        <v>53</v>
      </c>
      <c r="C81">
        <f t="shared" si="5"/>
        <v>8.3333333333333329E-2</v>
      </c>
      <c r="D81">
        <f t="shared" si="3"/>
        <v>0.8061464189478188</v>
      </c>
    </row>
    <row r="82" spans="2:4">
      <c r="B82" s="20">
        <f t="shared" si="4"/>
        <v>54</v>
      </c>
      <c r="C82">
        <f t="shared" si="5"/>
        <v>8.3333333333333329E-2</v>
      </c>
      <c r="D82">
        <f t="shared" si="3"/>
        <v>0.80287540516433242</v>
      </c>
    </row>
    <row r="83" spans="2:4">
      <c r="B83" s="20">
        <f t="shared" si="4"/>
        <v>55</v>
      </c>
      <c r="C83">
        <f t="shared" si="5"/>
        <v>8.3333333333333329E-2</v>
      </c>
      <c r="D83">
        <f t="shared" si="3"/>
        <v>0.79961766382232857</v>
      </c>
    </row>
    <row r="84" spans="2:4">
      <c r="B84" s="20">
        <f t="shared" si="4"/>
        <v>56</v>
      </c>
      <c r="C84">
        <f t="shared" si="5"/>
        <v>8.3333333333333329E-2</v>
      </c>
      <c r="D84">
        <f t="shared" si="3"/>
        <v>0.7963731410676459</v>
      </c>
    </row>
    <row r="85" spans="2:4">
      <c r="B85" s="20">
        <f t="shared" si="4"/>
        <v>57</v>
      </c>
      <c r="C85">
        <f t="shared" si="5"/>
        <v>8.3333333333333329E-2</v>
      </c>
      <c r="D85">
        <f t="shared" si="3"/>
        <v>0.79314178326464213</v>
      </c>
    </row>
    <row r="86" spans="2:4">
      <c r="B86" s="20">
        <f t="shared" si="4"/>
        <v>58</v>
      </c>
      <c r="C86">
        <f t="shared" si="5"/>
        <v>8.3333333333333329E-2</v>
      </c>
      <c r="D86">
        <f t="shared" si="3"/>
        <v>0.78992353699530604</v>
      </c>
    </row>
    <row r="87" spans="2:4">
      <c r="B87" s="20">
        <f t="shared" si="4"/>
        <v>59</v>
      </c>
      <c r="C87">
        <f t="shared" si="5"/>
        <v>8.3333333333333329E-2</v>
      </c>
      <c r="D87">
        <f t="shared" si="3"/>
        <v>0.78671834905837468</v>
      </c>
    </row>
    <row r="88" spans="2:4">
      <c r="B88" s="20">
        <f t="shared" si="4"/>
        <v>60</v>
      </c>
      <c r="C88">
        <f t="shared" si="5"/>
        <v>8.3333333333333329E-2</v>
      </c>
      <c r="D88">
        <f t="shared" si="3"/>
        <v>0.78352616646845474</v>
      </c>
    </row>
    <row r="89" spans="2:4">
      <c r="B89" s="20">
        <f t="shared" si="4"/>
        <v>61</v>
      </c>
      <c r="C89">
        <f t="shared" si="5"/>
        <v>8.3333333333333329E-2</v>
      </c>
      <c r="D89">
        <f t="shared" si="3"/>
        <v>0.78034693645514552</v>
      </c>
    </row>
    <row r="90" spans="2:4">
      <c r="B90" s="20">
        <f t="shared" si="4"/>
        <v>62</v>
      </c>
      <c r="C90">
        <f t="shared" si="5"/>
        <v>8.3333333333333329E-2</v>
      </c>
      <c r="D90">
        <f t="shared" si="3"/>
        <v>0.7771806064621678</v>
      </c>
    </row>
    <row r="91" spans="2:4">
      <c r="B91" s="20">
        <f t="shared" si="4"/>
        <v>63</v>
      </c>
      <c r="C91">
        <f t="shared" si="5"/>
        <v>8.3333333333333329E-2</v>
      </c>
      <c r="D91">
        <f t="shared" si="3"/>
        <v>0.77402712414649366</v>
      </c>
    </row>
    <row r="92" spans="2:4">
      <c r="B92" s="20">
        <f t="shared" si="4"/>
        <v>64</v>
      </c>
      <c r="C92">
        <f t="shared" si="5"/>
        <v>8.3333333333333329E-2</v>
      </c>
      <c r="D92">
        <f t="shared" si="3"/>
        <v>0.77088643737748197</v>
      </c>
    </row>
    <row r="93" spans="2:4">
      <c r="B93" s="20">
        <f t="shared" si="4"/>
        <v>65</v>
      </c>
      <c r="C93">
        <f t="shared" ref="C93:C124" si="6">$C$28</f>
        <v>8.3333333333333329E-2</v>
      </c>
      <c r="D93">
        <f t="shared" ref="D93:D147" si="7">(1+$C$6)^(-B93)</f>
        <v>0.76775849423601705</v>
      </c>
    </row>
    <row r="94" spans="2:4">
      <c r="B94" s="20">
        <f t="shared" si="4"/>
        <v>66</v>
      </c>
      <c r="C94">
        <f t="shared" si="6"/>
        <v>8.3333333333333329E-2</v>
      </c>
      <c r="D94">
        <f t="shared" si="7"/>
        <v>0.76464324301364894</v>
      </c>
    </row>
    <row r="95" spans="2:4">
      <c r="B95" s="20">
        <f t="shared" ref="B95:B148" si="8">B94+1</f>
        <v>67</v>
      </c>
      <c r="C95">
        <f t="shared" si="6"/>
        <v>8.3333333333333329E-2</v>
      </c>
      <c r="D95">
        <f t="shared" si="7"/>
        <v>0.76154063221174051</v>
      </c>
    </row>
    <row r="96" spans="2:4">
      <c r="B96" s="20">
        <f t="shared" si="8"/>
        <v>68</v>
      </c>
      <c r="C96">
        <f t="shared" si="6"/>
        <v>8.3333333333333329E-2</v>
      </c>
      <c r="D96">
        <f t="shared" si="7"/>
        <v>0.75845061054061447</v>
      </c>
    </row>
    <row r="97" spans="2:4">
      <c r="B97" s="20">
        <f t="shared" si="8"/>
        <v>69</v>
      </c>
      <c r="C97">
        <f t="shared" si="6"/>
        <v>8.3333333333333329E-2</v>
      </c>
      <c r="D97">
        <f t="shared" si="7"/>
        <v>0.75537312691870606</v>
      </c>
    </row>
    <row r="98" spans="2:4">
      <c r="B98" s="20">
        <f t="shared" si="8"/>
        <v>70</v>
      </c>
      <c r="C98">
        <f t="shared" si="6"/>
        <v>8.3333333333333329E-2</v>
      </c>
      <c r="D98">
        <f t="shared" si="7"/>
        <v>0.75230813047171918</v>
      </c>
    </row>
    <row r="99" spans="2:4">
      <c r="B99" s="20">
        <f t="shared" si="8"/>
        <v>71</v>
      </c>
      <c r="C99">
        <f t="shared" si="6"/>
        <v>8.3333333333333329E-2</v>
      </c>
      <c r="D99">
        <f t="shared" si="7"/>
        <v>0.74925557053178471</v>
      </c>
    </row>
    <row r="100" spans="2:4">
      <c r="B100" s="20">
        <f t="shared" si="8"/>
        <v>72</v>
      </c>
      <c r="C100">
        <f t="shared" si="6"/>
        <v>8.3333333333333329E-2</v>
      </c>
      <c r="D100">
        <f t="shared" si="7"/>
        <v>0.74621539663662273</v>
      </c>
    </row>
    <row r="101" spans="2:4">
      <c r="B101" s="20">
        <f t="shared" si="8"/>
        <v>73</v>
      </c>
      <c r="C101">
        <f t="shared" si="6"/>
        <v>8.3333333333333329E-2</v>
      </c>
      <c r="D101">
        <f t="shared" si="7"/>
        <v>0.74318755852870921</v>
      </c>
    </row>
    <row r="102" spans="2:4">
      <c r="B102" s="20">
        <f t="shared" si="8"/>
        <v>74</v>
      </c>
      <c r="C102">
        <f t="shared" si="6"/>
        <v>8.3333333333333329E-2</v>
      </c>
      <c r="D102">
        <f t="shared" si="7"/>
        <v>0.74017200615444467</v>
      </c>
    </row>
    <row r="103" spans="2:4">
      <c r="B103" s="20">
        <f t="shared" si="8"/>
        <v>75</v>
      </c>
      <c r="C103">
        <f t="shared" si="6"/>
        <v>8.3333333333333329E-2</v>
      </c>
      <c r="D103">
        <f t="shared" si="7"/>
        <v>0.73716868966332649</v>
      </c>
    </row>
    <row r="104" spans="2:4">
      <c r="B104" s="20">
        <f t="shared" si="8"/>
        <v>76</v>
      </c>
      <c r="C104">
        <f t="shared" si="6"/>
        <v>8.3333333333333329E-2</v>
      </c>
      <c r="D104">
        <f t="shared" si="7"/>
        <v>0.73417755940712492</v>
      </c>
    </row>
    <row r="105" spans="2:4">
      <c r="B105" s="20">
        <f t="shared" si="8"/>
        <v>77</v>
      </c>
      <c r="C105">
        <f t="shared" si="6"/>
        <v>8.3333333333333329E-2</v>
      </c>
      <c r="D105">
        <f t="shared" si="7"/>
        <v>0.73119856593906296</v>
      </c>
    </row>
    <row r="106" spans="2:4">
      <c r="B106" s="20">
        <f t="shared" si="8"/>
        <v>78</v>
      </c>
      <c r="C106">
        <f t="shared" si="6"/>
        <v>8.3333333333333329E-2</v>
      </c>
      <c r="D106">
        <f t="shared" si="7"/>
        <v>0.72823166001299833</v>
      </c>
    </row>
    <row r="107" spans="2:4">
      <c r="B107" s="20">
        <f t="shared" si="8"/>
        <v>79</v>
      </c>
      <c r="C107">
        <f t="shared" si="6"/>
        <v>8.3333333333333329E-2</v>
      </c>
      <c r="D107">
        <f t="shared" si="7"/>
        <v>0.72527679258260924</v>
      </c>
    </row>
    <row r="108" spans="2:4">
      <c r="B108" s="20">
        <f t="shared" si="8"/>
        <v>80</v>
      </c>
      <c r="C108">
        <f t="shared" si="6"/>
        <v>8.3333333333333329E-2</v>
      </c>
      <c r="D108">
        <f t="shared" si="7"/>
        <v>0.72233391480058429</v>
      </c>
    </row>
    <row r="109" spans="2:4">
      <c r="B109" s="20">
        <f t="shared" si="8"/>
        <v>81</v>
      </c>
      <c r="C109">
        <f t="shared" si="6"/>
        <v>8.3333333333333329E-2</v>
      </c>
      <c r="D109">
        <f t="shared" si="7"/>
        <v>0.7194029780178145</v>
      </c>
    </row>
    <row r="110" spans="2:4">
      <c r="B110" s="20">
        <f t="shared" si="8"/>
        <v>82</v>
      </c>
      <c r="C110">
        <f t="shared" si="6"/>
        <v>8.3333333333333329E-2</v>
      </c>
      <c r="D110">
        <f t="shared" si="7"/>
        <v>0.7164839337825889</v>
      </c>
    </row>
    <row r="111" spans="2:4">
      <c r="B111" s="20">
        <f t="shared" si="8"/>
        <v>83</v>
      </c>
      <c r="C111">
        <f t="shared" si="6"/>
        <v>8.3333333333333329E-2</v>
      </c>
      <c r="D111">
        <f t="shared" si="7"/>
        <v>0.71357673383979403</v>
      </c>
    </row>
    <row r="112" spans="2:4">
      <c r="B112" s="20">
        <f t="shared" si="8"/>
        <v>84</v>
      </c>
      <c r="C112">
        <f t="shared" si="6"/>
        <v>8.3333333333333329E-2</v>
      </c>
      <c r="D112">
        <f t="shared" si="7"/>
        <v>0.71068133013011603</v>
      </c>
    </row>
    <row r="113" spans="2:4">
      <c r="B113" s="20">
        <f t="shared" si="8"/>
        <v>85</v>
      </c>
      <c r="C113">
        <f t="shared" si="6"/>
        <v>8.3333333333333329E-2</v>
      </c>
      <c r="D113">
        <f t="shared" si="7"/>
        <v>0.70779767478924616</v>
      </c>
    </row>
    <row r="114" spans="2:4">
      <c r="B114" s="20">
        <f t="shared" si="8"/>
        <v>86</v>
      </c>
      <c r="C114">
        <f t="shared" si="6"/>
        <v>8.3333333333333329E-2</v>
      </c>
      <c r="D114">
        <f t="shared" si="7"/>
        <v>0.70492572014708943</v>
      </c>
    </row>
    <row r="115" spans="2:4">
      <c r="B115" s="20">
        <f t="shared" si="8"/>
        <v>87</v>
      </c>
      <c r="C115">
        <f t="shared" si="6"/>
        <v>8.3333333333333329E-2</v>
      </c>
      <c r="D115">
        <f t="shared" si="7"/>
        <v>0.70206541872697692</v>
      </c>
    </row>
    <row r="116" spans="2:4">
      <c r="B116" s="20">
        <f t="shared" si="8"/>
        <v>88</v>
      </c>
      <c r="C116">
        <f t="shared" si="6"/>
        <v>8.3333333333333329E-2</v>
      </c>
      <c r="D116">
        <f t="shared" si="7"/>
        <v>0.69921672324488016</v>
      </c>
    </row>
    <row r="117" spans="2:4">
      <c r="B117" s="20">
        <f t="shared" si="8"/>
        <v>89</v>
      </c>
      <c r="C117">
        <f t="shared" si="6"/>
        <v>8.3333333333333329E-2</v>
      </c>
      <c r="D117">
        <f t="shared" si="7"/>
        <v>0.69637958660863053</v>
      </c>
    </row>
    <row r="118" spans="2:4">
      <c r="B118" s="20">
        <f t="shared" si="8"/>
        <v>90</v>
      </c>
      <c r="C118">
        <f t="shared" si="6"/>
        <v>8.3333333333333329E-2</v>
      </c>
      <c r="D118">
        <f t="shared" si="7"/>
        <v>0.69355396191714047</v>
      </c>
    </row>
    <row r="119" spans="2:4">
      <c r="B119" s="20">
        <f t="shared" si="8"/>
        <v>91</v>
      </c>
      <c r="C119">
        <f t="shared" si="6"/>
        <v>8.3333333333333329E-2</v>
      </c>
      <c r="D119">
        <f t="shared" si="7"/>
        <v>0.69073980245962718</v>
      </c>
    </row>
    <row r="120" spans="2:4">
      <c r="B120" s="20">
        <f t="shared" si="8"/>
        <v>92</v>
      </c>
      <c r="C120">
        <f t="shared" si="6"/>
        <v>8.3333333333333329E-2</v>
      </c>
      <c r="D120">
        <f t="shared" si="7"/>
        <v>0.68793706171484148</v>
      </c>
    </row>
    <row r="121" spans="2:4">
      <c r="B121" s="20">
        <f t="shared" si="8"/>
        <v>93</v>
      </c>
      <c r="C121">
        <f t="shared" si="6"/>
        <v>8.3333333333333329E-2</v>
      </c>
      <c r="D121">
        <f t="shared" si="7"/>
        <v>0.68514569335029873</v>
      </c>
    </row>
    <row r="122" spans="2:4">
      <c r="B122" s="20">
        <f t="shared" si="8"/>
        <v>94</v>
      </c>
      <c r="C122">
        <f t="shared" si="6"/>
        <v>8.3333333333333329E-2</v>
      </c>
      <c r="D122">
        <f t="shared" si="7"/>
        <v>0.68236565122151249</v>
      </c>
    </row>
    <row r="123" spans="2:4">
      <c r="B123" s="20">
        <f t="shared" si="8"/>
        <v>95</v>
      </c>
      <c r="C123">
        <f t="shared" si="6"/>
        <v>8.3333333333333329E-2</v>
      </c>
      <c r="D123">
        <f t="shared" si="7"/>
        <v>0.67959688937123164</v>
      </c>
    </row>
    <row r="124" spans="2:4">
      <c r="B124" s="20">
        <f t="shared" si="8"/>
        <v>96</v>
      </c>
      <c r="C124">
        <f t="shared" si="6"/>
        <v>8.3333333333333329E-2</v>
      </c>
      <c r="D124">
        <f t="shared" si="7"/>
        <v>0.67683936202868122</v>
      </c>
    </row>
    <row r="125" spans="2:4">
      <c r="B125" s="20">
        <f t="shared" si="8"/>
        <v>97</v>
      </c>
      <c r="C125">
        <f t="shared" ref="C125:C147" si="9">$C$28</f>
        <v>8.3333333333333329E-2</v>
      </c>
      <c r="D125">
        <f t="shared" si="7"/>
        <v>0.67409302360880508</v>
      </c>
    </row>
    <row r="126" spans="2:4">
      <c r="B126" s="20">
        <f t="shared" si="8"/>
        <v>98</v>
      </c>
      <c r="C126">
        <f t="shared" si="9"/>
        <v>8.3333333333333329E-2</v>
      </c>
      <c r="D126">
        <f t="shared" si="7"/>
        <v>0.67135782871151295</v>
      </c>
    </row>
    <row r="127" spans="2:4">
      <c r="B127" s="20">
        <f t="shared" si="8"/>
        <v>99</v>
      </c>
      <c r="C127">
        <f t="shared" si="9"/>
        <v>8.3333333333333329E-2</v>
      </c>
      <c r="D127">
        <f t="shared" si="7"/>
        <v>0.66863373212092936</v>
      </c>
    </row>
    <row r="128" spans="2:4">
      <c r="B128" s="20">
        <f t="shared" si="8"/>
        <v>100</v>
      </c>
      <c r="C128">
        <f t="shared" si="9"/>
        <v>8.3333333333333329E-2</v>
      </c>
      <c r="D128">
        <f t="shared" si="7"/>
        <v>0.66592068880464694</v>
      </c>
    </row>
    <row r="129" spans="2:4">
      <c r="B129" s="20">
        <f t="shared" si="8"/>
        <v>101</v>
      </c>
      <c r="C129">
        <f t="shared" si="9"/>
        <v>8.3333333333333329E-2</v>
      </c>
      <c r="D129">
        <f t="shared" si="7"/>
        <v>0.66321865391298085</v>
      </c>
    </row>
    <row r="130" spans="2:4">
      <c r="B130" s="20">
        <f t="shared" si="8"/>
        <v>102</v>
      </c>
      <c r="C130">
        <f t="shared" si="9"/>
        <v>8.3333333333333329E-2</v>
      </c>
      <c r="D130">
        <f t="shared" si="7"/>
        <v>0.66052758277822832</v>
      </c>
    </row>
    <row r="131" spans="2:4">
      <c r="B131" s="20">
        <f t="shared" si="8"/>
        <v>103</v>
      </c>
      <c r="C131">
        <f t="shared" si="9"/>
        <v>8.3333333333333329E-2</v>
      </c>
      <c r="D131">
        <f t="shared" si="7"/>
        <v>0.65784743091392983</v>
      </c>
    </row>
    <row r="132" spans="2:4">
      <c r="B132" s="20">
        <f t="shared" si="8"/>
        <v>104</v>
      </c>
      <c r="C132">
        <f t="shared" si="9"/>
        <v>8.3333333333333329E-2</v>
      </c>
      <c r="D132">
        <f t="shared" si="7"/>
        <v>0.65517815401413393</v>
      </c>
    </row>
    <row r="133" spans="2:4">
      <c r="B133" s="20">
        <f t="shared" si="8"/>
        <v>105</v>
      </c>
      <c r="C133">
        <f t="shared" si="9"/>
        <v>8.3333333333333329E-2</v>
      </c>
      <c r="D133">
        <f t="shared" si="7"/>
        <v>0.65251970795266456</v>
      </c>
    </row>
    <row r="134" spans="2:4">
      <c r="B134" s="20">
        <f t="shared" si="8"/>
        <v>106</v>
      </c>
      <c r="C134">
        <f t="shared" si="9"/>
        <v>8.3333333333333329E-2</v>
      </c>
      <c r="D134">
        <f t="shared" si="7"/>
        <v>0.64987204878239202</v>
      </c>
    </row>
    <row r="135" spans="2:4">
      <c r="B135" s="20">
        <f t="shared" si="8"/>
        <v>107</v>
      </c>
      <c r="C135">
        <f t="shared" si="9"/>
        <v>8.3333333333333329E-2</v>
      </c>
      <c r="D135">
        <f t="shared" si="7"/>
        <v>0.64723513273450561</v>
      </c>
    </row>
    <row r="136" spans="2:4">
      <c r="B136" s="20">
        <f t="shared" si="8"/>
        <v>108</v>
      </c>
      <c r="C136">
        <f t="shared" si="9"/>
        <v>8.3333333333333329E-2</v>
      </c>
      <c r="D136">
        <f t="shared" si="7"/>
        <v>0.64460891621779093</v>
      </c>
    </row>
    <row r="137" spans="2:4">
      <c r="B137" s="20">
        <f t="shared" si="8"/>
        <v>109</v>
      </c>
      <c r="C137">
        <f t="shared" si="9"/>
        <v>8.3333333333333329E-2</v>
      </c>
      <c r="D137">
        <f t="shared" si="7"/>
        <v>0.64199335581790884</v>
      </c>
    </row>
    <row r="138" spans="2:4">
      <c r="B138" s="20">
        <f t="shared" si="8"/>
        <v>110</v>
      </c>
      <c r="C138">
        <f t="shared" si="9"/>
        <v>8.3333333333333329E-2</v>
      </c>
      <c r="D138">
        <f t="shared" si="7"/>
        <v>0.63938840829667831</v>
      </c>
    </row>
    <row r="139" spans="2:4">
      <c r="B139" s="20">
        <f t="shared" si="8"/>
        <v>111</v>
      </c>
      <c r="C139">
        <f t="shared" si="9"/>
        <v>8.3333333333333329E-2</v>
      </c>
      <c r="D139">
        <f t="shared" si="7"/>
        <v>0.63679403059136075</v>
      </c>
    </row>
    <row r="140" spans="2:4">
      <c r="B140" s="20">
        <f t="shared" si="8"/>
        <v>112</v>
      </c>
      <c r="C140">
        <f t="shared" si="9"/>
        <v>8.3333333333333329E-2</v>
      </c>
      <c r="D140">
        <f t="shared" si="7"/>
        <v>0.63421017981394867</v>
      </c>
    </row>
    <row r="141" spans="2:4">
      <c r="B141" s="20">
        <f t="shared" si="8"/>
        <v>113</v>
      </c>
      <c r="C141">
        <f t="shared" si="9"/>
        <v>8.3333333333333329E-2</v>
      </c>
      <c r="D141">
        <f t="shared" si="7"/>
        <v>0.63163681325045729</v>
      </c>
    </row>
    <row r="142" spans="2:4">
      <c r="B142" s="20">
        <f t="shared" si="8"/>
        <v>114</v>
      </c>
      <c r="C142">
        <f t="shared" si="9"/>
        <v>8.3333333333333329E-2</v>
      </c>
      <c r="D142">
        <f t="shared" si="7"/>
        <v>0.6290738883602166</v>
      </c>
    </row>
    <row r="143" spans="2:4">
      <c r="B143" s="20">
        <f t="shared" si="8"/>
        <v>115</v>
      </c>
      <c r="C143">
        <f t="shared" si="9"/>
        <v>8.3333333333333329E-2</v>
      </c>
      <c r="D143">
        <f t="shared" si="7"/>
        <v>0.62652136277517056</v>
      </c>
    </row>
    <row r="144" spans="2:4">
      <c r="B144" s="20">
        <f t="shared" si="8"/>
        <v>116</v>
      </c>
      <c r="C144">
        <f t="shared" si="9"/>
        <v>8.3333333333333329E-2</v>
      </c>
      <c r="D144">
        <f t="shared" si="7"/>
        <v>0.62397919429917459</v>
      </c>
    </row>
    <row r="145" spans="2:4">
      <c r="B145" s="20">
        <f t="shared" si="8"/>
        <v>117</v>
      </c>
      <c r="C145">
        <f t="shared" si="9"/>
        <v>8.3333333333333329E-2</v>
      </c>
      <c r="D145">
        <f t="shared" si="7"/>
        <v>0.62144734090729914</v>
      </c>
    </row>
    <row r="146" spans="2:4">
      <c r="B146" s="20">
        <f t="shared" si="8"/>
        <v>118</v>
      </c>
      <c r="C146">
        <f t="shared" si="9"/>
        <v>8.3333333333333329E-2</v>
      </c>
      <c r="D146">
        <f t="shared" si="7"/>
        <v>0.61892576074513461</v>
      </c>
    </row>
    <row r="147" spans="2:4">
      <c r="B147" s="20">
        <f t="shared" si="8"/>
        <v>119</v>
      </c>
      <c r="C147">
        <f t="shared" si="9"/>
        <v>8.3333333333333329E-2</v>
      </c>
      <c r="D147">
        <f t="shared" si="7"/>
        <v>0.6164144121281</v>
      </c>
    </row>
    <row r="148" spans="2:4">
      <c r="B148" s="20">
        <f t="shared" si="8"/>
        <v>120</v>
      </c>
    </row>
    <row r="149" spans="2:4">
      <c r="B149" s="20"/>
    </row>
    <row r="150" spans="2:4">
      <c r="B150" s="20"/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B48AC-F662-4A74-A0AB-724615101299}">
  <dimension ref="B1:K18"/>
  <sheetViews>
    <sheetView workbookViewId="0">
      <selection sqref="A1:XFD1048576"/>
    </sheetView>
  </sheetViews>
  <sheetFormatPr defaultRowHeight="14.5"/>
  <cols>
    <col min="2" max="2" width="14.90625" bestFit="1" customWidth="1"/>
    <col min="3" max="3" width="15" bestFit="1" customWidth="1"/>
    <col min="4" max="4" width="11.7265625" bestFit="1" customWidth="1"/>
    <col min="5" max="5" width="9.90625" customWidth="1"/>
    <col min="6" max="6" width="17.453125" bestFit="1" customWidth="1"/>
    <col min="7" max="7" width="17.90625" bestFit="1" customWidth="1"/>
    <col min="8" max="8" width="12" bestFit="1" customWidth="1"/>
    <col min="9" max="9" width="13.54296875" bestFit="1" customWidth="1"/>
    <col min="10" max="10" width="12" bestFit="1" customWidth="1"/>
  </cols>
  <sheetData>
    <row r="1" spans="2:11" ht="15" thickBot="1"/>
    <row r="2" spans="2:11" ht="15" thickBot="1">
      <c r="B2" t="s">
        <v>30</v>
      </c>
      <c r="C2" s="37">
        <v>10000</v>
      </c>
      <c r="H2" s="35" t="s">
        <v>43</v>
      </c>
      <c r="I2" s="40">
        <f>C4</f>
        <v>5.036459664589913E-2</v>
      </c>
    </row>
    <row r="3" spans="2:11">
      <c r="B3" t="s">
        <v>34</v>
      </c>
      <c r="C3" s="14">
        <v>2E-3</v>
      </c>
    </row>
    <row r="4" spans="2:11">
      <c r="B4" t="s">
        <v>33</v>
      </c>
      <c r="C4" s="39">
        <v>5.036459664589913E-2</v>
      </c>
    </row>
    <row r="6" spans="2:11">
      <c r="B6" s="18" t="s">
        <v>41</v>
      </c>
      <c r="D6" s="18" t="s">
        <v>41</v>
      </c>
      <c r="E6" s="18"/>
      <c r="F6" s="18" t="s">
        <v>42</v>
      </c>
      <c r="G6" s="18" t="s">
        <v>42</v>
      </c>
      <c r="H6" s="18" t="s">
        <v>41</v>
      </c>
      <c r="I6" s="18" t="s">
        <v>41</v>
      </c>
      <c r="J6" s="18" t="s">
        <v>41</v>
      </c>
    </row>
    <row r="7" spans="2:11">
      <c r="B7" t="s">
        <v>11</v>
      </c>
      <c r="C7" t="s">
        <v>31</v>
      </c>
      <c r="D7" t="s">
        <v>32</v>
      </c>
      <c r="E7" t="s">
        <v>33</v>
      </c>
      <c r="F7" t="s">
        <v>35</v>
      </c>
      <c r="G7" t="s">
        <v>36</v>
      </c>
      <c r="H7" t="s">
        <v>37</v>
      </c>
      <c r="I7" t="s">
        <v>38</v>
      </c>
      <c r="J7" t="s">
        <v>39</v>
      </c>
    </row>
    <row r="8" spans="2:11">
      <c r="B8">
        <v>0</v>
      </c>
      <c r="I8">
        <v>1</v>
      </c>
      <c r="J8" s="38">
        <f>SUMPRODUCT(H9:H18,I9:I18)</f>
        <v>-1.3500311979441904E-13</v>
      </c>
      <c r="K8" t="s">
        <v>40</v>
      </c>
    </row>
    <row r="9" spans="2:11">
      <c r="B9">
        <f>B8+1</f>
        <v>1</v>
      </c>
      <c r="C9" s="14">
        <f>'Q3 data'!C6</f>
        <v>4.4999999999999998E-2</v>
      </c>
      <c r="D9" s="22">
        <f>C9-$C$3</f>
        <v>4.2999999999999997E-2</v>
      </c>
      <c r="E9" s="14">
        <f>$C$4</f>
        <v>5.036459664589913E-2</v>
      </c>
      <c r="F9">
        <f>$C$2*E9</f>
        <v>503.64596645899132</v>
      </c>
      <c r="G9">
        <f>$C$2*D9</f>
        <v>429.99999999999994</v>
      </c>
      <c r="H9">
        <f>G9-F9</f>
        <v>-73.645966458991381</v>
      </c>
      <c r="I9">
        <f>I8/(1+C9)</f>
        <v>0.95693779904306231</v>
      </c>
    </row>
    <row r="10" spans="2:11">
      <c r="B10">
        <f t="shared" ref="B10:B18" si="0">B9+1</f>
        <v>2</v>
      </c>
      <c r="C10" s="14">
        <f>'Q3 data'!C7</f>
        <v>4.7500000000000001E-2</v>
      </c>
      <c r="D10" s="22">
        <f t="shared" ref="D10:D18" si="1">C10-$C$3</f>
        <v>4.5499999999999999E-2</v>
      </c>
      <c r="E10" s="14">
        <f t="shared" ref="E10:E18" si="2">$C$4</f>
        <v>5.036459664589913E-2</v>
      </c>
      <c r="F10">
        <f t="shared" ref="F10:F18" si="3">$C$2*E10</f>
        <v>503.64596645899132</v>
      </c>
      <c r="G10">
        <f t="shared" ref="G10:G18" si="4">$C$2*D10</f>
        <v>455</v>
      </c>
      <c r="H10">
        <f t="shared" ref="H10:H18" si="5">G10-F10</f>
        <v>-48.645966458991325</v>
      </c>
      <c r="I10">
        <f t="shared" ref="I10:I18" si="6">I9/(1+C10)</f>
        <v>0.91354443822726705</v>
      </c>
    </row>
    <row r="11" spans="2:11">
      <c r="B11">
        <f t="shared" si="0"/>
        <v>3</v>
      </c>
      <c r="C11" s="14">
        <f>'Q3 data'!C8</f>
        <v>0.05</v>
      </c>
      <c r="D11" s="22">
        <f t="shared" si="1"/>
        <v>4.8000000000000001E-2</v>
      </c>
      <c r="E11" s="14">
        <f t="shared" si="2"/>
        <v>5.036459664589913E-2</v>
      </c>
      <c r="F11">
        <f t="shared" si="3"/>
        <v>503.64596645899132</v>
      </c>
      <c r="G11">
        <f t="shared" si="4"/>
        <v>480</v>
      </c>
      <c r="H11">
        <f t="shared" si="5"/>
        <v>-23.645966458991325</v>
      </c>
      <c r="I11">
        <f t="shared" si="6"/>
        <v>0.87004232212120669</v>
      </c>
    </row>
    <row r="12" spans="2:11">
      <c r="B12">
        <f t="shared" si="0"/>
        <v>4</v>
      </c>
      <c r="C12" s="14">
        <f>'Q3 data'!C9</f>
        <v>5.2999999999999999E-2</v>
      </c>
      <c r="D12" s="22">
        <f t="shared" si="1"/>
        <v>5.0999999999999997E-2</v>
      </c>
      <c r="E12" s="14">
        <f t="shared" si="2"/>
        <v>5.036459664589913E-2</v>
      </c>
      <c r="F12">
        <f t="shared" si="3"/>
        <v>503.64596645899132</v>
      </c>
      <c r="G12">
        <f t="shared" si="4"/>
        <v>509.99999999999994</v>
      </c>
      <c r="H12">
        <f t="shared" si="5"/>
        <v>6.3540335410086186</v>
      </c>
      <c r="I12">
        <f t="shared" si="6"/>
        <v>0.82625101815879087</v>
      </c>
    </row>
    <row r="13" spans="2:11">
      <c r="B13">
        <f t="shared" si="0"/>
        <v>5</v>
      </c>
      <c r="C13" s="14">
        <f>'Q3 data'!C10</f>
        <v>5.2999999999999999E-2</v>
      </c>
      <c r="D13" s="22">
        <f t="shared" si="1"/>
        <v>5.0999999999999997E-2</v>
      </c>
      <c r="E13" s="14">
        <f t="shared" si="2"/>
        <v>5.036459664589913E-2</v>
      </c>
      <c r="F13">
        <f t="shared" si="3"/>
        <v>503.64596645899132</v>
      </c>
      <c r="G13">
        <f t="shared" si="4"/>
        <v>509.99999999999994</v>
      </c>
      <c r="H13">
        <f t="shared" si="5"/>
        <v>6.3540335410086186</v>
      </c>
      <c r="I13">
        <f t="shared" si="6"/>
        <v>0.78466383490863334</v>
      </c>
    </row>
    <row r="14" spans="2:11">
      <c r="B14">
        <f t="shared" si="0"/>
        <v>6</v>
      </c>
      <c r="C14" s="14">
        <f>'Q3 data'!C11</f>
        <v>5.2999999999999999E-2</v>
      </c>
      <c r="D14" s="22">
        <f t="shared" si="1"/>
        <v>5.0999999999999997E-2</v>
      </c>
      <c r="E14" s="14">
        <f t="shared" si="2"/>
        <v>5.036459664589913E-2</v>
      </c>
      <c r="F14">
        <f t="shared" si="3"/>
        <v>503.64596645899132</v>
      </c>
      <c r="G14">
        <f t="shared" si="4"/>
        <v>509.99999999999994</v>
      </c>
      <c r="H14">
        <f t="shared" si="5"/>
        <v>6.3540335410086186</v>
      </c>
      <c r="I14">
        <f t="shared" si="6"/>
        <v>0.74516983372139922</v>
      </c>
    </row>
    <row r="15" spans="2:11">
      <c r="B15">
        <f t="shared" si="0"/>
        <v>7</v>
      </c>
      <c r="C15" s="14">
        <f>'Q3 data'!C12</f>
        <v>5.7000000000000002E-2</v>
      </c>
      <c r="D15" s="22">
        <f t="shared" si="1"/>
        <v>5.5E-2</v>
      </c>
      <c r="E15" s="14">
        <f t="shared" si="2"/>
        <v>5.036459664589913E-2</v>
      </c>
      <c r="F15">
        <f t="shared" si="3"/>
        <v>503.64596645899132</v>
      </c>
      <c r="G15">
        <f t="shared" si="4"/>
        <v>550</v>
      </c>
      <c r="H15">
        <f t="shared" si="5"/>
        <v>46.354033541008675</v>
      </c>
      <c r="I15">
        <f t="shared" si="6"/>
        <v>0.70498565158126703</v>
      </c>
    </row>
    <row r="16" spans="2:11">
      <c r="B16">
        <f t="shared" si="0"/>
        <v>8</v>
      </c>
      <c r="C16" s="14">
        <f>'Q3 data'!C13</f>
        <v>5.7000000000000002E-2</v>
      </c>
      <c r="D16" s="22">
        <f t="shared" si="1"/>
        <v>5.5E-2</v>
      </c>
      <c r="E16" s="14">
        <f t="shared" si="2"/>
        <v>5.036459664589913E-2</v>
      </c>
      <c r="F16">
        <f t="shared" si="3"/>
        <v>503.64596645899132</v>
      </c>
      <c r="G16">
        <f t="shared" si="4"/>
        <v>550</v>
      </c>
      <c r="H16">
        <f t="shared" si="5"/>
        <v>46.354033541008675</v>
      </c>
      <c r="I16">
        <f t="shared" si="6"/>
        <v>0.66696844993497362</v>
      </c>
    </row>
    <row r="17" spans="2:9">
      <c r="B17">
        <f t="shared" si="0"/>
        <v>9</v>
      </c>
      <c r="C17" s="14">
        <f>'Q3 data'!C14</f>
        <v>5.7000000000000002E-2</v>
      </c>
      <c r="D17" s="22">
        <f t="shared" si="1"/>
        <v>5.5E-2</v>
      </c>
      <c r="E17" s="14">
        <f t="shared" si="2"/>
        <v>5.036459664589913E-2</v>
      </c>
      <c r="F17">
        <f t="shared" si="3"/>
        <v>503.64596645899132</v>
      </c>
      <c r="G17">
        <f t="shared" si="4"/>
        <v>550</v>
      </c>
      <c r="H17">
        <f t="shared" si="5"/>
        <v>46.354033541008675</v>
      </c>
      <c r="I17">
        <f t="shared" si="6"/>
        <v>0.63100137174548121</v>
      </c>
    </row>
    <row r="18" spans="2:9">
      <c r="B18">
        <f t="shared" si="0"/>
        <v>10</v>
      </c>
      <c r="C18" s="14">
        <f>'Q3 data'!C15</f>
        <v>5.7000000000000002E-2</v>
      </c>
      <c r="D18" s="22">
        <f t="shared" si="1"/>
        <v>5.5E-2</v>
      </c>
      <c r="E18" s="14">
        <f t="shared" si="2"/>
        <v>5.036459664589913E-2</v>
      </c>
      <c r="F18">
        <f t="shared" si="3"/>
        <v>503.64596645899132</v>
      </c>
      <c r="G18">
        <f t="shared" si="4"/>
        <v>550</v>
      </c>
      <c r="H18">
        <f t="shared" si="5"/>
        <v>46.354033541008675</v>
      </c>
      <c r="I18">
        <f t="shared" si="6"/>
        <v>0.5969738616324326</v>
      </c>
    </row>
  </sheetData>
  <pageMargins left="0.7" right="0.7" top="0.75" bottom="0.75" header="0.3" footer="0.3"/>
  <pageSetup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2B350-7D6B-4697-8A70-C89FD2A93D76}">
  <dimension ref="A1:K18"/>
  <sheetViews>
    <sheetView workbookViewId="0">
      <selection activeCell="E6" sqref="E6"/>
    </sheetView>
  </sheetViews>
  <sheetFormatPr defaultRowHeight="14.5"/>
  <cols>
    <col min="2" max="2" width="14.90625" bestFit="1" customWidth="1"/>
    <col min="3" max="3" width="15" bestFit="1" customWidth="1"/>
    <col min="4" max="4" width="11.7265625" bestFit="1" customWidth="1"/>
    <col min="5" max="5" width="9.90625" customWidth="1"/>
    <col min="6" max="6" width="17.453125" bestFit="1" customWidth="1"/>
    <col min="7" max="7" width="17.90625" bestFit="1" customWidth="1"/>
    <col min="8" max="8" width="12" bestFit="1" customWidth="1"/>
    <col min="9" max="9" width="13.54296875" bestFit="1" customWidth="1"/>
    <col min="10" max="10" width="12" bestFit="1" customWidth="1"/>
  </cols>
  <sheetData>
    <row r="1" spans="1:11" ht="15" thickBot="1">
      <c r="A1" s="17" t="s">
        <v>44</v>
      </c>
    </row>
    <row r="2" spans="1:11" ht="15" thickBot="1">
      <c r="B2" t="s">
        <v>30</v>
      </c>
      <c r="C2" s="37">
        <v>10000</v>
      </c>
      <c r="H2" s="35" t="s">
        <v>43</v>
      </c>
      <c r="I2" s="41">
        <f>J8</f>
        <v>371.69043192037526</v>
      </c>
      <c r="J2" s="42" t="s">
        <v>45</v>
      </c>
      <c r="K2" s="18"/>
    </row>
    <row r="3" spans="1:11">
      <c r="B3" t="s">
        <v>34</v>
      </c>
      <c r="C3" s="14">
        <v>2E-3</v>
      </c>
      <c r="I3" s="18" t="s">
        <v>47</v>
      </c>
      <c r="J3" s="18" t="s">
        <v>47</v>
      </c>
    </row>
    <row r="4" spans="1:11">
      <c r="B4" t="s">
        <v>33</v>
      </c>
      <c r="C4" s="14">
        <f>'3(ii)'!C4</f>
        <v>5.036459664589913E-2</v>
      </c>
    </row>
    <row r="6" spans="1:11">
      <c r="B6" s="18"/>
      <c r="C6" s="18" t="s">
        <v>46</v>
      </c>
      <c r="D6" s="18" t="s">
        <v>48</v>
      </c>
      <c r="E6" s="18" t="s">
        <v>48</v>
      </c>
      <c r="F6" s="18"/>
      <c r="G6" s="18"/>
      <c r="H6" s="18" t="s">
        <v>47</v>
      </c>
      <c r="I6" s="18"/>
      <c r="J6" s="18"/>
    </row>
    <row r="7" spans="1:11">
      <c r="B7" t="s">
        <v>11</v>
      </c>
      <c r="C7" t="s">
        <v>31</v>
      </c>
      <c r="D7" t="s">
        <v>32</v>
      </c>
      <c r="E7" t="s">
        <v>33</v>
      </c>
      <c r="F7" t="s">
        <v>35</v>
      </c>
      <c r="G7" t="s">
        <v>36</v>
      </c>
      <c r="H7" t="s">
        <v>37</v>
      </c>
      <c r="I7" t="s">
        <v>38</v>
      </c>
      <c r="J7" t="s">
        <v>39</v>
      </c>
    </row>
    <row r="8" spans="1:11">
      <c r="B8">
        <v>0</v>
      </c>
      <c r="I8">
        <v>1</v>
      </c>
      <c r="J8" s="38">
        <f>SUMPRODUCT(H9:H18,I9:I18)</f>
        <v>371.69043192037526</v>
      </c>
      <c r="K8" t="s">
        <v>40</v>
      </c>
    </row>
    <row r="9" spans="1:11">
      <c r="B9">
        <f>B8+1</f>
        <v>1</v>
      </c>
      <c r="C9" s="39">
        <f>'Q3 data'!C6+0.5%</f>
        <v>4.9999999999999996E-2</v>
      </c>
      <c r="D9" s="22">
        <f>C9-$C$3</f>
        <v>4.7999999999999994E-2</v>
      </c>
      <c r="E9" s="14">
        <f>$C$4</f>
        <v>5.036459664589913E-2</v>
      </c>
      <c r="F9">
        <f>$C$2*E9</f>
        <v>503.64596645899132</v>
      </c>
      <c r="G9">
        <f>$C$2*D9</f>
        <v>479.99999999999994</v>
      </c>
      <c r="H9">
        <f>G9-F9</f>
        <v>-23.645966458991381</v>
      </c>
      <c r="I9">
        <f>I8/(1+C9)</f>
        <v>0.95238095238095233</v>
      </c>
    </row>
    <row r="10" spans="1:11">
      <c r="B10">
        <f t="shared" ref="B10:B18" si="0">B9+1</f>
        <v>2</v>
      </c>
      <c r="C10" s="39">
        <f>'Q3 data'!C7+0.5%</f>
        <v>5.2499999999999998E-2</v>
      </c>
      <c r="D10" s="22">
        <f t="shared" ref="D10:D18" si="1">C10-$C$3</f>
        <v>5.0499999999999996E-2</v>
      </c>
      <c r="E10" s="14">
        <f t="shared" ref="E10:E18" si="2">$C$4</f>
        <v>5.036459664589913E-2</v>
      </c>
      <c r="F10">
        <f t="shared" ref="F10:F18" si="3">$C$2*E10</f>
        <v>503.64596645899132</v>
      </c>
      <c r="G10">
        <f t="shared" ref="G10:G18" si="4">$C$2*D10</f>
        <v>504.99999999999994</v>
      </c>
      <c r="H10">
        <f t="shared" ref="H10:H18" si="5">G10-F10</f>
        <v>1.3540335410086186</v>
      </c>
      <c r="I10">
        <f t="shared" ref="I10:I18" si="6">I9/(1+C10)</f>
        <v>0.90487501413867211</v>
      </c>
    </row>
    <row r="11" spans="1:11">
      <c r="B11">
        <f t="shared" si="0"/>
        <v>3</v>
      </c>
      <c r="C11" s="39">
        <f>'Q3 data'!C8+0.5%</f>
        <v>5.5E-2</v>
      </c>
      <c r="D11" s="22">
        <f t="shared" si="1"/>
        <v>5.2999999999999999E-2</v>
      </c>
      <c r="E11" s="14">
        <f t="shared" si="2"/>
        <v>5.036459664589913E-2</v>
      </c>
      <c r="F11">
        <f t="shared" si="3"/>
        <v>503.64596645899132</v>
      </c>
      <c r="G11">
        <f t="shared" si="4"/>
        <v>530</v>
      </c>
      <c r="H11">
        <f t="shared" si="5"/>
        <v>26.354033541008675</v>
      </c>
      <c r="I11">
        <f t="shared" si="6"/>
        <v>0.85770143520253284</v>
      </c>
    </row>
    <row r="12" spans="1:11">
      <c r="B12">
        <f t="shared" si="0"/>
        <v>4</v>
      </c>
      <c r="C12" s="39">
        <f>'Q3 data'!C9+0.5%</f>
        <v>5.7999999999999996E-2</v>
      </c>
      <c r="D12" s="22">
        <f t="shared" si="1"/>
        <v>5.5999999999999994E-2</v>
      </c>
      <c r="E12" s="14">
        <f t="shared" si="2"/>
        <v>5.036459664589913E-2</v>
      </c>
      <c r="F12">
        <f t="shared" si="3"/>
        <v>503.64596645899132</v>
      </c>
      <c r="G12">
        <f t="shared" si="4"/>
        <v>559.99999999999989</v>
      </c>
      <c r="H12">
        <f t="shared" si="5"/>
        <v>56.354033541008562</v>
      </c>
      <c r="I12">
        <f t="shared" si="6"/>
        <v>0.81068188582470013</v>
      </c>
    </row>
    <row r="13" spans="1:11">
      <c r="B13">
        <f t="shared" si="0"/>
        <v>5</v>
      </c>
      <c r="C13" s="39">
        <f>'Q3 data'!C10+0.5%</f>
        <v>5.7999999999999996E-2</v>
      </c>
      <c r="D13" s="22">
        <f t="shared" si="1"/>
        <v>5.5999999999999994E-2</v>
      </c>
      <c r="E13" s="14">
        <f t="shared" si="2"/>
        <v>5.036459664589913E-2</v>
      </c>
      <c r="F13">
        <f t="shared" si="3"/>
        <v>503.64596645899132</v>
      </c>
      <c r="G13">
        <f t="shared" si="4"/>
        <v>559.99999999999989</v>
      </c>
      <c r="H13">
        <f t="shared" si="5"/>
        <v>56.354033541008562</v>
      </c>
      <c r="I13">
        <f t="shared" si="6"/>
        <v>0.76623996769820424</v>
      </c>
    </row>
    <row r="14" spans="1:11">
      <c r="B14">
        <f t="shared" si="0"/>
        <v>6</v>
      </c>
      <c r="C14" s="39">
        <f>'Q3 data'!C11+0.5%</f>
        <v>5.7999999999999996E-2</v>
      </c>
      <c r="D14" s="22">
        <f t="shared" si="1"/>
        <v>5.5999999999999994E-2</v>
      </c>
      <c r="E14" s="14">
        <f t="shared" si="2"/>
        <v>5.036459664589913E-2</v>
      </c>
      <c r="F14">
        <f t="shared" si="3"/>
        <v>503.64596645899132</v>
      </c>
      <c r="G14">
        <f t="shared" si="4"/>
        <v>559.99999999999989</v>
      </c>
      <c r="H14">
        <f t="shared" si="5"/>
        <v>56.354033541008562</v>
      </c>
      <c r="I14">
        <f t="shared" si="6"/>
        <v>0.7242343740058641</v>
      </c>
    </row>
    <row r="15" spans="1:11">
      <c r="B15">
        <f t="shared" si="0"/>
        <v>7</v>
      </c>
      <c r="C15" s="39">
        <f>'Q3 data'!C12+0.5%</f>
        <v>6.2E-2</v>
      </c>
      <c r="D15" s="22">
        <f t="shared" si="1"/>
        <v>0.06</v>
      </c>
      <c r="E15" s="14">
        <f t="shared" si="2"/>
        <v>5.036459664589913E-2</v>
      </c>
      <c r="F15">
        <f t="shared" si="3"/>
        <v>503.64596645899132</v>
      </c>
      <c r="G15">
        <f t="shared" si="4"/>
        <v>600</v>
      </c>
      <c r="H15">
        <f t="shared" si="5"/>
        <v>96.354033541008675</v>
      </c>
      <c r="I15">
        <f t="shared" si="6"/>
        <v>0.68195327119196236</v>
      </c>
    </row>
    <row r="16" spans="1:11">
      <c r="B16">
        <f t="shared" si="0"/>
        <v>8</v>
      </c>
      <c r="C16" s="39">
        <f>'Q3 data'!C13+0.5%</f>
        <v>6.2E-2</v>
      </c>
      <c r="D16" s="22">
        <f t="shared" si="1"/>
        <v>0.06</v>
      </c>
      <c r="E16" s="14">
        <f t="shared" si="2"/>
        <v>5.036459664589913E-2</v>
      </c>
      <c r="F16">
        <f t="shared" si="3"/>
        <v>503.64596645899132</v>
      </c>
      <c r="G16">
        <f t="shared" si="4"/>
        <v>600</v>
      </c>
      <c r="H16">
        <f t="shared" si="5"/>
        <v>96.354033541008675</v>
      </c>
      <c r="I16">
        <f t="shared" si="6"/>
        <v>0.64214055667793057</v>
      </c>
    </row>
    <row r="17" spans="2:9">
      <c r="B17">
        <f t="shared" si="0"/>
        <v>9</v>
      </c>
      <c r="C17" s="39">
        <f>'Q3 data'!C14+0.5%</f>
        <v>6.2E-2</v>
      </c>
      <c r="D17" s="22">
        <f t="shared" si="1"/>
        <v>0.06</v>
      </c>
      <c r="E17" s="14">
        <f t="shared" si="2"/>
        <v>5.036459664589913E-2</v>
      </c>
      <c r="F17">
        <f t="shared" si="3"/>
        <v>503.64596645899132</v>
      </c>
      <c r="G17">
        <f t="shared" si="4"/>
        <v>600</v>
      </c>
      <c r="H17">
        <f t="shared" si="5"/>
        <v>96.354033541008675</v>
      </c>
      <c r="I17">
        <f t="shared" si="6"/>
        <v>0.60465212493213794</v>
      </c>
    </row>
    <row r="18" spans="2:9">
      <c r="B18">
        <f t="shared" si="0"/>
        <v>10</v>
      </c>
      <c r="C18" s="39">
        <f>'Q3 data'!C15+0.5%</f>
        <v>6.2E-2</v>
      </c>
      <c r="D18" s="22">
        <f t="shared" si="1"/>
        <v>0.06</v>
      </c>
      <c r="E18" s="14">
        <f t="shared" si="2"/>
        <v>5.036459664589913E-2</v>
      </c>
      <c r="F18">
        <f t="shared" si="3"/>
        <v>503.64596645899132</v>
      </c>
      <c r="G18">
        <f t="shared" si="4"/>
        <v>600</v>
      </c>
      <c r="H18">
        <f t="shared" si="5"/>
        <v>96.354033541008675</v>
      </c>
      <c r="I18">
        <f t="shared" si="6"/>
        <v>0.569352283363595</v>
      </c>
    </row>
  </sheetData>
  <pageMargins left="0.7" right="0.7" top="0.75" bottom="0.75" header="0.3" footer="0.3"/>
  <pageSetup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1BA59-13E4-47A3-B545-1A420ED5CD21}">
  <dimension ref="B3:E15"/>
  <sheetViews>
    <sheetView workbookViewId="0"/>
  </sheetViews>
  <sheetFormatPr defaultRowHeight="14.5"/>
  <cols>
    <col min="2" max="2" width="16.36328125" customWidth="1"/>
    <col min="3" max="3" width="14.453125" customWidth="1"/>
    <col min="5" max="5" width="4.54296875" customWidth="1"/>
  </cols>
  <sheetData>
    <row r="3" spans="2:5">
      <c r="D3" s="18" t="s">
        <v>50</v>
      </c>
    </row>
    <row r="4" spans="2:5">
      <c r="B4" t="s">
        <v>10</v>
      </c>
      <c r="D4" t="s">
        <v>49</v>
      </c>
    </row>
    <row r="5" spans="2:5">
      <c r="B5">
        <v>0</v>
      </c>
    </row>
    <row r="6" spans="2:5">
      <c r="B6">
        <v>1</v>
      </c>
      <c r="C6" s="14">
        <f>'Q3 data'!C6</f>
        <v>4.4999999999999998E-2</v>
      </c>
      <c r="D6" s="25">
        <f>((1+D5)^B5*(1+C6))^(1/B6)-1</f>
        <v>4.4999999999999929E-2</v>
      </c>
    </row>
    <row r="7" spans="2:5">
      <c r="B7">
        <v>2</v>
      </c>
      <c r="C7" s="14">
        <f>'Q3 data'!C7</f>
        <v>4.7500000000000001E-2</v>
      </c>
      <c r="D7" s="25">
        <f t="shared" ref="D7:D15" si="0">((1+D6)^B6*(1+C7))^(1/B7)-1</f>
        <v>4.6249253285277181E-2</v>
      </c>
      <c r="E7" s="43"/>
    </row>
    <row r="8" spans="2:5">
      <c r="B8">
        <v>3</v>
      </c>
      <c r="C8" s="14">
        <f>'Q3 data'!C8</f>
        <v>0.05</v>
      </c>
      <c r="D8" s="25">
        <f t="shared" si="0"/>
        <v>4.7498011133853213E-2</v>
      </c>
      <c r="E8" s="43"/>
    </row>
    <row r="9" spans="2:5">
      <c r="B9">
        <v>4</v>
      </c>
      <c r="C9" s="14">
        <f>'Q3 data'!C9</f>
        <v>5.2999999999999999E-2</v>
      </c>
      <c r="D9" s="25">
        <f t="shared" si="0"/>
        <v>4.8870807319316256E-2</v>
      </c>
      <c r="E9" s="43"/>
    </row>
    <row r="10" spans="2:5">
      <c r="B10">
        <v>5</v>
      </c>
      <c r="C10" s="14">
        <f>'Q3 data'!C10</f>
        <v>5.2999999999999999E-2</v>
      </c>
      <c r="D10" s="25">
        <f t="shared" si="0"/>
        <v>4.9695348454954491E-2</v>
      </c>
      <c r="E10" s="43"/>
    </row>
    <row r="11" spans="2:5">
      <c r="B11">
        <v>6</v>
      </c>
      <c r="C11" s="14">
        <f>'Q3 data'!C11</f>
        <v>5.2999999999999999E-2</v>
      </c>
      <c r="D11" s="25">
        <f t="shared" si="0"/>
        <v>5.0245402619762736E-2</v>
      </c>
      <c r="E11" s="43"/>
    </row>
    <row r="12" spans="2:5">
      <c r="B12">
        <v>7</v>
      </c>
      <c r="C12" s="14">
        <f>'Q3 data'!C12</f>
        <v>5.7000000000000002E-2</v>
      </c>
      <c r="D12" s="25">
        <f t="shared" si="0"/>
        <v>5.1207695939435416E-2</v>
      </c>
      <c r="E12" s="43"/>
    </row>
    <row r="13" spans="2:5">
      <c r="B13">
        <v>8</v>
      </c>
      <c r="C13" s="14">
        <f>'Q3 data'!C13</f>
        <v>5.7000000000000002E-2</v>
      </c>
      <c r="D13" s="25">
        <f t="shared" si="0"/>
        <v>5.1929994505059751E-2</v>
      </c>
      <c r="E13" s="43"/>
    </row>
    <row r="14" spans="2:5">
      <c r="B14">
        <v>9</v>
      </c>
      <c r="C14" s="14">
        <f>'Q3 data'!C14</f>
        <v>5.7000000000000002E-2</v>
      </c>
      <c r="D14" s="25">
        <f t="shared" si="0"/>
        <v>5.2492125382401778E-2</v>
      </c>
      <c r="E14" s="43"/>
    </row>
    <row r="15" spans="2:5">
      <c r="B15">
        <v>10</v>
      </c>
      <c r="C15" s="14">
        <f>'Q3 data'!C15</f>
        <v>5.7000000000000002E-2</v>
      </c>
      <c r="D15" s="25">
        <f t="shared" si="0"/>
        <v>5.2942046358652961E-2</v>
      </c>
      <c r="E15" s="43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Q1 data</vt:lpstr>
      <vt:lpstr>1 (i)</vt:lpstr>
      <vt:lpstr>1(ii)</vt:lpstr>
      <vt:lpstr>1(iii)</vt:lpstr>
      <vt:lpstr>Q2 data</vt:lpstr>
      <vt:lpstr>2(i)</vt:lpstr>
      <vt:lpstr>2(ii)</vt:lpstr>
      <vt:lpstr>2(iii)</vt:lpstr>
      <vt:lpstr>2(iv)</vt:lpstr>
      <vt:lpstr>Q3 data</vt:lpstr>
      <vt:lpstr>3(i)</vt:lpstr>
      <vt:lpstr>3(ii)</vt:lpstr>
      <vt:lpstr>3(iii)</vt:lpstr>
      <vt:lpstr>3(iv)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2021-12-18T12:03:50Z</dcterms:created>
  <dcterms:modified xsi:type="dcterms:W3CDTF">2022-04-14T06:01:19Z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47b247-e90e-43a3-9d7b-004f14ae6873_Enabled">
    <vt:lpwstr>true</vt:lpwstr>
  </property>
  <property fmtid="{D5CDD505-2E9C-101B-9397-08002B2CF9AE}" pid="3" name="MSIP_Label_d347b247-e90e-43a3-9d7b-004f14ae6873_SetDate">
    <vt:lpwstr>2022-02-16T13:23:34Z</vt:lpwstr>
  </property>
  <property fmtid="{D5CDD505-2E9C-101B-9397-08002B2CF9AE}" pid="4" name="MSIP_Label_d347b247-e90e-43a3-9d7b-004f14ae6873_Method">
    <vt:lpwstr>Standard</vt:lpwstr>
  </property>
  <property fmtid="{D5CDD505-2E9C-101B-9397-08002B2CF9AE}" pid="5" name="MSIP_Label_d347b247-e90e-43a3-9d7b-004f14ae6873_Name">
    <vt:lpwstr>d347b247-e90e-43a3-9d7b-004f14ae6873</vt:lpwstr>
  </property>
  <property fmtid="{D5CDD505-2E9C-101B-9397-08002B2CF9AE}" pid="6" name="MSIP_Label_d347b247-e90e-43a3-9d7b-004f14ae6873_SiteId">
    <vt:lpwstr>76e3921f-489b-4b7e-9547-9ea297add9b5</vt:lpwstr>
  </property>
  <property fmtid="{D5CDD505-2E9C-101B-9397-08002B2CF9AE}" pid="7" name="MSIP_Label_d347b247-e90e-43a3-9d7b-004f14ae6873_ActionId">
    <vt:lpwstr>fa010b68-e5c6-4ada-ac2a-26a099fe8422</vt:lpwstr>
  </property>
  <property fmtid="{D5CDD505-2E9C-101B-9397-08002B2CF9AE}" pid="8" name="MSIP_Label_d347b247-e90e-43a3-9d7b-004f14ae6873_ContentBits">
    <vt:lpwstr>0</vt:lpwstr>
  </property>
</Properties>
</file>