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filterPrivacy="1" defaultThemeVersion="124226"/>
  <xr:revisionPtr revIDLastSave="0" documentId="13_ncr:1_{F71E1C72-75D8-478E-9BE5-19E801E03D3B}" xr6:coauthVersionLast="47" xr6:coauthVersionMax="47" xr10:uidLastSave="{00000000-0000-0000-0000-000000000000}"/>
  <bookViews>
    <workbookView xWindow="-110" yWindow="-110" windowWidth="19420" windowHeight="10300" tabRatio="793" xr2:uid="{00000000-000D-0000-FFFF-FFFF00000000}"/>
  </bookViews>
  <sheets>
    <sheet name="Q.1 Data" sheetId="1" r:id="rId1"/>
    <sheet name="Q.1 (i)" sheetId="7" r:id="rId2"/>
    <sheet name="Q.1 (ii)" sheetId="4" r:id="rId3"/>
    <sheet name="Q.1 (iii)" sheetId="8" r:id="rId4"/>
    <sheet name="Q.2 Data" sheetId="9" r:id="rId5"/>
    <sheet name="Q.2 (i,ii)" sheetId="11" r:id="rId6"/>
    <sheet name="Q.3_Data" sheetId="12" r:id="rId7"/>
    <sheet name="Q.3 Solution" sheetId="14" r:id="rId8"/>
    <sheet name="Q.4_Data" sheetId="15" r:id="rId9"/>
    <sheet name="Q.4 (i,ii,iii)" sheetId="19" r:id="rId10"/>
    <sheet name="Q.4 (iv)" sheetId="16" r:id="rId11"/>
    <sheet name="Q.5 Data" sheetId="20" r:id="rId12"/>
    <sheet name="Q.5 (i) " sheetId="23" r:id="rId13"/>
    <sheet name="Q.5 (ii,iii)" sheetId="21" r:id="rId14"/>
  </sheets>
  <definedNames>
    <definedName name="alpha">'Q.1 Data'!#REF!</definedName>
    <definedName name="mu">'Q.1 Data'!#REF!</definedName>
    <definedName name="sigma">'Q.1 Data'!#REF!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6" l="1"/>
  <c r="N12" i="16"/>
  <c r="N13" i="16" s="1"/>
  <c r="M12" i="16"/>
  <c r="M13" i="16" s="1"/>
  <c r="L12" i="16"/>
  <c r="L13" i="16" s="1"/>
  <c r="K12" i="16"/>
  <c r="J12" i="16"/>
  <c r="J13" i="16" s="1"/>
  <c r="I12" i="16"/>
  <c r="I13" i="16" s="1"/>
  <c r="H12" i="16"/>
  <c r="H13" i="16" s="1"/>
  <c r="G12" i="16"/>
  <c r="G13" i="16" s="1"/>
  <c r="F12" i="16"/>
  <c r="F13" i="16" s="1"/>
  <c r="E12" i="16"/>
  <c r="E13" i="16" s="1"/>
  <c r="D12" i="16"/>
  <c r="D13" i="16" s="1"/>
  <c r="C12" i="16"/>
  <c r="C13" i="16" s="1"/>
  <c r="B5" i="14" l="1"/>
  <c r="B8" i="14" s="1"/>
  <c r="B9" i="14" s="1"/>
  <c r="F64" i="11"/>
  <c r="E64" i="11"/>
  <c r="E65" i="11"/>
  <c r="D64" i="11"/>
  <c r="D65" i="11"/>
  <c r="D66" i="11"/>
  <c r="E63" i="11"/>
  <c r="F63" i="11"/>
  <c r="G63" i="11"/>
  <c r="D63" i="11"/>
  <c r="F52" i="11"/>
  <c r="E52" i="11"/>
  <c r="E53" i="11"/>
  <c r="D52" i="11"/>
  <c r="D53" i="11"/>
  <c r="D54" i="11"/>
  <c r="G51" i="11"/>
  <c r="E51" i="11"/>
  <c r="F51" i="11"/>
  <c r="D51" i="11"/>
  <c r="E43" i="11"/>
  <c r="F42" i="11"/>
  <c r="E42" i="11"/>
  <c r="D43" i="11"/>
  <c r="D44" i="11"/>
  <c r="D42" i="11"/>
  <c r="G41" i="11"/>
  <c r="F41" i="11"/>
  <c r="E41" i="11"/>
  <c r="D41" i="11"/>
  <c r="C14" i="11"/>
  <c r="H17" i="21"/>
  <c r="J16" i="21"/>
  <c r="J17" i="21"/>
  <c r="I12" i="21"/>
  <c r="I11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2" i="21"/>
  <c r="F83" i="21"/>
  <c r="F84" i="21"/>
  <c r="F85" i="21"/>
  <c r="F86" i="21"/>
  <c r="F87" i="21"/>
  <c r="F88" i="21"/>
  <c r="F89" i="21"/>
  <c r="F90" i="21"/>
  <c r="F91" i="21"/>
  <c r="F92" i="21"/>
  <c r="F93" i="21"/>
  <c r="F94" i="21"/>
  <c r="F95" i="21"/>
  <c r="F96" i="21"/>
  <c r="F97" i="21"/>
  <c r="F98" i="21"/>
  <c r="F99" i="21"/>
  <c r="F100" i="21"/>
  <c r="F101" i="21"/>
  <c r="F102" i="21"/>
  <c r="F103" i="21"/>
  <c r="F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4" i="21"/>
  <c r="B7" i="21"/>
  <c r="B15" i="21"/>
  <c r="B14" i="21"/>
  <c r="B13" i="23"/>
  <c r="B7" i="23"/>
  <c r="B6" i="21"/>
  <c r="G5" i="23"/>
  <c r="G6" i="23"/>
  <c r="G7" i="23"/>
  <c r="G8" i="23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7" i="23"/>
  <c r="G48" i="23"/>
  <c r="G49" i="23"/>
  <c r="G50" i="23"/>
  <c r="G51" i="23"/>
  <c r="G52" i="23"/>
  <c r="G53" i="23"/>
  <c r="G54" i="23"/>
  <c r="G55" i="23"/>
  <c r="G56" i="23"/>
  <c r="G57" i="23"/>
  <c r="G58" i="23"/>
  <c r="G59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7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2" i="23"/>
  <c r="G103" i="23"/>
  <c r="G4" i="23"/>
  <c r="F5" i="23"/>
  <c r="F6" i="23"/>
  <c r="F7" i="23"/>
  <c r="F8" i="23"/>
  <c r="F9" i="23"/>
  <c r="F10" i="23"/>
  <c r="F11" i="23"/>
  <c r="F12" i="23"/>
  <c r="F13" i="23"/>
  <c r="F14" i="23"/>
  <c r="F15" i="23"/>
  <c r="F16" i="23"/>
  <c r="F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4" i="23"/>
  <c r="E5" i="23"/>
  <c r="E6" i="23"/>
  <c r="E7" i="23"/>
  <c r="E8" i="23"/>
  <c r="E9" i="23"/>
  <c r="E10" i="23"/>
  <c r="E11" i="23"/>
  <c r="E12" i="23"/>
  <c r="E13" i="23"/>
  <c r="E14" i="23"/>
  <c r="E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35" i="23"/>
  <c r="E36" i="23"/>
  <c r="E37" i="23"/>
  <c r="E38" i="23"/>
  <c r="E39" i="23"/>
  <c r="E40" i="23"/>
  <c r="E41" i="23"/>
  <c r="E42" i="23"/>
  <c r="E43" i="23"/>
  <c r="E44" i="23"/>
  <c r="E45" i="23"/>
  <c r="E46" i="23"/>
  <c r="E47" i="23"/>
  <c r="E48" i="23"/>
  <c r="E49" i="23"/>
  <c r="E50" i="23"/>
  <c r="E51" i="23"/>
  <c r="E52" i="23"/>
  <c r="E53" i="23"/>
  <c r="E54" i="23"/>
  <c r="E55" i="23"/>
  <c r="E56" i="23"/>
  <c r="E57" i="23"/>
  <c r="E58" i="23"/>
  <c r="E59" i="23"/>
  <c r="E60" i="23"/>
  <c r="E61" i="23"/>
  <c r="E62" i="23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E83" i="23"/>
  <c r="E84" i="23"/>
  <c r="E85" i="23"/>
  <c r="E86" i="23"/>
  <c r="E87" i="23"/>
  <c r="E88" i="23"/>
  <c r="E89" i="23"/>
  <c r="E90" i="23"/>
  <c r="E91" i="23"/>
  <c r="E92" i="23"/>
  <c r="E93" i="23"/>
  <c r="E94" i="23"/>
  <c r="E95" i="23"/>
  <c r="E96" i="23"/>
  <c r="E97" i="23"/>
  <c r="E98" i="23"/>
  <c r="E99" i="23"/>
  <c r="E100" i="23"/>
  <c r="E101" i="23"/>
  <c r="E102" i="23"/>
  <c r="E103" i="23"/>
  <c r="E4" i="23"/>
  <c r="S16" i="14" l="1"/>
  <c r="F19" i="14"/>
  <c r="F13" i="14"/>
  <c r="S15" i="14"/>
  <c r="F20" i="14"/>
  <c r="F18" i="14"/>
  <c r="S20" i="14"/>
  <c r="S14" i="14"/>
  <c r="S19" i="14"/>
  <c r="S13" i="14"/>
  <c r="F16" i="14"/>
  <c r="S18" i="14"/>
  <c r="F15" i="14"/>
  <c r="S17" i="14"/>
  <c r="F14" i="14"/>
  <c r="F17" i="14"/>
  <c r="B6" i="14"/>
  <c r="N16" i="16"/>
  <c r="M16" i="16"/>
  <c r="L16" i="16"/>
  <c r="K16" i="16"/>
  <c r="J15" i="16"/>
  <c r="I15" i="16"/>
  <c r="H15" i="16"/>
  <c r="G15" i="16"/>
  <c r="F16" i="16"/>
  <c r="E16" i="16"/>
  <c r="D16" i="16"/>
  <c r="C16" i="16"/>
  <c r="C30" i="19"/>
  <c r="C12" i="19"/>
  <c r="C15" i="19" s="1"/>
  <c r="C8" i="19"/>
  <c r="E20" i="14" l="1"/>
  <c r="G19" i="14"/>
  <c r="Q17" i="14"/>
  <c r="E14" i="14"/>
  <c r="G13" i="14"/>
  <c r="R17" i="14"/>
  <c r="D20" i="14"/>
  <c r="R16" i="14"/>
  <c r="T15" i="14"/>
  <c r="D14" i="14"/>
  <c r="G18" i="14"/>
  <c r="Q16" i="14"/>
  <c r="E13" i="14"/>
  <c r="E19" i="14"/>
  <c r="T20" i="14"/>
  <c r="U20" i="14" s="1"/>
  <c r="D19" i="14"/>
  <c r="R15" i="14"/>
  <c r="T14" i="14"/>
  <c r="U14" i="14" s="1"/>
  <c r="D13" i="14"/>
  <c r="E18" i="14"/>
  <c r="G17" i="14"/>
  <c r="H17" i="14" s="1"/>
  <c r="I17" i="14" s="1"/>
  <c r="J17" i="14" s="1"/>
  <c r="Q15" i="14"/>
  <c r="R14" i="14"/>
  <c r="T13" i="14"/>
  <c r="Q20" i="14"/>
  <c r="E17" i="14"/>
  <c r="G16" i="14"/>
  <c r="Q14" i="14"/>
  <c r="R19" i="14"/>
  <c r="T18" i="14"/>
  <c r="U18" i="14" s="1"/>
  <c r="V18" i="14" s="1"/>
  <c r="W18" i="14" s="1"/>
  <c r="D17" i="14"/>
  <c r="R13" i="14"/>
  <c r="Q19" i="14"/>
  <c r="E16" i="14"/>
  <c r="G15" i="14"/>
  <c r="H15" i="14" s="1"/>
  <c r="I15" i="14" s="1"/>
  <c r="J15" i="14" s="1"/>
  <c r="Q13" i="14"/>
  <c r="R18" i="14"/>
  <c r="T17" i="14"/>
  <c r="D16" i="14"/>
  <c r="G20" i="14"/>
  <c r="Q18" i="14"/>
  <c r="E15" i="14"/>
  <c r="G14" i="14"/>
  <c r="T16" i="14"/>
  <c r="D15" i="14"/>
  <c r="R20" i="14"/>
  <c r="T19" i="14"/>
  <c r="U19" i="14" s="1"/>
  <c r="V19" i="14" s="1"/>
  <c r="W19" i="14" s="1"/>
  <c r="D18" i="14"/>
  <c r="G16" i="16"/>
  <c r="G19" i="16" s="1"/>
  <c r="G20" i="16" s="1"/>
  <c r="C15" i="16"/>
  <c r="C19" i="16" s="1"/>
  <c r="C20" i="16" s="1"/>
  <c r="K15" i="16"/>
  <c r="K19" i="16" s="1"/>
  <c r="K20" i="16" s="1"/>
  <c r="H16" i="16"/>
  <c r="H19" i="16" s="1"/>
  <c r="H20" i="16" s="1"/>
  <c r="D15" i="16"/>
  <c r="D19" i="16" s="1"/>
  <c r="D20" i="16" s="1"/>
  <c r="L15" i="16"/>
  <c r="L19" i="16" s="1"/>
  <c r="L20" i="16" s="1"/>
  <c r="I16" i="16"/>
  <c r="I19" i="16" s="1"/>
  <c r="I20" i="16" s="1"/>
  <c r="E15" i="16"/>
  <c r="E19" i="16" s="1"/>
  <c r="E20" i="16" s="1"/>
  <c r="M15" i="16"/>
  <c r="M19" i="16" s="1"/>
  <c r="M20" i="16" s="1"/>
  <c r="J16" i="16"/>
  <c r="J19" i="16" s="1"/>
  <c r="J20" i="16" s="1"/>
  <c r="F15" i="16"/>
  <c r="F19" i="16" s="1"/>
  <c r="F20" i="16" s="1"/>
  <c r="N15" i="16"/>
  <c r="N19" i="16" s="1"/>
  <c r="N20" i="16" s="1"/>
  <c r="C13" i="19"/>
  <c r="C16" i="19" s="1"/>
  <c r="C19" i="19" s="1"/>
  <c r="U13" i="14" l="1"/>
  <c r="V13" i="14" s="1"/>
  <c r="W13" i="14" s="1"/>
  <c r="H18" i="14"/>
  <c r="I18" i="14" s="1"/>
  <c r="J18" i="14" s="1"/>
  <c r="U15" i="14"/>
  <c r="V15" i="14" s="1"/>
  <c r="W15" i="14" s="1"/>
  <c r="U16" i="14"/>
  <c r="V16" i="14" s="1"/>
  <c r="W16" i="14" s="1"/>
  <c r="H14" i="14"/>
  <c r="I14" i="14" s="1"/>
  <c r="J14" i="14" s="1"/>
  <c r="V14" i="14"/>
  <c r="W14" i="14" s="1"/>
  <c r="H13" i="14"/>
  <c r="I13" i="14" s="1"/>
  <c r="J13" i="14" s="1"/>
  <c r="V20" i="14"/>
  <c r="W20" i="14" s="1"/>
  <c r="H19" i="14"/>
  <c r="I19" i="14" s="1"/>
  <c r="J19" i="14" s="1"/>
  <c r="H20" i="14"/>
  <c r="I20" i="14" s="1"/>
  <c r="J20" i="14" s="1"/>
  <c r="H16" i="14"/>
  <c r="I16" i="14" s="1"/>
  <c r="J16" i="14" s="1"/>
  <c r="U17" i="14"/>
  <c r="V17" i="14" s="1"/>
  <c r="W17" i="14" s="1"/>
  <c r="C23" i="19"/>
  <c r="C57" i="11" l="1"/>
  <c r="G52" i="11"/>
  <c r="G53" i="11" s="1"/>
  <c r="C15" i="11"/>
  <c r="C16" i="11" s="1"/>
  <c r="G6" i="11"/>
  <c r="F7" i="11"/>
  <c r="F6" i="11"/>
  <c r="E7" i="11"/>
  <c r="E8" i="11"/>
  <c r="E6" i="11"/>
  <c r="D7" i="11"/>
  <c r="G7" i="11"/>
  <c r="D8" i="11"/>
  <c r="F8" i="11"/>
  <c r="G8" i="11"/>
  <c r="D9" i="11"/>
  <c r="F9" i="11"/>
  <c r="G9" i="11"/>
  <c r="D6" i="11"/>
  <c r="C58" i="11" l="1"/>
  <c r="C59" i="11"/>
  <c r="E23" i="11"/>
  <c r="D23" i="11"/>
  <c r="D32" i="11" s="1"/>
  <c r="F22" i="11"/>
  <c r="E22" i="11"/>
  <c r="D22" i="11"/>
  <c r="D24" i="11"/>
  <c r="D33" i="11" s="1"/>
  <c r="G54" i="11"/>
  <c r="E33" i="11" l="1"/>
  <c r="E32" i="11"/>
  <c r="E31" i="11"/>
  <c r="D31" i="11"/>
  <c r="F31" i="11" l="1"/>
  <c r="F32" i="11"/>
  <c r="M13" i="8"/>
  <c r="O13" i="8" s="1"/>
  <c r="J13" i="8" s="1"/>
  <c r="J17" i="8"/>
  <c r="F22" i="8"/>
  <c r="J15" i="8"/>
  <c r="H5" i="8"/>
  <c r="H4" i="8"/>
  <c r="G15" i="4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14" i="4"/>
  <c r="G13" i="4"/>
  <c r="Y28" i="7"/>
  <c r="U22" i="7"/>
  <c r="U23" i="7"/>
  <c r="U24" i="7"/>
  <c r="U25" i="7"/>
  <c r="U26" i="7"/>
  <c r="U27" i="7"/>
  <c r="U28" i="7"/>
  <c r="U29" i="7"/>
  <c r="U30" i="7"/>
  <c r="U31" i="7"/>
  <c r="U32" i="7"/>
  <c r="U21" i="7"/>
  <c r="V22" i="7" s="1"/>
  <c r="V23" i="7" s="1"/>
  <c r="V24" i="7" s="1"/>
  <c r="V25" i="7" s="1"/>
  <c r="V26" i="7" s="1"/>
  <c r="S22" i="7"/>
  <c r="S23" i="7"/>
  <c r="S24" i="7"/>
  <c r="S25" i="7"/>
  <c r="S26" i="7"/>
  <c r="S27" i="7"/>
  <c r="S28" i="7"/>
  <c r="S29" i="7"/>
  <c r="S30" i="7"/>
  <c r="S31" i="7"/>
  <c r="S32" i="7"/>
  <c r="S33" i="7"/>
  <c r="S21" i="7"/>
  <c r="T22" i="7"/>
  <c r="T23" i="7" s="1"/>
  <c r="T24" i="7" s="1"/>
  <c r="T25" i="7" s="1"/>
  <c r="T26" i="7" s="1"/>
  <c r="T27" i="7" s="1"/>
  <c r="T28" i="7" s="1"/>
  <c r="T29" i="7" s="1"/>
  <c r="T30" i="7" s="1"/>
  <c r="T31" i="7" s="1"/>
  <c r="T32" i="7" s="1"/>
  <c r="T33" i="7" s="1"/>
  <c r="G14" i="7"/>
  <c r="F14" i="7"/>
  <c r="G15" i="7" s="1"/>
  <c r="G16" i="7" s="1"/>
  <c r="G17" i="7" s="1"/>
  <c r="G18" i="7" s="1"/>
  <c r="G19" i="7" s="1"/>
  <c r="G20" i="7" s="1"/>
  <c r="G21" i="7" s="1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13" i="7"/>
  <c r="G31" i="11" l="1"/>
  <c r="J19" i="8"/>
  <c r="J22" i="8" s="1"/>
  <c r="J24" i="8" s="1"/>
  <c r="J26" i="8" s="1"/>
  <c r="J21" i="8"/>
  <c r="F13" i="8"/>
  <c r="F21" i="8" s="1"/>
  <c r="F24" i="8" s="1"/>
  <c r="F26" i="8" s="1"/>
  <c r="V27" i="7"/>
  <c r="V28" i="7" s="1"/>
  <c r="V29" i="7" s="1"/>
  <c r="V30" i="7" s="1"/>
  <c r="V31" i="7" s="1"/>
  <c r="V32" i="7" s="1"/>
  <c r="V33" i="7" s="1"/>
  <c r="Y33" i="7"/>
  <c r="G22" i="7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J14" i="7" s="1"/>
  <c r="J18" i="7" s="1"/>
  <c r="G64" i="11" l="1"/>
  <c r="C69" i="11"/>
  <c r="G65" i="11"/>
  <c r="C71" i="11" s="1"/>
  <c r="C70" i="11"/>
  <c r="D5" i="23"/>
  <c r="D6" i="23" s="1"/>
  <c r="D7" i="23" s="1"/>
  <c r="D8" i="23" s="1"/>
  <c r="D9" i="23" s="1"/>
  <c r="D10" i="23" s="1"/>
  <c r="D11" i="23" s="1"/>
  <c r="D12" i="23" s="1"/>
  <c r="D13" i="23" s="1"/>
  <c r="D14" i="23" s="1"/>
  <c r="D15" i="23" s="1"/>
  <c r="D16" i="23" s="1"/>
  <c r="D17" i="23" s="1"/>
  <c r="D18" i="23" s="1"/>
  <c r="D19" i="23" s="1"/>
  <c r="D20" i="23" s="1"/>
  <c r="D21" i="23" s="1"/>
  <c r="D22" i="23" s="1"/>
  <c r="D23" i="23" s="1"/>
  <c r="D24" i="23" s="1"/>
  <c r="D25" i="23" s="1"/>
  <c r="D26" i="23" s="1"/>
  <c r="D27" i="23" s="1"/>
  <c r="D28" i="23" s="1"/>
  <c r="D29" i="23" s="1"/>
  <c r="D30" i="23" s="1"/>
  <c r="D31" i="23" s="1"/>
  <c r="D32" i="23" s="1"/>
  <c r="D33" i="23" s="1"/>
  <c r="D34" i="23" s="1"/>
  <c r="D35" i="23" s="1"/>
  <c r="D36" i="23" s="1"/>
  <c r="D37" i="23" s="1"/>
  <c r="D38" i="23" s="1"/>
  <c r="D39" i="23" s="1"/>
  <c r="D40" i="23" s="1"/>
  <c r="D41" i="23" s="1"/>
  <c r="D42" i="23" s="1"/>
  <c r="D43" i="23" s="1"/>
  <c r="D44" i="23" s="1"/>
  <c r="D45" i="23" s="1"/>
  <c r="D46" i="23" s="1"/>
  <c r="D47" i="23" s="1"/>
  <c r="D48" i="23" s="1"/>
  <c r="D49" i="23" s="1"/>
  <c r="D50" i="23" s="1"/>
  <c r="D51" i="23" s="1"/>
  <c r="D52" i="23" s="1"/>
  <c r="D53" i="23" s="1"/>
  <c r="D54" i="23" s="1"/>
  <c r="D55" i="23" s="1"/>
  <c r="D56" i="23" s="1"/>
  <c r="D57" i="23" s="1"/>
  <c r="D58" i="23" s="1"/>
  <c r="D59" i="23" s="1"/>
  <c r="D60" i="23" s="1"/>
  <c r="D61" i="23" s="1"/>
  <c r="D62" i="23" s="1"/>
  <c r="D63" i="23" s="1"/>
  <c r="D64" i="23" s="1"/>
  <c r="D65" i="23" s="1"/>
  <c r="D66" i="23" s="1"/>
  <c r="D67" i="23" s="1"/>
  <c r="D68" i="23" s="1"/>
  <c r="D69" i="23" s="1"/>
  <c r="D70" i="23" s="1"/>
  <c r="D71" i="23" s="1"/>
  <c r="D72" i="23" s="1"/>
  <c r="D73" i="23" s="1"/>
  <c r="D74" i="23" s="1"/>
  <c r="D75" i="23" s="1"/>
  <c r="D76" i="23" s="1"/>
  <c r="D77" i="23" s="1"/>
  <c r="D78" i="23" s="1"/>
  <c r="D79" i="23" s="1"/>
  <c r="D80" i="23" s="1"/>
  <c r="D81" i="23" s="1"/>
  <c r="D82" i="23" s="1"/>
  <c r="D83" i="23" s="1"/>
  <c r="D84" i="23" s="1"/>
  <c r="D85" i="23" s="1"/>
  <c r="D86" i="23" s="1"/>
  <c r="D87" i="23" s="1"/>
  <c r="D88" i="23" s="1"/>
  <c r="D89" i="23" s="1"/>
  <c r="D90" i="23" s="1"/>
  <c r="D91" i="23" s="1"/>
  <c r="D92" i="23" s="1"/>
  <c r="D93" i="23" s="1"/>
  <c r="D94" i="23" s="1"/>
  <c r="D95" i="23" s="1"/>
  <c r="D96" i="23" s="1"/>
  <c r="D97" i="23" s="1"/>
  <c r="D98" i="23" s="1"/>
  <c r="D99" i="23" s="1"/>
  <c r="D100" i="23" s="1"/>
  <c r="D101" i="23" s="1"/>
  <c r="D102" i="23" s="1"/>
  <c r="D103" i="23" s="1"/>
  <c r="H16" i="21"/>
  <c r="H12" i="21"/>
  <c r="H11" i="21"/>
  <c r="D5" i="21"/>
  <c r="D6" i="21" s="1"/>
  <c r="D7" i="21" s="1"/>
  <c r="D8" i="21" s="1"/>
  <c r="D9" i="21" s="1"/>
  <c r="D10" i="21" s="1"/>
  <c r="D11" i="21" s="1"/>
  <c r="D12" i="21" s="1"/>
  <c r="D13" i="21" s="1"/>
  <c r="D14" i="21" s="1"/>
  <c r="D15" i="21" s="1"/>
  <c r="D16" i="21" s="1"/>
  <c r="D17" i="21" s="1"/>
  <c r="D18" i="21" s="1"/>
  <c r="D19" i="21" s="1"/>
  <c r="D20" i="21" s="1"/>
  <c r="D21" i="21" s="1"/>
  <c r="D22" i="21" s="1"/>
  <c r="D23" i="21" s="1"/>
  <c r="D24" i="21" s="1"/>
  <c r="D25" i="21" s="1"/>
  <c r="D26" i="21" s="1"/>
  <c r="D27" i="21" s="1"/>
  <c r="D28" i="21" s="1"/>
  <c r="D29" i="21" s="1"/>
  <c r="D30" i="21" s="1"/>
  <c r="D31" i="21" s="1"/>
  <c r="D32" i="21" s="1"/>
  <c r="D33" i="21" s="1"/>
  <c r="D34" i="21" s="1"/>
  <c r="D35" i="21" s="1"/>
  <c r="D36" i="21" s="1"/>
  <c r="D37" i="21" s="1"/>
  <c r="D38" i="21" s="1"/>
  <c r="D39" i="21" s="1"/>
  <c r="D40" i="21" s="1"/>
  <c r="D41" i="21" s="1"/>
  <c r="D42" i="21" s="1"/>
  <c r="D43" i="21" s="1"/>
  <c r="D44" i="21" s="1"/>
  <c r="D45" i="21" s="1"/>
  <c r="D46" i="21" s="1"/>
  <c r="D47" i="21" s="1"/>
  <c r="D48" i="21" s="1"/>
  <c r="D49" i="21" s="1"/>
  <c r="D50" i="21" s="1"/>
  <c r="D51" i="21" s="1"/>
  <c r="D52" i="21" s="1"/>
  <c r="D53" i="21" s="1"/>
  <c r="D54" i="21" s="1"/>
  <c r="D55" i="21" s="1"/>
  <c r="D56" i="21" s="1"/>
  <c r="D57" i="21" s="1"/>
  <c r="D58" i="21" s="1"/>
  <c r="D59" i="21" s="1"/>
  <c r="D60" i="21" s="1"/>
  <c r="D61" i="21" s="1"/>
  <c r="D62" i="21" s="1"/>
  <c r="D63" i="21" s="1"/>
  <c r="D64" i="21" s="1"/>
  <c r="D65" i="21" s="1"/>
  <c r="D66" i="21" s="1"/>
  <c r="D67" i="21" s="1"/>
  <c r="D68" i="21" s="1"/>
  <c r="D69" i="21" s="1"/>
  <c r="D70" i="21" s="1"/>
  <c r="D71" i="21" s="1"/>
  <c r="D72" i="21" s="1"/>
  <c r="D73" i="21" s="1"/>
  <c r="D74" i="21" s="1"/>
  <c r="D75" i="21" s="1"/>
  <c r="D76" i="21" s="1"/>
  <c r="D77" i="21" s="1"/>
  <c r="D78" i="21" s="1"/>
  <c r="D79" i="21" s="1"/>
  <c r="D80" i="21" s="1"/>
  <c r="D81" i="21" s="1"/>
  <c r="D82" i="21" s="1"/>
  <c r="D83" i="21" s="1"/>
  <c r="D84" i="21" s="1"/>
  <c r="D85" i="21" s="1"/>
  <c r="D86" i="21" s="1"/>
  <c r="D87" i="21" s="1"/>
  <c r="D88" i="21" s="1"/>
  <c r="D89" i="21" s="1"/>
  <c r="D90" i="21" s="1"/>
  <c r="D91" i="21" s="1"/>
  <c r="D92" i="21" s="1"/>
  <c r="D93" i="21" s="1"/>
  <c r="D94" i="21" s="1"/>
  <c r="D95" i="21" s="1"/>
  <c r="D96" i="21" s="1"/>
  <c r="D97" i="21" s="1"/>
  <c r="D98" i="21" s="1"/>
  <c r="D99" i="21" s="1"/>
  <c r="D100" i="21" s="1"/>
  <c r="D101" i="21" s="1"/>
  <c r="D102" i="21" s="1"/>
  <c r="D103" i="21" s="1"/>
  <c r="A5" i="20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G66" i="11" l="1"/>
  <c r="G73" i="11" s="1"/>
  <c r="E76" i="11" s="1"/>
  <c r="E14" i="4" l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F9" i="1" l="1"/>
  <c r="F10" i="1" l="1"/>
  <c r="E14" i="7"/>
  <c r="H14" i="7" s="1"/>
  <c r="F11" i="1" l="1"/>
  <c r="E15" i="7"/>
  <c r="H15" i="7" s="1"/>
  <c r="F12" i="1" l="1"/>
  <c r="E16" i="7"/>
  <c r="H16" i="7" s="1"/>
  <c r="F13" i="1" l="1"/>
  <c r="E17" i="7"/>
  <c r="H17" i="7" s="1"/>
  <c r="F14" i="1" l="1"/>
  <c r="E18" i="7"/>
  <c r="H18" i="7" s="1"/>
  <c r="F15" i="1" l="1"/>
  <c r="E19" i="7"/>
  <c r="H19" i="7" s="1"/>
  <c r="F16" i="1" l="1"/>
  <c r="E20" i="7"/>
  <c r="H20" i="7" s="1"/>
  <c r="F17" i="1" l="1"/>
  <c r="E21" i="7"/>
  <c r="H21" i="7" s="1"/>
  <c r="F18" i="1" l="1"/>
  <c r="E22" i="7"/>
  <c r="H22" i="7" s="1"/>
  <c r="F19" i="1" l="1"/>
  <c r="E23" i="7"/>
  <c r="H23" i="7" s="1"/>
  <c r="F20" i="1" l="1"/>
  <c r="E24" i="7"/>
  <c r="H24" i="7" l="1"/>
  <c r="F21" i="1"/>
  <c r="E25" i="7"/>
  <c r="H25" i="7" l="1"/>
  <c r="F22" i="1"/>
  <c r="E26" i="7"/>
  <c r="H26" i="7" l="1"/>
  <c r="F23" i="1"/>
  <c r="E27" i="7"/>
  <c r="H27" i="7" l="1"/>
  <c r="F24" i="1"/>
  <c r="E28" i="7"/>
  <c r="H28" i="7" l="1"/>
  <c r="F25" i="1"/>
  <c r="E29" i="7"/>
  <c r="H29" i="7" l="1"/>
  <c r="F26" i="1"/>
  <c r="E30" i="7"/>
  <c r="H30" i="7" l="1"/>
  <c r="F27" i="1"/>
  <c r="E31" i="7"/>
  <c r="H31" i="7" l="1"/>
  <c r="F28" i="1"/>
  <c r="E33" i="7" s="1"/>
  <c r="E32" i="7"/>
  <c r="H33" i="7" l="1"/>
  <c r="H32" i="7"/>
</calcChain>
</file>

<file path=xl/sharedStrings.xml><?xml version="1.0" encoding="utf-8"?>
<sst xmlns="http://schemas.openxmlformats.org/spreadsheetml/2006/main" count="237" uniqueCount="150">
  <si>
    <t>spot rate</t>
  </si>
  <si>
    <t>year</t>
  </si>
  <si>
    <t>random variables : uniform distribution</t>
  </si>
  <si>
    <t>forward rate</t>
  </si>
  <si>
    <t>i</t>
  </si>
  <si>
    <t>2nd investor</t>
  </si>
  <si>
    <t>1st investor</t>
  </si>
  <si>
    <t>units purchased</t>
  </si>
  <si>
    <t>t</t>
  </si>
  <si>
    <t>1 + FR</t>
  </si>
  <si>
    <t>alpha</t>
  </si>
  <si>
    <t>Mu</t>
  </si>
  <si>
    <t>vol</t>
  </si>
  <si>
    <t>initial spread</t>
  </si>
  <si>
    <t>Credit spread</t>
  </si>
  <si>
    <t>time</t>
  </si>
  <si>
    <t>Prod (1+ FR)</t>
  </si>
  <si>
    <t xml:space="preserve">Face value </t>
  </si>
  <si>
    <t>Price</t>
  </si>
  <si>
    <t>GRY</t>
  </si>
  <si>
    <t>Spread at time 8</t>
  </si>
  <si>
    <t>Expected yield on corp bond</t>
  </si>
  <si>
    <t>price at which purcahsed at time 0</t>
  </si>
  <si>
    <t>spread</t>
  </si>
  <si>
    <t>GRY of Corp bond at time 0</t>
  </si>
  <si>
    <t>price at which bond was sold at time 8</t>
  </si>
  <si>
    <t>price of gsec at time 8</t>
  </si>
  <si>
    <t>GRY of Govt bond at time 0</t>
  </si>
  <si>
    <t>IRR inv 2</t>
  </si>
  <si>
    <t>IRR inv 1</t>
  </si>
  <si>
    <t>Cumulative incurred claims (Rs 000)</t>
  </si>
  <si>
    <t>Development Year</t>
  </si>
  <si>
    <t>Accident year</t>
  </si>
  <si>
    <t>Cumulative no.of reported claims (Rs 000)</t>
  </si>
  <si>
    <t>Inflation rates over the 12 month upto the middle of the given year are :</t>
  </si>
  <si>
    <t>Year</t>
  </si>
  <si>
    <t>Assumptions</t>
  </si>
  <si>
    <t>total outstanding amount</t>
  </si>
  <si>
    <t xml:space="preserve">The claims paid to date </t>
  </si>
  <si>
    <t>Ultimate claim incurred amount from accident years</t>
  </si>
  <si>
    <t>0 to 3</t>
  </si>
  <si>
    <t>1 to 3</t>
  </si>
  <si>
    <t>2 to 3</t>
  </si>
  <si>
    <t>Development Factors</t>
  </si>
  <si>
    <t>Cumulative average incurred cost per claim (Rs 000)</t>
  </si>
  <si>
    <t>Cumulative average incurred claims (Rs 000)</t>
  </si>
  <si>
    <t>Step 6</t>
  </si>
  <si>
    <t>Calculate cumulative average incurred cost per claim by year of accident and reporting development</t>
  </si>
  <si>
    <t>Step 5</t>
  </si>
  <si>
    <t>Inflation adjusted</t>
  </si>
  <si>
    <t>Step 4</t>
  </si>
  <si>
    <t>Step 3</t>
  </si>
  <si>
    <t>Index</t>
  </si>
  <si>
    <t>Step 2</t>
  </si>
  <si>
    <t>Step 1</t>
  </si>
  <si>
    <t>Incremental Cashflow</t>
  </si>
  <si>
    <t>Offers by reinsurs</t>
  </si>
  <si>
    <t>Name of re-insurer</t>
  </si>
  <si>
    <t>% of loss to be re-insured</t>
  </si>
  <si>
    <t>Loading used by re-insurer</t>
  </si>
  <si>
    <t>x</t>
  </si>
  <si>
    <t>y</t>
  </si>
  <si>
    <t>z</t>
  </si>
  <si>
    <t>a</t>
  </si>
  <si>
    <t>b</t>
  </si>
  <si>
    <t>c</t>
  </si>
  <si>
    <t>d</t>
  </si>
  <si>
    <t>e</t>
  </si>
  <si>
    <t>α</t>
  </si>
  <si>
    <t>λ</t>
  </si>
  <si>
    <t>k</t>
  </si>
  <si>
    <t>Insurer loading</t>
  </si>
  <si>
    <t>Expected Claim amount E(X)</t>
  </si>
  <si>
    <t>Expected agregrte claims E(S)</t>
  </si>
  <si>
    <t>E (X^2)</t>
  </si>
  <si>
    <t>Var (S)</t>
  </si>
  <si>
    <t>Re-insurance prem of expected claims p'</t>
  </si>
  <si>
    <t>Insurer's expected claims after re-insurance</t>
  </si>
  <si>
    <t>Insurer's Variance after reinsurance</t>
  </si>
  <si>
    <t>Insurer expected premium</t>
  </si>
  <si>
    <t>Balance prem with insurer after re-insurance</t>
  </si>
  <si>
    <t>Mean</t>
  </si>
  <si>
    <t>Capital</t>
  </si>
  <si>
    <t>condition of ruin is p(S' &gt; u + 1.20 E(S) - P') =0.02</t>
  </si>
  <si>
    <t xml:space="preserve">American Call </t>
  </si>
  <si>
    <t>European Put</t>
  </si>
  <si>
    <t>European Call</t>
  </si>
  <si>
    <t>N(d2)</t>
  </si>
  <si>
    <t>N(d1)</t>
  </si>
  <si>
    <t xml:space="preserve">d2 </t>
  </si>
  <si>
    <t xml:space="preserve">d1 </t>
  </si>
  <si>
    <t>T</t>
  </si>
  <si>
    <t>sigma</t>
  </si>
  <si>
    <t>r</t>
  </si>
  <si>
    <t>K</t>
  </si>
  <si>
    <t>S</t>
  </si>
  <si>
    <t>Data</t>
  </si>
  <si>
    <t>month</t>
  </si>
  <si>
    <t xml:space="preserve">Extending calculation for 12 months </t>
  </si>
  <si>
    <t>Explanation</t>
  </si>
  <si>
    <t>Graph</t>
  </si>
  <si>
    <t>Normal Distribution X</t>
  </si>
  <si>
    <t>Sno.</t>
  </si>
  <si>
    <t>Uniform RVs</t>
  </si>
  <si>
    <t>Distribution X</t>
  </si>
  <si>
    <t>Distribution Y</t>
  </si>
  <si>
    <t>SD</t>
  </si>
  <si>
    <t>Normal Distribuiton Y</t>
  </si>
  <si>
    <t xml:space="preserve">SD </t>
  </si>
  <si>
    <t xml:space="preserve">Probability </t>
  </si>
  <si>
    <t>X</t>
  </si>
  <si>
    <t>Y</t>
  </si>
  <si>
    <t>Distribution R</t>
  </si>
  <si>
    <t xml:space="preserve">Shortfall probabilities </t>
  </si>
  <si>
    <t>From Simulation</t>
  </si>
  <si>
    <t>Benchmark</t>
  </si>
  <si>
    <t>Prob</t>
  </si>
  <si>
    <t>Benchmarks</t>
  </si>
  <si>
    <t>From formula</t>
  </si>
  <si>
    <t>P(S&lt;0)</t>
  </si>
  <si>
    <t>Solution 5 (ii)</t>
  </si>
  <si>
    <t>Sol 5iii</t>
  </si>
  <si>
    <t>at time 8 , 12 year ZC bond would be valued as per term structure at time 8</t>
  </si>
  <si>
    <t>OR</t>
  </si>
  <si>
    <t>time from 0</t>
  </si>
  <si>
    <t>Claim incurred in the first accident year are fully runn off</t>
  </si>
  <si>
    <t>For each accident year, the number of reported claims in each development year, is a constant proportion of the total for that accident year</t>
  </si>
  <si>
    <t>For each accident year the average incurred cost per claim in monetary terms in each development year, is a constant proportion of the total claims incurred in monetary terms for that accident year</t>
  </si>
  <si>
    <t xml:space="preserve">For a non-dividend paying stock, price of an American call and European call are the same. </t>
  </si>
  <si>
    <t>Month</t>
  </si>
  <si>
    <t>Alternative Solution</t>
  </si>
  <si>
    <t>=SQRT(VAR)</t>
  </si>
  <si>
    <t>VAR</t>
  </si>
  <si>
    <t xml:space="preserve"> VAR (R)</t>
  </si>
  <si>
    <t>=E(R^2)-(E(R))^2</t>
  </si>
  <si>
    <t>Mean E(R)=</t>
  </si>
  <si>
    <t>E(R^2)</t>
  </si>
  <si>
    <t>=E(0.75X+0.25Y)^2</t>
  </si>
  <si>
    <t>=0.75^2*E(X^2)+0.25^2*E(Y^2)+2*0.75*0.25*E(X)*E(Y)</t>
  </si>
  <si>
    <t>=0.75^2* (Var(X)+(E(x))^2)+0.25^2*(Var(Y)+(E(Y)^2))+0</t>
  </si>
  <si>
    <t>=0.75^2*Var(X)+0.25^2*((VAR(Y)+E(Y)^2)</t>
  </si>
  <si>
    <t>VAR(R)</t>
  </si>
  <si>
    <t>4.(i)</t>
  </si>
  <si>
    <t>4.(ii)</t>
  </si>
  <si>
    <t>4.(iii)</t>
  </si>
  <si>
    <t>claims per year</t>
  </si>
  <si>
    <t>Marks</t>
  </si>
  <si>
    <t>Probability of ruin</t>
  </si>
  <si>
    <t xml:space="preserve">No reinsurer is proving beneficial for the insurer as capital requirement increased after taking reinsurance. </t>
  </si>
  <si>
    <t>Insurer should decide based on its risk taking capacity how much would it like to ced . 
The re-insurer should be evaluated based on the credit risk, services offered and their expertise.
Regulatory requirement should be complied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</si>
</sst>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.00_);_(* \(#,##0.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0.000000"/>
    <numFmt numFmtId="168" formatCode="0.000%"/>
    <numFmt numFmtId="169" formatCode="_ * #,##0.000_ ;_ * \-#,##0.000_ ;_ * &quot;-&quot;??_ ;_ @_ "/>
    <numFmt numFmtId="170" formatCode="0.000"/>
    <numFmt numFmtId="171" formatCode="_(* #,##0.000_);_(* \(#,##0.000\);_(* &quot;-&quot;??_);_(@_)"/>
    <numFmt numFmtId="172" formatCode="0.0000"/>
    <numFmt numFmtId="173" formatCode="_(* #,##0_);_(* \(#,##0\);_(* &quot;-&quot;??_);_(@_)"/>
    <numFmt numFmtId="174" formatCode="0.00000"/>
    <numFmt numFmtId="175" formatCode="_(* #,##0.0000_);_(* \(#,##0.0000\);_(* &quot;-&quot;????_);_(@_)"/>
    <numFmt numFmtId="176" formatCode="_ * #,##0.0000_ ;_ * \-#,##0.0000_ ;_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SwissReSans"/>
      <family val="2"/>
    </font>
    <font>
      <b/>
      <sz val="11"/>
      <color theme="1"/>
      <name val="SwissReSans"/>
      <family val="2"/>
    </font>
    <font>
      <i/>
      <sz val="11"/>
      <color theme="1"/>
      <name val="SwissReSans"/>
      <family val="2"/>
    </font>
    <font>
      <sz val="18"/>
      <color theme="1"/>
      <name val="Calibri"/>
      <family val="2"/>
      <scheme val="minor"/>
    </font>
    <font>
      <sz val="11"/>
      <name val="SwissReSans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 wrapText="1"/>
    </xf>
    <xf numFmtId="10" fontId="0" fillId="0" borderId="0" xfId="1" applyNumberFormat="1" applyFont="1" applyBorder="1"/>
    <xf numFmtId="165" fontId="0" fillId="0" borderId="1" xfId="2" applyNumberFormat="1" applyFont="1" applyBorder="1"/>
    <xf numFmtId="165" fontId="0" fillId="0" borderId="0" xfId="0" applyNumberFormat="1"/>
    <xf numFmtId="0" fontId="0" fillId="2" borderId="0" xfId="0" applyFill="1"/>
    <xf numFmtId="0" fontId="0" fillId="0" borderId="1" xfId="0" applyBorder="1" applyAlignment="1">
      <alignment wrapText="1"/>
    </xf>
    <xf numFmtId="0" fontId="0" fillId="3" borderId="0" xfId="0" applyFill="1"/>
    <xf numFmtId="0" fontId="0" fillId="2" borderId="1" xfId="0" applyFill="1" applyBorder="1"/>
    <xf numFmtId="10" fontId="0" fillId="2" borderId="1" xfId="1" applyNumberFormat="1" applyFont="1" applyFill="1" applyBorder="1"/>
    <xf numFmtId="164" fontId="0" fillId="0" borderId="1" xfId="2" applyFont="1" applyBorder="1"/>
    <xf numFmtId="0" fontId="0" fillId="4" borderId="1" xfId="0" applyFill="1" applyBorder="1"/>
    <xf numFmtId="0" fontId="0" fillId="4" borderId="0" xfId="0" applyFill="1"/>
    <xf numFmtId="168" fontId="0" fillId="4" borderId="1" xfId="1" applyNumberFormat="1" applyFont="1" applyFill="1" applyBorder="1"/>
    <xf numFmtId="0" fontId="3" fillId="4" borderId="0" xfId="0" applyFont="1" applyFill="1"/>
    <xf numFmtId="169" fontId="0" fillId="0" borderId="1" xfId="2" applyNumberFormat="1" applyFont="1" applyBorder="1"/>
    <xf numFmtId="43" fontId="0" fillId="0" borderId="0" xfId="0" applyNumberFormat="1"/>
    <xf numFmtId="10" fontId="0" fillId="0" borderId="0" xfId="1" applyNumberFormat="1" applyFont="1"/>
    <xf numFmtId="0" fontId="4" fillId="0" borderId="0" xfId="0" applyFont="1"/>
    <xf numFmtId="0" fontId="0" fillId="0" borderId="0" xfId="0" applyAlignment="1">
      <alignment wrapText="1"/>
    </xf>
    <xf numFmtId="9" fontId="0" fillId="4" borderId="0" xfId="0" applyNumberFormat="1" applyFill="1"/>
    <xf numFmtId="0" fontId="5" fillId="0" borderId="0" xfId="4"/>
    <xf numFmtId="171" fontId="0" fillId="5" borderId="0" xfId="5" applyNumberFormat="1" applyFont="1" applyFill="1"/>
    <xf numFmtId="165" fontId="0" fillId="5" borderId="0" xfId="5" applyNumberFormat="1" applyFont="1" applyFill="1"/>
    <xf numFmtId="9" fontId="5" fillId="0" borderId="0" xfId="4" applyNumberFormat="1"/>
    <xf numFmtId="173" fontId="5" fillId="0" borderId="0" xfId="4" applyNumberFormat="1"/>
    <xf numFmtId="164" fontId="0" fillId="0" borderId="0" xfId="5" applyFont="1"/>
    <xf numFmtId="0" fontId="5" fillId="4" borderId="0" xfId="4" applyFill="1"/>
    <xf numFmtId="0" fontId="7" fillId="4" borderId="0" xfId="4" applyFont="1" applyFill="1"/>
    <xf numFmtId="0" fontId="6" fillId="4" borderId="0" xfId="4" applyFont="1" applyFill="1"/>
    <xf numFmtId="10" fontId="5" fillId="0" borderId="0" xfId="4" applyNumberFormat="1"/>
    <xf numFmtId="10" fontId="5" fillId="4" borderId="0" xfId="4" applyNumberFormat="1" applyFill="1"/>
    <xf numFmtId="9" fontId="5" fillId="4" borderId="0" xfId="4" applyNumberFormat="1" applyFill="1"/>
    <xf numFmtId="174" fontId="5" fillId="4" borderId="0" xfId="4" applyNumberFormat="1" applyFill="1"/>
    <xf numFmtId="165" fontId="0" fillId="0" borderId="1" xfId="0" applyNumberFormat="1" applyBorder="1"/>
    <xf numFmtId="164" fontId="0" fillId="0" borderId="1" xfId="0" applyNumberFormat="1" applyBorder="1"/>
    <xf numFmtId="0" fontId="0" fillId="0" borderId="1" xfId="1" applyNumberFormat="1" applyFont="1" applyBorder="1"/>
    <xf numFmtId="166" fontId="0" fillId="0" borderId="1" xfId="0" applyNumberFormat="1" applyBorder="1"/>
    <xf numFmtId="0" fontId="8" fillId="0" borderId="0" xfId="0" applyFont="1"/>
    <xf numFmtId="175" fontId="0" fillId="0" borderId="1" xfId="0" applyNumberFormat="1" applyBorder="1"/>
    <xf numFmtId="164" fontId="0" fillId="2" borderId="0" xfId="0" applyNumberFormat="1" applyFill="1"/>
    <xf numFmtId="176" fontId="0" fillId="2" borderId="0" xfId="0" applyNumberFormat="1" applyFill="1"/>
    <xf numFmtId="167" fontId="0" fillId="2" borderId="1" xfId="0" applyNumberFormat="1" applyFill="1" applyBorder="1"/>
    <xf numFmtId="167" fontId="0" fillId="0" borderId="1" xfId="0" applyNumberFormat="1" applyBorder="1"/>
    <xf numFmtId="168" fontId="0" fillId="0" borderId="1" xfId="1" applyNumberFormat="1" applyFont="1" applyBorder="1" applyAlignment="1">
      <alignment wrapText="1"/>
    </xf>
    <xf numFmtId="43" fontId="0" fillId="0" borderId="0" xfId="3" applyFont="1"/>
    <xf numFmtId="169" fontId="2" fillId="0" borderId="0" xfId="3" applyNumberFormat="1" applyFont="1"/>
    <xf numFmtId="165" fontId="0" fillId="5" borderId="0" xfId="0" applyNumberFormat="1" applyFill="1"/>
    <xf numFmtId="172" fontId="0" fillId="5" borderId="0" xfId="0" applyNumberFormat="1" applyFill="1"/>
    <xf numFmtId="170" fontId="0" fillId="5" borderId="0" xfId="0" applyNumberFormat="1" applyFill="1"/>
    <xf numFmtId="0" fontId="0" fillId="7" borderId="0" xfId="0" applyFill="1"/>
    <xf numFmtId="9" fontId="5" fillId="0" borderId="0" xfId="4" quotePrefix="1" applyNumberFormat="1"/>
    <xf numFmtId="0" fontId="5" fillId="0" borderId="0" xfId="4" quotePrefix="1"/>
    <xf numFmtId="9" fontId="5" fillId="0" borderId="0" xfId="1" applyFont="1"/>
    <xf numFmtId="0" fontId="5" fillId="0" borderId="0" xfId="4" applyAlignment="1">
      <alignment wrapText="1"/>
    </xf>
    <xf numFmtId="172" fontId="5" fillId="0" borderId="0" xfId="4" applyNumberFormat="1"/>
    <xf numFmtId="2" fontId="0" fillId="6" borderId="0" xfId="0" applyNumberFormat="1" applyFill="1"/>
    <xf numFmtId="2" fontId="5" fillId="6" borderId="0" xfId="4" applyNumberFormat="1" applyFill="1"/>
    <xf numFmtId="2" fontId="5" fillId="5" borderId="0" xfId="4" applyNumberFormat="1" applyFill="1"/>
    <xf numFmtId="0" fontId="9" fillId="0" borderId="0" xfId="4" applyFont="1"/>
    <xf numFmtId="173" fontId="0" fillId="0" borderId="0" xfId="2" applyNumberFormat="1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5" fillId="4" borderId="0" xfId="4" applyFill="1" applyAlignment="1">
      <alignment horizontal="center"/>
    </xf>
    <xf numFmtId="0" fontId="5" fillId="0" borderId="0" xfId="4" applyAlignment="1">
      <alignment horizontal="center"/>
    </xf>
  </cellXfs>
  <cellStyles count="6">
    <cellStyle name="Comma" xfId="2" builtinId="3"/>
    <cellStyle name="Comma 2" xfId="3" xr:uid="{2494D4D6-B70B-476A-BA05-1F21820FEB00}"/>
    <cellStyle name="Comma 3" xfId="5" xr:uid="{833FB1A7-0B09-4A2E-8EBA-397F12B8D299}"/>
    <cellStyle name="Normal" xfId="0" builtinId="0"/>
    <cellStyle name="Normal 2" xfId="4" xr:uid="{F9C8A8BC-B84C-423B-AF8B-815BA9DED1F4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Option</a:t>
            </a:r>
            <a:r>
              <a:rPr lang="en-US" baseline="0"/>
              <a:t> price with Time to expiriy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630800"/>
        <c:axId val="851633712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v>month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Lit>
                    <c:ptCount val="13"/>
                    <c:pt idx="0">
                      <c:v>month</c:v>
                    </c:pt>
                    <c:pt idx="1">
                      <c:v>1</c:v>
                    </c:pt>
                    <c:pt idx="2">
                      <c:v>2</c:v>
                    </c:pt>
                    <c:pt idx="3">
                      <c:v>3</c:v>
                    </c:pt>
                    <c:pt idx="4">
                      <c:v>4</c:v>
                    </c:pt>
                    <c:pt idx="5">
                      <c:v>5</c:v>
                    </c:pt>
                    <c:pt idx="6">
                      <c:v>6</c:v>
                    </c:pt>
                    <c:pt idx="7">
                      <c:v>7</c:v>
                    </c:pt>
                    <c:pt idx="8">
                      <c:v>8</c:v>
                    </c:pt>
                    <c:pt idx="9">
                      <c:v>9</c:v>
                    </c:pt>
                    <c:pt idx="10">
                      <c:v>10</c:v>
                    </c:pt>
                    <c:pt idx="11">
                      <c:v>11</c:v>
                    </c:pt>
                    <c:pt idx="12">
                      <c:v>12</c:v>
                    </c:pt>
                  </c:strLit>
                </c:cat>
                <c:val>
                  <c:numLit>
                    <c:formatCode>General</c:formatCode>
                    <c:ptCount val="12"/>
                    <c:pt idx="0">
                      <c:v>1</c:v>
                    </c:pt>
                    <c:pt idx="1">
                      <c:v>2</c:v>
                    </c:pt>
                    <c:pt idx="2">
                      <c:v>3</c:v>
                    </c:pt>
                    <c:pt idx="3">
                      <c:v>4</c:v>
                    </c:pt>
                    <c:pt idx="4">
                      <c:v>5</c:v>
                    </c:pt>
                    <c:pt idx="5">
                      <c:v>6</c:v>
                    </c:pt>
                    <c:pt idx="6">
                      <c:v>7</c:v>
                    </c:pt>
                    <c:pt idx="7">
                      <c:v>8</c:v>
                    </c:pt>
                    <c:pt idx="8">
                      <c:v>9</c:v>
                    </c:pt>
                    <c:pt idx="9">
                      <c:v>10</c:v>
                    </c:pt>
                    <c:pt idx="10">
                      <c:v>11</c:v>
                    </c:pt>
                    <c:pt idx="11">
                      <c:v>12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2-EE7E-46CB-A0AB-9CA72EE653A2}"/>
                  </c:ext>
                </c:extLst>
              </c15:ser>
            </c15:filteredLineSeries>
          </c:ext>
        </c:extLst>
      </c:lineChart>
      <c:catAx>
        <c:axId val="85163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633712"/>
        <c:crosses val="autoZero"/>
        <c:auto val="1"/>
        <c:lblAlgn val="ctr"/>
        <c:lblOffset val="100"/>
        <c:noMultiLvlLbl val="0"/>
      </c:catAx>
      <c:valAx>
        <c:axId val="851633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0_);_(* \(#,##0.0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163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Option price with time to Expiry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'Q.4 (iv)'!$B$19</c:f>
              <c:strCache>
                <c:ptCount val="1"/>
                <c:pt idx="0">
                  <c:v>European Call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'Q.4 (iv)'!$C$21:$N$21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'Q.4 (iv)'!$C$19:$N$19</c:f>
              <c:numCache>
                <c:formatCode>0.000</c:formatCode>
                <c:ptCount val="12"/>
                <c:pt idx="0">
                  <c:v>1.9000907131411822</c:v>
                </c:pt>
                <c:pt idx="1">
                  <c:v>3.0529323968468418</c:v>
                </c:pt>
                <c:pt idx="2">
                  <c:v>4.002297908971272</c:v>
                </c:pt>
                <c:pt idx="3">
                  <c:v>4.8465987726993376</c:v>
                </c:pt>
                <c:pt idx="4">
                  <c:v>5.6238377869989478</c:v>
                </c:pt>
                <c:pt idx="5">
                  <c:v>6.3534470228814541</c:v>
                </c:pt>
                <c:pt idx="6">
                  <c:v>7.0469355981621646</c:v>
                </c:pt>
                <c:pt idx="7">
                  <c:v>7.711779845336352</c:v>
                </c:pt>
                <c:pt idx="8">
                  <c:v>8.3531571600329926</c:v>
                </c:pt>
                <c:pt idx="9">
                  <c:v>8.9748257198392025</c:v>
                </c:pt>
                <c:pt idx="10">
                  <c:v>9.5796139848084465</c:v>
                </c:pt>
                <c:pt idx="11">
                  <c:v>10.169712657773161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C8-43F3-A4A4-8ECCF23C0808}"/>
            </c:ext>
          </c:extLst>
        </c:ser>
        <c:ser>
          <c:idx val="2"/>
          <c:order val="1"/>
          <c:tx>
            <c:strRef>
              <c:f>'Q.4 (iv)'!$B$20</c:f>
              <c:strCache>
                <c:ptCount val="1"/>
                <c:pt idx="0">
                  <c:v>European Put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'Q.4 (iv)'!$C$21:$N$21</c:f>
              <c:numCache>
                <c:formatCode>_(* #,##0_);_(* \(#,##0\);_(* "-"??_);_(@_)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'Q.4 (iv)'!$C$20:$N$20</c:f>
              <c:numCache>
                <c:formatCode>_(* #,##0.000_);_(* \(#,##0.000\);_(* "-"??_);_(@_)</c:formatCode>
                <c:ptCount val="12"/>
                <c:pt idx="0">
                  <c:v>2.3761829456250325</c:v>
                </c:pt>
                <c:pt idx="1">
                  <c:v>3.0072952693452066</c:v>
                </c:pt>
                <c:pt idx="2">
                  <c:v>3.4371007712003347</c:v>
                </c:pt>
                <c:pt idx="3">
                  <c:v>3.7640019542231471</c:v>
                </c:pt>
                <c:pt idx="4">
                  <c:v>4.0259926347351893</c:v>
                </c:pt>
                <c:pt idx="5">
                  <c:v>4.2424959384513841</c:v>
                </c:pt>
                <c:pt idx="6">
                  <c:v>4.4250120750849646</c:v>
                </c:pt>
                <c:pt idx="7">
                  <c:v>4.5810085060691108</c:v>
                </c:pt>
                <c:pt idx="8">
                  <c:v>4.7156537928565285</c:v>
                </c:pt>
                <c:pt idx="9">
                  <c:v>4.8326973155906217</c:v>
                </c:pt>
                <c:pt idx="10">
                  <c:v>4.934958773460778</c:v>
                </c:pt>
                <c:pt idx="11">
                  <c:v>5.0246201448631211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C8-43F3-A4A4-8ECCF23C0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6688416"/>
        <c:axId val="2093502736"/>
      </c:lineChart>
      <c:catAx>
        <c:axId val="2096688416"/>
        <c:scaling>
          <c:orientation val="minMax"/>
        </c:scaling>
        <c:delete val="0"/>
        <c:axPos val="b"/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3502736"/>
        <c:crosses val="autoZero"/>
        <c:auto val="1"/>
        <c:lblAlgn val="ctr"/>
        <c:lblOffset val="100"/>
        <c:noMultiLvlLbl val="0"/>
      </c:catAx>
      <c:valAx>
        <c:axId val="2093502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68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533400</xdr:colOff>
      <xdr:row>15</xdr:row>
      <xdr:rowOff>160020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8EC80C-9124-4EDA-96BD-1F593201DCA7}"/>
            </a:ext>
          </a:extLst>
        </xdr:cNvPr>
        <xdr:cNvSpPr txBox="1"/>
      </xdr:nvSpPr>
      <xdr:spPr>
        <a:xfrm>
          <a:off x="8750300" y="416369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IN" sz="1100"/>
        </a:p>
      </xdr:txBody>
    </xdr:sp>
    <xdr:clientData/>
  </xdr:oneCellAnchor>
  <xdr:oneCellAnchor>
    <xdr:from>
      <xdr:col>10</xdr:col>
      <xdr:colOff>533400</xdr:colOff>
      <xdr:row>15</xdr:row>
      <xdr:rowOff>160020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EEDC82C-F2A3-43E2-A1B5-BBA396813ED5}"/>
            </a:ext>
          </a:extLst>
        </xdr:cNvPr>
        <xdr:cNvSpPr txBox="1"/>
      </xdr:nvSpPr>
      <xdr:spPr>
        <a:xfrm>
          <a:off x="9467850" y="40271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IN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22</xdr:row>
      <xdr:rowOff>47625</xdr:rowOff>
    </xdr:from>
    <xdr:to>
      <xdr:col>11</xdr:col>
      <xdr:colOff>349250</xdr:colOff>
      <xdr:row>41</xdr:row>
      <xdr:rowOff>149225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5440C5-F562-4B5C-848D-7FCA2B18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381000</xdr:colOff>
      <xdr:row>22</xdr:row>
      <xdr:rowOff>14287</xdr:rowOff>
    </xdr:from>
    <xdr:to>
      <xdr:col>11</xdr:col>
      <xdr:colOff>495300</xdr:colOff>
      <xdr:row>37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5FB949-DC55-D668-EF19-DFAC567A20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U73"/>
  <sheetViews>
    <sheetView tabSelected="1" topLeftCell="C1" zoomScale="85" zoomScaleNormal="85" workbookViewId="0">
      <selection activeCell="H4" sqref="H4"/>
    </sheetView>
  </sheetViews>
  <sheetFormatPr defaultRowHeight="14.5"/>
  <cols>
    <col min="4" max="4" width="29.26953125" customWidth="1"/>
    <col min="6" max="6" width="24.26953125" customWidth="1"/>
    <col min="7" max="7" width="18.1796875" customWidth="1"/>
    <col min="8" max="8" width="42.54296875" customWidth="1"/>
    <col min="9" max="9" width="29.1796875" customWidth="1"/>
    <col min="11" max="11" width="39.453125" customWidth="1"/>
    <col min="13" max="13" width="15" customWidth="1"/>
    <col min="15" max="15" width="16.81640625" customWidth="1"/>
  </cols>
  <sheetData>
    <row r="1" spans="3:21">
      <c r="C1" s="2"/>
      <c r="D1" s="2"/>
    </row>
    <row r="2" spans="3:21">
      <c r="C2" s="2"/>
    </row>
    <row r="6" spans="3:21">
      <c r="F6" s="1"/>
      <c r="G6" s="1" t="s">
        <v>3</v>
      </c>
      <c r="H6" s="1" t="s">
        <v>2</v>
      </c>
    </row>
    <row r="7" spans="3:21">
      <c r="F7" s="1" t="s">
        <v>1</v>
      </c>
      <c r="G7" s="1"/>
      <c r="H7" s="1"/>
    </row>
    <row r="8" spans="3:21">
      <c r="F8" s="1">
        <v>0</v>
      </c>
      <c r="G8" s="4">
        <v>0.05</v>
      </c>
      <c r="H8" s="1"/>
      <c r="J8" s="5"/>
      <c r="U8" t="s">
        <v>4</v>
      </c>
    </row>
    <row r="9" spans="3:21">
      <c r="F9" s="1">
        <f>F8+1</f>
        <v>1</v>
      </c>
      <c r="G9" s="4">
        <v>5.6000000000000001E-2</v>
      </c>
      <c r="H9" s="4">
        <v>0.88406932673093175</v>
      </c>
    </row>
    <row r="10" spans="3:21">
      <c r="F10" s="1">
        <f t="shared" ref="F10:F28" si="0">F9+1</f>
        <v>2</v>
      </c>
      <c r="G10" s="4">
        <v>6.2E-2</v>
      </c>
      <c r="H10" s="4">
        <v>0.709671694303314</v>
      </c>
    </row>
    <row r="11" spans="3:21">
      <c r="F11" s="1">
        <f t="shared" si="0"/>
        <v>3</v>
      </c>
      <c r="G11" s="4">
        <v>6.8000000000000005E-2</v>
      </c>
      <c r="H11" s="4">
        <v>0.27669443544831285</v>
      </c>
    </row>
    <row r="12" spans="3:21">
      <c r="F12" s="1">
        <f t="shared" si="0"/>
        <v>4</v>
      </c>
      <c r="G12" s="4">
        <v>7.3999999999999996E-2</v>
      </c>
      <c r="H12" s="4">
        <v>0.33098921696268502</v>
      </c>
    </row>
    <row r="13" spans="3:21">
      <c r="F13" s="1">
        <f t="shared" si="0"/>
        <v>5</v>
      </c>
      <c r="G13" s="4">
        <v>0.08</v>
      </c>
      <c r="H13" s="4">
        <v>0.81071961374144919</v>
      </c>
    </row>
    <row r="14" spans="3:21">
      <c r="F14" s="1">
        <f t="shared" si="0"/>
        <v>6</v>
      </c>
      <c r="G14" s="4">
        <v>8.5999999999999993E-2</v>
      </c>
      <c r="H14" s="4">
        <v>0.92835719559106722</v>
      </c>
    </row>
    <row r="15" spans="3:21">
      <c r="F15" s="1">
        <f t="shared" si="0"/>
        <v>7</v>
      </c>
      <c r="G15" s="4">
        <v>8.6199999999999999E-2</v>
      </c>
      <c r="H15" s="4">
        <v>0.32249929470702876</v>
      </c>
    </row>
    <row r="16" spans="3:21">
      <c r="F16" s="1">
        <f t="shared" si="0"/>
        <v>8</v>
      </c>
      <c r="G16" s="4">
        <v>8.6400000000000005E-2</v>
      </c>
      <c r="H16" s="4">
        <v>0.33438388225156745</v>
      </c>
    </row>
    <row r="17" spans="6:8">
      <c r="F17" s="1">
        <f t="shared" si="0"/>
        <v>9</v>
      </c>
      <c r="G17" s="4">
        <v>8.6599999999999996E-2</v>
      </c>
      <c r="H17" s="4">
        <v>0.10988764402487072</v>
      </c>
    </row>
    <row r="18" spans="6:8">
      <c r="F18" s="1">
        <f t="shared" si="0"/>
        <v>10</v>
      </c>
      <c r="G18" s="4">
        <v>8.6800000000000002E-2</v>
      </c>
      <c r="H18" s="4">
        <v>6.8299353695616016E-2</v>
      </c>
    </row>
    <row r="19" spans="6:8">
      <c r="F19" s="1">
        <f t="shared" si="0"/>
        <v>11</v>
      </c>
      <c r="G19" s="4">
        <v>8.6999999999999994E-2</v>
      </c>
      <c r="H19" s="4">
        <v>0.29684704831069808</v>
      </c>
    </row>
    <row r="20" spans="6:8">
      <c r="F20" s="1">
        <f t="shared" si="0"/>
        <v>12</v>
      </c>
      <c r="G20" s="4">
        <v>8.72E-2</v>
      </c>
      <c r="H20" s="4">
        <v>0.9323833557679273</v>
      </c>
    </row>
    <row r="21" spans="6:8">
      <c r="F21" s="1">
        <f t="shared" si="0"/>
        <v>13</v>
      </c>
      <c r="G21" s="4">
        <v>8.7400000000000005E-2</v>
      </c>
      <c r="H21" s="4">
        <v>0.79817972117756175</v>
      </c>
    </row>
    <row r="22" spans="6:8">
      <c r="F22" s="1">
        <f t="shared" si="0"/>
        <v>14</v>
      </c>
      <c r="G22" s="4">
        <v>8.7599999999999997E-2</v>
      </c>
      <c r="H22" s="4">
        <v>0.93841628078426043</v>
      </c>
    </row>
    <row r="23" spans="6:8">
      <c r="F23" s="1">
        <f t="shared" si="0"/>
        <v>15</v>
      </c>
      <c r="G23" s="4">
        <v>8.7800000000000003E-2</v>
      </c>
      <c r="H23" s="4">
        <v>9.2865541692555564E-2</v>
      </c>
    </row>
    <row r="24" spans="6:8">
      <c r="F24" s="1">
        <f t="shared" si="0"/>
        <v>16</v>
      </c>
      <c r="G24" s="4">
        <v>8.7999999999999995E-2</v>
      </c>
      <c r="H24" s="4">
        <v>0.69265815053730262</v>
      </c>
    </row>
    <row r="25" spans="6:8">
      <c r="F25" s="1">
        <f t="shared" si="0"/>
        <v>17</v>
      </c>
      <c r="G25" s="4">
        <v>8.8200000000000001E-2</v>
      </c>
      <c r="H25" s="4">
        <v>0.68437605115720757</v>
      </c>
    </row>
    <row r="26" spans="6:8">
      <c r="F26" s="1">
        <f t="shared" si="0"/>
        <v>18</v>
      </c>
      <c r="G26" s="4">
        <v>8.8400000000000006E-2</v>
      </c>
      <c r="H26" s="4">
        <v>0.44765573299703676</v>
      </c>
    </row>
    <row r="27" spans="6:8">
      <c r="F27" s="1">
        <f t="shared" si="0"/>
        <v>19</v>
      </c>
      <c r="G27" s="4">
        <v>8.8599999999999998E-2</v>
      </c>
      <c r="H27" s="4">
        <v>0.19371768306157389</v>
      </c>
    </row>
    <row r="28" spans="6:8">
      <c r="F28" s="1">
        <f t="shared" si="0"/>
        <v>20</v>
      </c>
      <c r="G28" s="1"/>
      <c r="H28" s="4">
        <v>0.4322924914096179</v>
      </c>
    </row>
    <row r="73" spans="7:8">
      <c r="G73" s="3"/>
      <c r="H73" s="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63C8-B135-4C67-9FA8-CEBE904E879E}">
  <dimension ref="A3:F30"/>
  <sheetViews>
    <sheetView workbookViewId="0">
      <selection activeCell="A30" sqref="A30"/>
    </sheetView>
  </sheetViews>
  <sheetFormatPr defaultColWidth="8.7265625" defaultRowHeight="14"/>
  <cols>
    <col min="1" max="1" width="8.7265625" style="22"/>
    <col min="2" max="2" width="14.54296875" style="22" customWidth="1"/>
    <col min="3" max="3" width="13.7265625" style="22" bestFit="1" customWidth="1"/>
    <col min="4" max="16384" width="8.7265625" style="22"/>
  </cols>
  <sheetData>
    <row r="3" spans="2:6">
      <c r="B3" s="22" t="s">
        <v>96</v>
      </c>
    </row>
    <row r="4" spans="2:6">
      <c r="B4" s="22" t="s">
        <v>95</v>
      </c>
      <c r="C4" s="22">
        <v>125</v>
      </c>
    </row>
    <row r="5" spans="2:6">
      <c r="B5" s="22" t="s">
        <v>94</v>
      </c>
      <c r="C5" s="22">
        <v>126</v>
      </c>
    </row>
    <row r="6" spans="2:6">
      <c r="B6" s="22" t="s">
        <v>93</v>
      </c>
      <c r="C6" s="25">
        <v>0.05</v>
      </c>
    </row>
    <row r="7" spans="2:6">
      <c r="B7" s="22" t="s">
        <v>92</v>
      </c>
      <c r="C7" s="25">
        <v>0.15</v>
      </c>
    </row>
    <row r="8" spans="2:6">
      <c r="B8" s="22" t="s">
        <v>91</v>
      </c>
      <c r="C8" s="28">
        <f>Q.4_Data!C8</f>
        <v>0.5</v>
      </c>
    </row>
    <row r="12" spans="2:6" ht="14.5">
      <c r="B12" s="22" t="s">
        <v>90</v>
      </c>
      <c r="C12" s="24">
        <f>(LN(C4/C5)+(C6+C7^2/2)*0.5)/(C7*SQRT(C8))</f>
        <v>0.21361064508346983</v>
      </c>
      <c r="D12"/>
      <c r="E12"/>
      <c r="F12"/>
    </row>
    <row r="13" spans="2:6" ht="14.5">
      <c r="B13" s="22" t="s">
        <v>89</v>
      </c>
      <c r="C13" s="48">
        <f>C12-C7*SQRT(C8)</f>
        <v>0.1075446279054877</v>
      </c>
      <c r="D13"/>
      <c r="E13"/>
      <c r="F13"/>
    </row>
    <row r="14" spans="2:6" ht="14.5">
      <c r="C14"/>
      <c r="D14"/>
      <c r="E14"/>
      <c r="F14"/>
    </row>
    <row r="15" spans="2:6" ht="14.5">
      <c r="B15" s="22" t="s">
        <v>88</v>
      </c>
      <c r="C15" s="49">
        <f>_xlfn.NORM.S.DIST(C12,TRUE)</f>
        <v>0.58457465128793595</v>
      </c>
      <c r="D15"/>
      <c r="E15"/>
      <c r="F15"/>
    </row>
    <row r="16" spans="2:6" ht="14.5">
      <c r="B16" s="22" t="s">
        <v>87</v>
      </c>
      <c r="C16" s="49">
        <f>_xlfn.NORM.S.DIST(C13,TRUE)</f>
        <v>0.54282153867738325</v>
      </c>
      <c r="D16"/>
      <c r="E16"/>
      <c r="F16"/>
    </row>
    <row r="17" spans="1:6" ht="14.5">
      <c r="C17"/>
      <c r="D17"/>
      <c r="E17"/>
      <c r="F17"/>
    </row>
    <row r="18" spans="1:6" ht="14.5">
      <c r="A18" s="60"/>
      <c r="B18" s="22" t="s">
        <v>18</v>
      </c>
      <c r="C18"/>
      <c r="D18"/>
      <c r="E18"/>
      <c r="F18"/>
    </row>
    <row r="19" spans="1:6" ht="14.5">
      <c r="A19" s="60" t="s">
        <v>142</v>
      </c>
      <c r="B19" s="22" t="s">
        <v>86</v>
      </c>
      <c r="C19" s="50">
        <f>C4*C15-C5*EXP(-C6*C8)*C16</f>
        <v>6.3650087920421186</v>
      </c>
      <c r="D19"/>
      <c r="E19"/>
      <c r="F19"/>
    </row>
    <row r="20" spans="1:6" ht="14.5">
      <c r="A20" s="60"/>
      <c r="C20" s="23"/>
      <c r="D20"/>
      <c r="E20"/>
      <c r="F20"/>
    </row>
    <row r="21" spans="1:6" ht="14.5">
      <c r="A21" s="60"/>
      <c r="C21"/>
      <c r="D21"/>
      <c r="E21"/>
      <c r="F21"/>
    </row>
    <row r="22" spans="1:6" ht="14.5">
      <c r="A22" s="60"/>
      <c r="C22"/>
      <c r="D22"/>
      <c r="E22"/>
      <c r="F22"/>
    </row>
    <row r="23" spans="1:6" ht="14.5">
      <c r="A23" s="60" t="s">
        <v>143</v>
      </c>
      <c r="B23" s="22" t="s">
        <v>84</v>
      </c>
      <c r="C23" s="50">
        <f>C19</f>
        <v>6.3650087920421186</v>
      </c>
      <c r="D23"/>
      <c r="E23"/>
      <c r="F23"/>
    </row>
    <row r="25" spans="1:6">
      <c r="A25" s="22" t="s">
        <v>99</v>
      </c>
    </row>
    <row r="26" spans="1:6">
      <c r="A26" s="28" t="s">
        <v>128</v>
      </c>
      <c r="B26" s="28"/>
      <c r="C26" s="28"/>
      <c r="D26" s="28"/>
    </row>
    <row r="27" spans="1:6">
      <c r="A27" s="28"/>
      <c r="B27" s="28"/>
      <c r="C27" s="28"/>
      <c r="D27" s="28"/>
    </row>
    <row r="28" spans="1:6">
      <c r="A28" s="28"/>
      <c r="B28" s="28"/>
      <c r="C28" s="28"/>
      <c r="D28" s="28"/>
    </row>
    <row r="30" spans="1:6" ht="14.5">
      <c r="A30" s="60" t="s">
        <v>144</v>
      </c>
      <c r="B30" s="22" t="s">
        <v>85</v>
      </c>
      <c r="C30" s="23">
        <f>C19+C5*EXP(-C6*C8)-C4</f>
        <v>4.2540577076120485</v>
      </c>
      <c r="E30"/>
      <c r="F30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64A86-A611-472B-A120-BECDE9D555EC}">
  <dimension ref="B2:N44"/>
  <sheetViews>
    <sheetView workbookViewId="0">
      <selection activeCell="C12" sqref="C12"/>
    </sheetView>
  </sheetViews>
  <sheetFormatPr defaultColWidth="8.7265625" defaultRowHeight="14"/>
  <cols>
    <col min="1" max="1" width="3.81640625" style="22" bestFit="1" customWidth="1"/>
    <col min="2" max="2" width="11.54296875" style="22" bestFit="1" customWidth="1"/>
    <col min="3" max="3" width="13.7265625" style="22" bestFit="1" customWidth="1"/>
    <col min="4" max="16384" width="8.7265625" style="22"/>
  </cols>
  <sheetData>
    <row r="2" spans="2:14">
      <c r="E2" s="70" t="s">
        <v>98</v>
      </c>
      <c r="F2" s="70"/>
      <c r="G2" s="70"/>
      <c r="H2" s="70"/>
    </row>
    <row r="3" spans="2:14">
      <c r="B3" s="22" t="s">
        <v>96</v>
      </c>
    </row>
    <row r="4" spans="2:14">
      <c r="B4" s="22" t="s">
        <v>95</v>
      </c>
      <c r="C4" s="22">
        <v>125</v>
      </c>
    </row>
    <row r="5" spans="2:14">
      <c r="B5" s="22" t="s">
        <v>94</v>
      </c>
      <c r="C5" s="22">
        <v>126</v>
      </c>
    </row>
    <row r="6" spans="2:14">
      <c r="B6" s="22" t="s">
        <v>93</v>
      </c>
      <c r="C6" s="25">
        <v>0.05</v>
      </c>
    </row>
    <row r="7" spans="2:14">
      <c r="B7" s="22" t="s">
        <v>92</v>
      </c>
      <c r="C7" s="25">
        <v>0.15</v>
      </c>
    </row>
    <row r="8" spans="2:14" ht="14.5">
      <c r="B8" s="22" t="s">
        <v>91</v>
      </c>
      <c r="C8" s="27">
        <v>8.3333333333333329E-2</v>
      </c>
      <c r="D8" s="27">
        <v>0.16666666666666666</v>
      </c>
      <c r="E8" s="27">
        <v>0.25</v>
      </c>
      <c r="F8" s="27">
        <v>0.33333333333333331</v>
      </c>
      <c r="G8" s="27">
        <v>0.41666666666666669</v>
      </c>
      <c r="H8" s="27">
        <v>0.5</v>
      </c>
      <c r="I8" s="27">
        <v>0.58333333333333337</v>
      </c>
      <c r="J8" s="27">
        <v>0.66666666666666663</v>
      </c>
      <c r="K8" s="27">
        <v>0.75</v>
      </c>
      <c r="L8" s="27">
        <v>0.83333333333333337</v>
      </c>
      <c r="M8" s="27">
        <v>0.91666666666666663</v>
      </c>
      <c r="N8" s="27">
        <v>1</v>
      </c>
    </row>
    <row r="10" spans="2:14">
      <c r="B10" s="22" t="s">
        <v>97</v>
      </c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</row>
    <row r="12" spans="2:14" ht="14.5">
      <c r="B12" s="22" t="s">
        <v>90</v>
      </c>
      <c r="C12" s="24">
        <f>(LN($C$4/$C$5)+(($C$6+$C$7^2/2)*C$8)/($C$7*SQRT(C$8)))</f>
        <v>0.10990751031037176</v>
      </c>
      <c r="D12" s="24">
        <f t="shared" ref="D12:N12" si="0">(LN($C$4/$C$5)+(($C$6+$C$7^2/2)*D$8)/($C$7*SQRT(D$8)))</f>
        <v>0.15873321562356721</v>
      </c>
      <c r="E12" s="24">
        <f t="shared" si="0"/>
        <v>0.19619849701748981</v>
      </c>
      <c r="F12" s="24">
        <f t="shared" si="0"/>
        <v>0.22778319026992036</v>
      </c>
      <c r="G12" s="24">
        <f t="shared" si="0"/>
        <v>0.25560986363438348</v>
      </c>
      <c r="H12" s="24">
        <f t="shared" si="0"/>
        <v>0.28076709933533006</v>
      </c>
      <c r="I12" s="24">
        <f t="shared" si="0"/>
        <v>0.30390156514642891</v>
      </c>
      <c r="J12" s="24">
        <f t="shared" si="0"/>
        <v>0.32543460089631127</v>
      </c>
      <c r="K12" s="24">
        <f t="shared" si="0"/>
        <v>0.34565887022946895</v>
      </c>
      <c r="L12" s="24">
        <f t="shared" si="0"/>
        <v>0.36478745976406124</v>
      </c>
      <c r="M12" s="24">
        <f t="shared" si="0"/>
        <v>0.38298123268466122</v>
      </c>
      <c r="N12" s="24">
        <f t="shared" si="0"/>
        <v>0.40036516368415648</v>
      </c>
    </row>
    <row r="13" spans="2:14" ht="14.5">
      <c r="B13" s="22" t="s">
        <v>89</v>
      </c>
      <c r="C13" s="48">
        <f>C12-$C$7*SQRT(C8)</f>
        <v>6.6606240121149823E-2</v>
      </c>
      <c r="D13" s="48">
        <f t="shared" ref="D13:N13" si="1">D12-$C$7*SQRT(D8)</f>
        <v>9.7495972053987759E-2</v>
      </c>
      <c r="E13" s="48">
        <f t="shared" si="1"/>
        <v>0.12119849701748982</v>
      </c>
      <c r="F13" s="48">
        <f t="shared" si="1"/>
        <v>0.1411806498914765</v>
      </c>
      <c r="G13" s="48">
        <f t="shared" si="1"/>
        <v>0.15878527997919806</v>
      </c>
      <c r="H13" s="48">
        <f t="shared" si="1"/>
        <v>0.17470108215734792</v>
      </c>
      <c r="I13" s="48">
        <f t="shared" si="1"/>
        <v>0.18933717277253292</v>
      </c>
      <c r="J13" s="48">
        <f t="shared" si="1"/>
        <v>0.20296011375715237</v>
      </c>
      <c r="K13" s="48">
        <f t="shared" si="1"/>
        <v>0.21575505966180317</v>
      </c>
      <c r="L13" s="48">
        <f t="shared" si="1"/>
        <v>0.22785682038776972</v>
      </c>
      <c r="M13" s="48">
        <f t="shared" si="1"/>
        <v>0.23936716652121051</v>
      </c>
      <c r="N13" s="48">
        <f t="shared" si="1"/>
        <v>0.25036516368415651</v>
      </c>
    </row>
    <row r="14" spans="2:14" ht="14.5">
      <c r="C14"/>
      <c r="D14"/>
      <c r="E14"/>
      <c r="F14"/>
      <c r="G14"/>
      <c r="H14"/>
      <c r="I14"/>
      <c r="J14"/>
      <c r="K14"/>
      <c r="L14"/>
      <c r="M14"/>
      <c r="N14"/>
    </row>
    <row r="15" spans="2:14" ht="14.5">
      <c r="B15" s="22" t="s">
        <v>88</v>
      </c>
      <c r="C15" s="49">
        <f>_xlfn.NORM.S.DIST(C12,TRUE)</f>
        <v>0.54375863686737669</v>
      </c>
      <c r="D15" s="49">
        <f t="shared" ref="D15:N16" si="2">_xlfn.NORM.S.DIST(D12,TRUE)</f>
        <v>0.56306046617008831</v>
      </c>
      <c r="E15" s="49">
        <f t="shared" si="2"/>
        <v>0.57777259779850276</v>
      </c>
      <c r="F15" s="49">
        <f t="shared" si="2"/>
        <v>0.59009260228969307</v>
      </c>
      <c r="G15" s="49">
        <f t="shared" si="2"/>
        <v>0.60087394935212513</v>
      </c>
      <c r="H15" s="49">
        <f t="shared" si="2"/>
        <v>0.61055548005876936</v>
      </c>
      <c r="I15" s="49">
        <f t="shared" si="2"/>
        <v>0.61939855733003091</v>
      </c>
      <c r="J15" s="49">
        <f t="shared" si="2"/>
        <v>0.62757391413208141</v>
      </c>
      <c r="K15" s="49">
        <f t="shared" si="2"/>
        <v>0.635200451107227</v>
      </c>
      <c r="L15" s="49">
        <f t="shared" si="2"/>
        <v>0.64236496666303089</v>
      </c>
      <c r="M15" s="49">
        <f t="shared" si="2"/>
        <v>0.64913316034207902</v>
      </c>
      <c r="N15" s="49">
        <f t="shared" si="2"/>
        <v>0.65555621066765124</v>
      </c>
    </row>
    <row r="16" spans="2:14" ht="14.5">
      <c r="B16" s="22" t="s">
        <v>87</v>
      </c>
      <c r="C16" s="49">
        <f>_xlfn.NORM.S.DIST(C13,TRUE)</f>
        <v>0.52655241105904038</v>
      </c>
      <c r="D16" s="49">
        <f t="shared" si="2"/>
        <v>0.53883373358572817</v>
      </c>
      <c r="E16" s="49">
        <f t="shared" si="2"/>
        <v>0.5482330927254504</v>
      </c>
      <c r="F16" s="49">
        <f t="shared" si="2"/>
        <v>0.55613638394730003</v>
      </c>
      <c r="G16" s="49">
        <f t="shared" si="2"/>
        <v>0.56308097672810908</v>
      </c>
      <c r="H16" s="49">
        <f t="shared" si="2"/>
        <v>0.56934274129287443</v>
      </c>
      <c r="I16" s="49">
        <f t="shared" si="2"/>
        <v>0.57508571873462222</v>
      </c>
      <c r="J16" s="49">
        <f t="shared" si="2"/>
        <v>0.58041689603279822</v>
      </c>
      <c r="K16" s="49">
        <f t="shared" si="2"/>
        <v>0.58541065979648876</v>
      </c>
      <c r="L16" s="49">
        <f t="shared" si="2"/>
        <v>0.59012122397451561</v>
      </c>
      <c r="M16" s="49">
        <f t="shared" si="2"/>
        <v>0.59458955631440003</v>
      </c>
      <c r="N16" s="49">
        <f t="shared" si="2"/>
        <v>0.59884751638905054</v>
      </c>
    </row>
    <row r="17" spans="2:14" ht="14.5">
      <c r="C17"/>
      <c r="D17"/>
      <c r="E17"/>
      <c r="F17"/>
      <c r="G17"/>
      <c r="H17"/>
      <c r="I17"/>
      <c r="J17"/>
      <c r="K17"/>
      <c r="L17"/>
      <c r="M17"/>
      <c r="N17"/>
    </row>
    <row r="18" spans="2:14" ht="14.5">
      <c r="B18" s="22" t="s">
        <v>18</v>
      </c>
      <c r="C18"/>
      <c r="D18"/>
      <c r="E18"/>
      <c r="F18"/>
      <c r="G18"/>
      <c r="H18"/>
      <c r="I18"/>
      <c r="J18"/>
      <c r="K18"/>
      <c r="L18"/>
      <c r="M18"/>
      <c r="N18"/>
    </row>
    <row r="19" spans="2:14" ht="14.5">
      <c r="B19" s="22" t="s">
        <v>86</v>
      </c>
      <c r="C19" s="50">
        <f>$C$4*C15-$C$5*EXP(-$C$6*C$8)*C16</f>
        <v>1.9000907131411822</v>
      </c>
      <c r="D19" s="50">
        <f t="shared" ref="D19:N19" si="3">$C$4*D15-$C$5*EXP(-$C$6*D$8)*D16</f>
        <v>3.0529323968468418</v>
      </c>
      <c r="E19" s="50">
        <f t="shared" si="3"/>
        <v>4.002297908971272</v>
      </c>
      <c r="F19" s="50">
        <f t="shared" si="3"/>
        <v>4.8465987726993376</v>
      </c>
      <c r="G19" s="50">
        <f t="shared" si="3"/>
        <v>5.6238377869989478</v>
      </c>
      <c r="H19" s="50">
        <f t="shared" si="3"/>
        <v>6.3534470228814541</v>
      </c>
      <c r="I19" s="50">
        <f t="shared" si="3"/>
        <v>7.0469355981621646</v>
      </c>
      <c r="J19" s="50">
        <f t="shared" si="3"/>
        <v>7.711779845336352</v>
      </c>
      <c r="K19" s="50">
        <f t="shared" si="3"/>
        <v>8.3531571600329926</v>
      </c>
      <c r="L19" s="50">
        <f t="shared" si="3"/>
        <v>8.9748257198392025</v>
      </c>
      <c r="M19" s="50">
        <f t="shared" si="3"/>
        <v>9.5796139848084465</v>
      </c>
      <c r="N19" s="50">
        <f t="shared" si="3"/>
        <v>10.169712657773161</v>
      </c>
    </row>
    <row r="20" spans="2:14" ht="14.5">
      <c r="B20" s="22" t="s">
        <v>85</v>
      </c>
      <c r="C20" s="23">
        <f>C19+$C$5*EXP(-$C$6*C$8)-$C$4</f>
        <v>2.3761829456250325</v>
      </c>
      <c r="D20" s="23">
        <f t="shared" ref="D20:N20" si="4">D19+$C$5*EXP(-$C$6*D$8)-$C$4</f>
        <v>3.0072952693452066</v>
      </c>
      <c r="E20" s="23">
        <f t="shared" si="4"/>
        <v>3.4371007712003347</v>
      </c>
      <c r="F20" s="23">
        <f t="shared" si="4"/>
        <v>3.7640019542231471</v>
      </c>
      <c r="G20" s="23">
        <f t="shared" si="4"/>
        <v>4.0259926347351893</v>
      </c>
      <c r="H20" s="23">
        <f t="shared" si="4"/>
        <v>4.2424959384513841</v>
      </c>
      <c r="I20" s="23">
        <f t="shared" si="4"/>
        <v>4.4250120750849646</v>
      </c>
      <c r="J20" s="23">
        <f t="shared" si="4"/>
        <v>4.5810085060691108</v>
      </c>
      <c r="K20" s="23">
        <f t="shared" si="4"/>
        <v>4.7156537928565285</v>
      </c>
      <c r="L20" s="23">
        <f t="shared" si="4"/>
        <v>4.8326973155906217</v>
      </c>
      <c r="M20" s="23">
        <f t="shared" si="4"/>
        <v>4.934958773460778</v>
      </c>
      <c r="N20" s="23">
        <f t="shared" si="4"/>
        <v>5.0246201448631211</v>
      </c>
    </row>
    <row r="21" spans="2:14">
      <c r="B21" s="22" t="s">
        <v>129</v>
      </c>
      <c r="C21" s="26">
        <v>1</v>
      </c>
      <c r="D21" s="26">
        <v>2</v>
      </c>
      <c r="E21" s="26">
        <v>3</v>
      </c>
      <c r="F21" s="26">
        <v>4</v>
      </c>
      <c r="G21" s="26">
        <v>5</v>
      </c>
      <c r="H21" s="26">
        <v>6</v>
      </c>
      <c r="I21" s="26">
        <v>7</v>
      </c>
      <c r="J21" s="26">
        <v>8</v>
      </c>
      <c r="K21" s="26">
        <v>9</v>
      </c>
      <c r="L21" s="26">
        <v>10</v>
      </c>
      <c r="M21" s="26">
        <v>11</v>
      </c>
      <c r="N21" s="26">
        <v>12</v>
      </c>
    </row>
    <row r="22" spans="2:14">
      <c r="B22" s="22" t="s">
        <v>100</v>
      </c>
    </row>
    <row r="23" spans="2:14" ht="14.5"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2:14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2:14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2:1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4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2:14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  <row r="29" spans="2:14">
      <c r="B29" s="69"/>
      <c r="C29" s="69"/>
      <c r="D29" s="69"/>
      <c r="E29" s="30"/>
      <c r="F29" s="30"/>
      <c r="G29" s="28"/>
      <c r="H29" s="28"/>
      <c r="I29" s="28"/>
      <c r="J29" s="28"/>
      <c r="K29" s="28"/>
      <c r="L29" s="28"/>
    </row>
    <row r="30" spans="2:14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2:14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2:14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2:12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2:12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2:12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2:12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2:12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2:12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2:12"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2: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</sheetData>
  <mergeCells count="2">
    <mergeCell ref="B29:D29"/>
    <mergeCell ref="E2:H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9FBF9-EE90-4F8A-8490-B5E029343CBC}">
  <dimension ref="A3:D103"/>
  <sheetViews>
    <sheetView workbookViewId="0"/>
  </sheetViews>
  <sheetFormatPr defaultColWidth="8.7265625" defaultRowHeight="14"/>
  <cols>
    <col min="1" max="1" width="8.7265625" style="22"/>
    <col min="2" max="2" width="14.26953125" style="22" customWidth="1"/>
    <col min="3" max="4" width="11.26953125" style="22" bestFit="1" customWidth="1"/>
    <col min="5" max="16384" width="8.7265625" style="22"/>
  </cols>
  <sheetData>
    <row r="3" spans="1:4">
      <c r="A3" s="22" t="s">
        <v>102</v>
      </c>
      <c r="B3" s="22" t="s">
        <v>103</v>
      </c>
    </row>
    <row r="4" spans="1:4">
      <c r="A4" s="22">
        <v>1</v>
      </c>
      <c r="B4" s="22">
        <v>0.49487025642980143</v>
      </c>
      <c r="C4" s="31"/>
      <c r="D4" s="25"/>
    </row>
    <row r="5" spans="1:4">
      <c r="A5" s="22">
        <f>A4+1</f>
        <v>2</v>
      </c>
      <c r="B5" s="22">
        <v>0.62434727255911981</v>
      </c>
      <c r="C5" s="31"/>
      <c r="D5" s="25"/>
    </row>
    <row r="6" spans="1:4">
      <c r="A6" s="22">
        <f t="shared" ref="A6:A69" si="0">A5+1</f>
        <v>3</v>
      </c>
      <c r="B6" s="22">
        <v>0.74251176877144565</v>
      </c>
      <c r="C6" s="31"/>
      <c r="D6" s="25"/>
    </row>
    <row r="7" spans="1:4">
      <c r="A7" s="22">
        <f t="shared" si="0"/>
        <v>4</v>
      </c>
      <c r="B7" s="22">
        <v>0.94985038891789675</v>
      </c>
      <c r="C7" s="31"/>
      <c r="D7" s="25"/>
    </row>
    <row r="8" spans="1:4">
      <c r="A8" s="22">
        <f t="shared" si="0"/>
        <v>5</v>
      </c>
      <c r="B8" s="22">
        <v>0.12003514464437526</v>
      </c>
      <c r="C8" s="31"/>
      <c r="D8" s="25"/>
    </row>
    <row r="9" spans="1:4">
      <c r="A9" s="22">
        <f t="shared" si="0"/>
        <v>6</v>
      </c>
      <c r="B9" s="22">
        <v>0.67502861854240614</v>
      </c>
      <c r="C9" s="31"/>
      <c r="D9" s="25"/>
    </row>
    <row r="10" spans="1:4">
      <c r="A10" s="22">
        <f t="shared" si="0"/>
        <v>7</v>
      </c>
      <c r="B10" s="22">
        <v>0.29407919654830006</v>
      </c>
      <c r="C10" s="31"/>
      <c r="D10" s="25"/>
    </row>
    <row r="11" spans="1:4">
      <c r="A11" s="22">
        <f t="shared" si="0"/>
        <v>8</v>
      </c>
      <c r="B11" s="22">
        <v>0.97795030125229843</v>
      </c>
      <c r="C11" s="31"/>
      <c r="D11" s="25"/>
    </row>
    <row r="12" spans="1:4">
      <c r="A12" s="22">
        <f t="shared" si="0"/>
        <v>9</v>
      </c>
      <c r="B12" s="22">
        <v>0.7698696244423695</v>
      </c>
      <c r="C12" s="31"/>
      <c r="D12" s="25"/>
    </row>
    <row r="13" spans="1:4">
      <c r="A13" s="22">
        <f t="shared" si="0"/>
        <v>10</v>
      </c>
      <c r="B13" s="22">
        <v>0.47879895301870778</v>
      </c>
      <c r="C13" s="31"/>
      <c r="D13" s="25"/>
    </row>
    <row r="14" spans="1:4">
      <c r="A14" s="22">
        <f t="shared" si="0"/>
        <v>11</v>
      </c>
      <c r="B14" s="22">
        <v>0.99213624006090828</v>
      </c>
      <c r="C14" s="31"/>
      <c r="D14" s="25"/>
    </row>
    <row r="15" spans="1:4">
      <c r="A15" s="22">
        <f t="shared" si="0"/>
        <v>12</v>
      </c>
      <c r="B15" s="22">
        <v>0.69205896475869055</v>
      </c>
      <c r="C15" s="31"/>
      <c r="D15" s="25"/>
    </row>
    <row r="16" spans="1:4">
      <c r="A16" s="22">
        <f t="shared" si="0"/>
        <v>13</v>
      </c>
      <c r="B16" s="22">
        <v>0.46017052709669826</v>
      </c>
      <c r="C16" s="31"/>
      <c r="D16" s="25"/>
    </row>
    <row r="17" spans="1:4">
      <c r="A17" s="22">
        <f t="shared" si="0"/>
        <v>14</v>
      </c>
      <c r="B17" s="22">
        <v>0.89565094347624963</v>
      </c>
      <c r="C17" s="31"/>
      <c r="D17" s="25"/>
    </row>
    <row r="18" spans="1:4">
      <c r="A18" s="22">
        <f t="shared" si="0"/>
        <v>15</v>
      </c>
      <c r="B18" s="22">
        <v>0.49734834038599729</v>
      </c>
      <c r="C18" s="31"/>
      <c r="D18" s="25"/>
    </row>
    <row r="19" spans="1:4">
      <c r="A19" s="22">
        <f t="shared" si="0"/>
        <v>16</v>
      </c>
      <c r="B19" s="22">
        <v>0.97496610200990375</v>
      </c>
      <c r="C19" s="31"/>
      <c r="D19" s="25"/>
    </row>
    <row r="20" spans="1:4">
      <c r="A20" s="22">
        <f t="shared" si="0"/>
        <v>17</v>
      </c>
      <c r="B20" s="22">
        <v>0.21980668252406677</v>
      </c>
      <c r="C20" s="31"/>
      <c r="D20" s="25"/>
    </row>
    <row r="21" spans="1:4">
      <c r="A21" s="22">
        <f t="shared" si="0"/>
        <v>18</v>
      </c>
      <c r="B21" s="22">
        <v>0.62716259915668493</v>
      </c>
      <c r="C21" s="31"/>
      <c r="D21" s="25"/>
    </row>
    <row r="22" spans="1:4">
      <c r="A22" s="22">
        <f t="shared" si="0"/>
        <v>19</v>
      </c>
      <c r="B22" s="22">
        <v>0.48822509760983768</v>
      </c>
      <c r="C22" s="31"/>
      <c r="D22" s="25"/>
    </row>
    <row r="23" spans="1:4">
      <c r="A23" s="22">
        <f t="shared" si="0"/>
        <v>20</v>
      </c>
      <c r="B23" s="22">
        <v>0.99789855963237184</v>
      </c>
      <c r="C23" s="31"/>
      <c r="D23" s="25"/>
    </row>
    <row r="24" spans="1:4">
      <c r="A24" s="22">
        <f t="shared" si="0"/>
        <v>21</v>
      </c>
      <c r="B24" s="22">
        <v>0.24152016653688591</v>
      </c>
      <c r="C24" s="31"/>
      <c r="D24" s="25"/>
    </row>
    <row r="25" spans="1:4">
      <c r="A25" s="22">
        <f t="shared" si="0"/>
        <v>22</v>
      </c>
      <c r="B25" s="22">
        <v>0.27467402991121126</v>
      </c>
      <c r="C25" s="31"/>
      <c r="D25" s="25"/>
    </row>
    <row r="26" spans="1:4">
      <c r="A26" s="22">
        <f t="shared" si="0"/>
        <v>23</v>
      </c>
      <c r="B26" s="22">
        <v>0.11920393611599112</v>
      </c>
      <c r="C26" s="31"/>
      <c r="D26" s="25"/>
    </row>
    <row r="27" spans="1:4">
      <c r="A27" s="22">
        <f t="shared" si="0"/>
        <v>24</v>
      </c>
      <c r="B27" s="22">
        <v>0.48830831326481416</v>
      </c>
      <c r="C27" s="31"/>
      <c r="D27" s="25"/>
    </row>
    <row r="28" spans="1:4">
      <c r="A28" s="22">
        <f t="shared" si="0"/>
        <v>25</v>
      </c>
      <c r="B28" s="22">
        <v>0.26834617743584954</v>
      </c>
      <c r="C28" s="31"/>
      <c r="D28" s="25"/>
    </row>
    <row r="29" spans="1:4">
      <c r="A29" s="22">
        <f t="shared" si="0"/>
        <v>26</v>
      </c>
      <c r="B29" s="22">
        <v>8.0021860471217621E-2</v>
      </c>
      <c r="C29" s="31"/>
      <c r="D29" s="25"/>
    </row>
    <row r="30" spans="1:4">
      <c r="A30" s="22">
        <f t="shared" si="0"/>
        <v>27</v>
      </c>
      <c r="B30" s="22">
        <v>0.48538304867575222</v>
      </c>
      <c r="C30" s="31"/>
      <c r="D30" s="25"/>
    </row>
    <row r="31" spans="1:4">
      <c r="A31" s="22">
        <f t="shared" si="0"/>
        <v>28</v>
      </c>
      <c r="B31" s="22">
        <v>0.71258603104469964</v>
      </c>
      <c r="C31" s="31"/>
      <c r="D31" s="25"/>
    </row>
    <row r="32" spans="1:4">
      <c r="A32" s="22">
        <f t="shared" si="0"/>
        <v>29</v>
      </c>
      <c r="B32" s="22">
        <v>0.62608798668497223</v>
      </c>
      <c r="C32" s="31"/>
      <c r="D32" s="25"/>
    </row>
    <row r="33" spans="1:4">
      <c r="A33" s="22">
        <f t="shared" si="0"/>
        <v>30</v>
      </c>
      <c r="B33" s="22">
        <v>8.4067610406807769E-2</v>
      </c>
      <c r="C33" s="31"/>
      <c r="D33" s="25"/>
    </row>
    <row r="34" spans="1:4">
      <c r="A34" s="22">
        <f t="shared" si="0"/>
        <v>31</v>
      </c>
      <c r="B34" s="22">
        <v>0.80190303144805164</v>
      </c>
      <c r="C34" s="31"/>
      <c r="D34" s="25"/>
    </row>
    <row r="35" spans="1:4">
      <c r="A35" s="22">
        <f t="shared" si="0"/>
        <v>32</v>
      </c>
      <c r="B35" s="22">
        <v>0.26714473756400681</v>
      </c>
      <c r="C35" s="31"/>
      <c r="D35" s="25"/>
    </row>
    <row r="36" spans="1:4">
      <c r="A36" s="22">
        <f t="shared" si="0"/>
        <v>33</v>
      </c>
      <c r="B36" s="22">
        <v>0.16793906012931714</v>
      </c>
      <c r="C36" s="31"/>
      <c r="D36" s="25"/>
    </row>
    <row r="37" spans="1:4">
      <c r="A37" s="22">
        <f t="shared" si="0"/>
        <v>34</v>
      </c>
      <c r="B37" s="22">
        <v>0.34141670338983232</v>
      </c>
      <c r="C37" s="31"/>
      <c r="D37" s="25"/>
    </row>
    <row r="38" spans="1:4">
      <c r="A38" s="22">
        <f t="shared" si="0"/>
        <v>35</v>
      </c>
      <c r="B38" s="22">
        <v>9.6660055864225214E-2</v>
      </c>
      <c r="C38" s="31"/>
      <c r="D38" s="25"/>
    </row>
    <row r="39" spans="1:4">
      <c r="A39" s="22">
        <f t="shared" si="0"/>
        <v>36</v>
      </c>
      <c r="B39" s="22">
        <v>0.46384156545190569</v>
      </c>
      <c r="C39" s="31"/>
      <c r="D39" s="25"/>
    </row>
    <row r="40" spans="1:4">
      <c r="A40" s="22">
        <f t="shared" si="0"/>
        <v>37</v>
      </c>
      <c r="B40" s="22">
        <v>0.13511552949438577</v>
      </c>
      <c r="C40" s="31"/>
      <c r="D40" s="25"/>
    </row>
    <row r="41" spans="1:4">
      <c r="A41" s="22">
        <f t="shared" si="0"/>
        <v>38</v>
      </c>
      <c r="B41" s="22">
        <v>0.12206499991864672</v>
      </c>
      <c r="C41" s="31"/>
      <c r="D41" s="25"/>
    </row>
    <row r="42" spans="1:4">
      <c r="A42" s="22">
        <f t="shared" si="0"/>
        <v>39</v>
      </c>
      <c r="B42" s="22">
        <v>0.83666150609607404</v>
      </c>
      <c r="C42" s="31"/>
      <c r="D42" s="25"/>
    </row>
    <row r="43" spans="1:4">
      <c r="A43" s="22">
        <f t="shared" si="0"/>
        <v>40</v>
      </c>
      <c r="B43" s="22">
        <v>0.81377619651256006</v>
      </c>
      <c r="C43" s="31"/>
      <c r="D43" s="25"/>
    </row>
    <row r="44" spans="1:4">
      <c r="A44" s="22">
        <f t="shared" si="0"/>
        <v>41</v>
      </c>
      <c r="B44" s="22">
        <v>0.12444860323995455</v>
      </c>
      <c r="C44" s="31"/>
      <c r="D44" s="25"/>
    </row>
    <row r="45" spans="1:4">
      <c r="A45" s="22">
        <f t="shared" si="0"/>
        <v>42</v>
      </c>
      <c r="B45" s="22">
        <v>0.49077093852469544</v>
      </c>
      <c r="C45" s="31"/>
      <c r="D45" s="25"/>
    </row>
    <row r="46" spans="1:4">
      <c r="A46" s="22">
        <f t="shared" si="0"/>
        <v>43</v>
      </c>
      <c r="B46" s="22">
        <v>0.19223731723170601</v>
      </c>
      <c r="C46" s="31"/>
      <c r="D46" s="25"/>
    </row>
    <row r="47" spans="1:4">
      <c r="A47" s="22">
        <f t="shared" si="0"/>
        <v>44</v>
      </c>
      <c r="B47" s="22">
        <v>0.72324906360134267</v>
      </c>
      <c r="C47" s="31"/>
      <c r="D47" s="25"/>
    </row>
    <row r="48" spans="1:4">
      <c r="A48" s="22">
        <f t="shared" si="0"/>
        <v>45</v>
      </c>
      <c r="B48" s="22">
        <v>6.5816511066033923E-2</v>
      </c>
      <c r="C48" s="31"/>
      <c r="D48" s="25"/>
    </row>
    <row r="49" spans="1:4">
      <c r="A49" s="22">
        <f t="shared" si="0"/>
        <v>46</v>
      </c>
      <c r="B49" s="22">
        <v>0.98488717284448923</v>
      </c>
      <c r="C49" s="31"/>
      <c r="D49" s="25"/>
    </row>
    <row r="50" spans="1:4">
      <c r="A50" s="22">
        <f t="shared" si="0"/>
        <v>47</v>
      </c>
      <c r="B50" s="22">
        <v>0.57568603787334827</v>
      </c>
      <c r="C50" s="31"/>
      <c r="D50" s="25"/>
    </row>
    <row r="51" spans="1:4">
      <c r="A51" s="22">
        <f t="shared" si="0"/>
        <v>48</v>
      </c>
      <c r="B51" s="22">
        <v>0.83798520463092852</v>
      </c>
      <c r="C51" s="31"/>
      <c r="D51" s="25"/>
    </row>
    <row r="52" spans="1:4">
      <c r="A52" s="22">
        <f t="shared" si="0"/>
        <v>49</v>
      </c>
      <c r="B52" s="22">
        <v>0.54202939262142857</v>
      </c>
      <c r="C52" s="31"/>
      <c r="D52" s="25"/>
    </row>
    <row r="53" spans="1:4">
      <c r="A53" s="22">
        <f t="shared" si="0"/>
        <v>50</v>
      </c>
      <c r="B53" s="22">
        <v>8.1828057241016938E-2</v>
      </c>
      <c r="C53" s="31"/>
      <c r="D53" s="25"/>
    </row>
    <row r="54" spans="1:4">
      <c r="A54" s="22">
        <f t="shared" si="0"/>
        <v>51</v>
      </c>
      <c r="B54" s="22">
        <v>0.8015205278199935</v>
      </c>
      <c r="C54" s="31"/>
      <c r="D54" s="25"/>
    </row>
    <row r="55" spans="1:4">
      <c r="A55" s="22">
        <f t="shared" si="0"/>
        <v>52</v>
      </c>
      <c r="B55" s="22">
        <v>0.39625984088581712</v>
      </c>
      <c r="C55" s="31"/>
      <c r="D55" s="25"/>
    </row>
    <row r="56" spans="1:4">
      <c r="A56" s="22">
        <f t="shared" si="0"/>
        <v>53</v>
      </c>
      <c r="B56" s="22">
        <v>0.77737999268104518</v>
      </c>
      <c r="C56" s="31"/>
      <c r="D56" s="25"/>
    </row>
    <row r="57" spans="1:4">
      <c r="A57" s="22">
        <f t="shared" si="0"/>
        <v>54</v>
      </c>
      <c r="B57" s="22">
        <v>0.66192756688961429</v>
      </c>
      <c r="C57" s="31"/>
      <c r="D57" s="25"/>
    </row>
    <row r="58" spans="1:4">
      <c r="A58" s="22">
        <f t="shared" si="0"/>
        <v>55</v>
      </c>
      <c r="B58" s="22">
        <v>0.64274190627904304</v>
      </c>
      <c r="C58" s="31"/>
      <c r="D58" s="25"/>
    </row>
    <row r="59" spans="1:4">
      <c r="A59" s="22">
        <f t="shared" si="0"/>
        <v>56</v>
      </c>
      <c r="B59" s="22">
        <v>0.10608327128336992</v>
      </c>
      <c r="C59" s="31"/>
      <c r="D59" s="25"/>
    </row>
    <row r="60" spans="1:4">
      <c r="A60" s="22">
        <f t="shared" si="0"/>
        <v>57</v>
      </c>
      <c r="B60" s="22">
        <v>0.16783451952732142</v>
      </c>
      <c r="C60" s="31"/>
      <c r="D60" s="25"/>
    </row>
    <row r="61" spans="1:4">
      <c r="A61" s="22">
        <f t="shared" si="0"/>
        <v>58</v>
      </c>
      <c r="B61" s="22">
        <v>8.927903201330567E-2</v>
      </c>
      <c r="C61" s="31"/>
      <c r="D61" s="25"/>
    </row>
    <row r="62" spans="1:4">
      <c r="A62" s="22">
        <f t="shared" si="0"/>
        <v>59</v>
      </c>
      <c r="B62" s="22">
        <v>0.73300980924561943</v>
      </c>
      <c r="C62" s="31"/>
      <c r="D62" s="25"/>
    </row>
    <row r="63" spans="1:4">
      <c r="A63" s="22">
        <f t="shared" si="0"/>
        <v>60</v>
      </c>
      <c r="B63" s="22">
        <v>0.17914883849779262</v>
      </c>
      <c r="C63" s="31"/>
      <c r="D63" s="25"/>
    </row>
    <row r="64" spans="1:4">
      <c r="A64" s="22">
        <f t="shared" si="0"/>
        <v>61</v>
      </c>
      <c r="B64" s="22">
        <v>0.64241365533652162</v>
      </c>
      <c r="C64" s="31"/>
      <c r="D64" s="25"/>
    </row>
    <row r="65" spans="1:4">
      <c r="A65" s="22">
        <f t="shared" si="0"/>
        <v>62</v>
      </c>
      <c r="B65" s="22">
        <v>0.66205244015665965</v>
      </c>
      <c r="C65" s="31"/>
      <c r="D65" s="25"/>
    </row>
    <row r="66" spans="1:4">
      <c r="A66" s="22">
        <f t="shared" si="0"/>
        <v>63</v>
      </c>
      <c r="B66" s="22">
        <v>0.84698553015950162</v>
      </c>
      <c r="C66" s="31"/>
      <c r="D66" s="25"/>
    </row>
    <row r="67" spans="1:4">
      <c r="A67" s="22">
        <f t="shared" si="0"/>
        <v>64</v>
      </c>
      <c r="B67" s="22">
        <v>0.90351890015311842</v>
      </c>
      <c r="C67" s="31"/>
      <c r="D67" s="25"/>
    </row>
    <row r="68" spans="1:4">
      <c r="A68" s="22">
        <f t="shared" si="0"/>
        <v>65</v>
      </c>
      <c r="B68" s="22">
        <v>0.24364075798452778</v>
      </c>
      <c r="C68" s="31"/>
      <c r="D68" s="25"/>
    </row>
    <row r="69" spans="1:4">
      <c r="A69" s="22">
        <f t="shared" si="0"/>
        <v>66</v>
      </c>
      <c r="B69" s="22">
        <v>0.75533775727155728</v>
      </c>
      <c r="C69" s="31"/>
      <c r="D69" s="25"/>
    </row>
    <row r="70" spans="1:4">
      <c r="A70" s="22">
        <f t="shared" ref="A70:A103" si="1">A69+1</f>
        <v>67</v>
      </c>
      <c r="B70" s="22">
        <v>0.31007018393703545</v>
      </c>
      <c r="C70" s="31"/>
      <c r="D70" s="25"/>
    </row>
    <row r="71" spans="1:4">
      <c r="A71" s="22">
        <f t="shared" si="1"/>
        <v>68</v>
      </c>
      <c r="B71" s="22">
        <v>0.839360303726155</v>
      </c>
      <c r="C71" s="31"/>
      <c r="D71" s="25"/>
    </row>
    <row r="72" spans="1:4">
      <c r="A72" s="22">
        <f t="shared" si="1"/>
        <v>69</v>
      </c>
      <c r="B72" s="22">
        <v>0.72686535583062917</v>
      </c>
      <c r="C72" s="31"/>
      <c r="D72" s="25"/>
    </row>
    <row r="73" spans="1:4">
      <c r="A73" s="22">
        <f t="shared" si="1"/>
        <v>70</v>
      </c>
      <c r="B73" s="22">
        <v>9.9659160050133644E-2</v>
      </c>
      <c r="C73" s="31"/>
      <c r="D73" s="25"/>
    </row>
    <row r="74" spans="1:4">
      <c r="A74" s="22">
        <f t="shared" si="1"/>
        <v>71</v>
      </c>
      <c r="B74" s="22">
        <v>0.93501259717300489</v>
      </c>
      <c r="C74" s="31"/>
      <c r="D74" s="25"/>
    </row>
    <row r="75" spans="1:4">
      <c r="A75" s="22">
        <f t="shared" si="1"/>
        <v>72</v>
      </c>
      <c r="B75" s="22">
        <v>0.19077304779213422</v>
      </c>
      <c r="C75" s="31"/>
      <c r="D75" s="25"/>
    </row>
    <row r="76" spans="1:4">
      <c r="A76" s="22">
        <f t="shared" si="1"/>
        <v>73</v>
      </c>
      <c r="B76" s="22">
        <v>0.1259783240402923</v>
      </c>
      <c r="C76" s="31"/>
      <c r="D76" s="25"/>
    </row>
    <row r="77" spans="1:4">
      <c r="A77" s="22">
        <f t="shared" si="1"/>
        <v>74</v>
      </c>
      <c r="B77" s="22">
        <v>0.73416479711745453</v>
      </c>
      <c r="C77" s="31"/>
      <c r="D77" s="25"/>
    </row>
    <row r="78" spans="1:4">
      <c r="A78" s="22">
        <f t="shared" si="1"/>
        <v>75</v>
      </c>
      <c r="B78" s="22">
        <v>0.15172879090286229</v>
      </c>
      <c r="C78" s="31"/>
      <c r="D78" s="25"/>
    </row>
    <row r="79" spans="1:4">
      <c r="A79" s="22">
        <f t="shared" si="1"/>
        <v>76</v>
      </c>
      <c r="B79" s="22">
        <v>4.1727173527578598E-2</v>
      </c>
      <c r="C79" s="31"/>
      <c r="D79" s="25"/>
    </row>
    <row r="80" spans="1:4">
      <c r="A80" s="22">
        <f t="shared" si="1"/>
        <v>77</v>
      </c>
      <c r="B80" s="22">
        <v>0.81335549060543844</v>
      </c>
      <c r="C80" s="31"/>
      <c r="D80" s="25"/>
    </row>
    <row r="81" spans="1:4">
      <c r="A81" s="22">
        <f t="shared" si="1"/>
        <v>78</v>
      </c>
      <c r="B81" s="22">
        <v>9.2881165469261506E-2</v>
      </c>
      <c r="C81" s="31"/>
      <c r="D81" s="25"/>
    </row>
    <row r="82" spans="1:4">
      <c r="A82" s="22">
        <f t="shared" si="1"/>
        <v>79</v>
      </c>
      <c r="B82" s="22">
        <v>0.23795077391123054</v>
      </c>
      <c r="C82" s="31"/>
      <c r="D82" s="25"/>
    </row>
    <row r="83" spans="1:4">
      <c r="A83" s="22">
        <f t="shared" si="1"/>
        <v>80</v>
      </c>
      <c r="B83" s="22">
        <v>0.70715762516279823</v>
      </c>
      <c r="C83" s="31"/>
      <c r="D83" s="25"/>
    </row>
    <row r="84" spans="1:4">
      <c r="A84" s="22">
        <f t="shared" si="1"/>
        <v>81</v>
      </c>
      <c r="B84" s="22">
        <v>0.71739103559453454</v>
      </c>
      <c r="C84" s="31"/>
      <c r="D84" s="25"/>
    </row>
    <row r="85" spans="1:4">
      <c r="A85" s="22">
        <f t="shared" si="1"/>
        <v>82</v>
      </c>
      <c r="B85" s="22">
        <v>0.64110686326832333</v>
      </c>
      <c r="C85" s="31"/>
      <c r="D85" s="25"/>
    </row>
    <row r="86" spans="1:4">
      <c r="A86" s="22">
        <f t="shared" si="1"/>
        <v>83</v>
      </c>
      <c r="B86" s="22">
        <v>0.14217441656047325</v>
      </c>
      <c r="C86" s="31"/>
      <c r="D86" s="25"/>
    </row>
    <row r="87" spans="1:4">
      <c r="A87" s="22">
        <f t="shared" si="1"/>
        <v>84</v>
      </c>
      <c r="B87" s="22">
        <v>2.5332870560731746E-2</v>
      </c>
      <c r="C87" s="31"/>
      <c r="D87" s="25"/>
    </row>
    <row r="88" spans="1:4">
      <c r="A88" s="22">
        <f t="shared" si="1"/>
        <v>85</v>
      </c>
      <c r="B88" s="22">
        <v>0.42852857845222114</v>
      </c>
      <c r="C88" s="31"/>
      <c r="D88" s="25"/>
    </row>
    <row r="89" spans="1:4">
      <c r="A89" s="22">
        <f t="shared" si="1"/>
        <v>86</v>
      </c>
      <c r="B89" s="22">
        <v>0.34545362303204519</v>
      </c>
      <c r="C89" s="31"/>
      <c r="D89" s="25"/>
    </row>
    <row r="90" spans="1:4">
      <c r="A90" s="22">
        <f t="shared" si="1"/>
        <v>87</v>
      </c>
      <c r="B90" s="22">
        <v>0.25348175968667552</v>
      </c>
      <c r="C90" s="31"/>
      <c r="D90" s="25"/>
    </row>
    <row r="91" spans="1:4">
      <c r="A91" s="22">
        <f t="shared" si="1"/>
        <v>88</v>
      </c>
      <c r="B91" s="22">
        <v>0.15363464971894947</v>
      </c>
      <c r="C91" s="31"/>
      <c r="D91" s="25"/>
    </row>
    <row r="92" spans="1:4">
      <c r="A92" s="22">
        <f t="shared" si="1"/>
        <v>89</v>
      </c>
      <c r="B92" s="22">
        <v>0.75839869440713847</v>
      </c>
      <c r="C92" s="31"/>
      <c r="D92" s="25"/>
    </row>
    <row r="93" spans="1:4">
      <c r="A93" s="22">
        <f t="shared" si="1"/>
        <v>90</v>
      </c>
      <c r="B93" s="22">
        <v>0.78103380085464813</v>
      </c>
      <c r="C93" s="31"/>
      <c r="D93" s="25"/>
    </row>
    <row r="94" spans="1:4">
      <c r="A94" s="22">
        <f t="shared" si="1"/>
        <v>91</v>
      </c>
      <c r="B94" s="22">
        <v>0.75906884450743883</v>
      </c>
      <c r="C94" s="31"/>
      <c r="D94" s="25"/>
    </row>
    <row r="95" spans="1:4">
      <c r="A95" s="22">
        <f t="shared" si="1"/>
        <v>92</v>
      </c>
      <c r="B95" s="22">
        <v>0.41550354327387595</v>
      </c>
      <c r="C95" s="31"/>
      <c r="D95" s="25"/>
    </row>
    <row r="96" spans="1:4">
      <c r="A96" s="22">
        <f t="shared" si="1"/>
        <v>93</v>
      </c>
      <c r="B96" s="22">
        <v>0.7160590227965985</v>
      </c>
      <c r="C96" s="31"/>
      <c r="D96" s="25"/>
    </row>
    <row r="97" spans="1:4">
      <c r="A97" s="22">
        <f t="shared" si="1"/>
        <v>94</v>
      </c>
      <c r="B97" s="22">
        <v>0.76200139358791408</v>
      </c>
      <c r="C97" s="31"/>
      <c r="D97" s="25"/>
    </row>
    <row r="98" spans="1:4">
      <c r="A98" s="22">
        <f t="shared" si="1"/>
        <v>95</v>
      </c>
      <c r="B98" s="22">
        <v>0.79190134506516674</v>
      </c>
      <c r="C98" s="31"/>
      <c r="D98" s="25"/>
    </row>
    <row r="99" spans="1:4">
      <c r="A99" s="22">
        <f t="shared" si="1"/>
        <v>96</v>
      </c>
      <c r="B99" s="22">
        <v>0.49952621410534703</v>
      </c>
      <c r="C99" s="31"/>
      <c r="D99" s="25"/>
    </row>
    <row r="100" spans="1:4">
      <c r="A100" s="22">
        <f t="shared" si="1"/>
        <v>97</v>
      </c>
      <c r="B100" s="22">
        <v>0.53795168211722855</v>
      </c>
      <c r="C100" s="31"/>
      <c r="D100" s="25"/>
    </row>
    <row r="101" spans="1:4">
      <c r="A101" s="22">
        <f t="shared" si="1"/>
        <v>98</v>
      </c>
      <c r="B101" s="22">
        <v>0.32397566260382715</v>
      </c>
      <c r="C101" s="31"/>
      <c r="D101" s="25"/>
    </row>
    <row r="102" spans="1:4">
      <c r="A102" s="22">
        <f t="shared" si="1"/>
        <v>99</v>
      </c>
      <c r="B102" s="22">
        <v>0.87926653919832043</v>
      </c>
      <c r="C102" s="31"/>
      <c r="D102" s="25"/>
    </row>
    <row r="103" spans="1:4">
      <c r="A103" s="22">
        <f t="shared" si="1"/>
        <v>100</v>
      </c>
      <c r="B103" s="22">
        <v>0.93731324594344745</v>
      </c>
      <c r="C103" s="31"/>
      <c r="D103" s="2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2D898-5B3D-4FED-8B70-B6FE8F9FD2AD}">
  <dimension ref="A3:G103"/>
  <sheetViews>
    <sheetView workbookViewId="0"/>
  </sheetViews>
  <sheetFormatPr defaultColWidth="8.7265625" defaultRowHeight="14"/>
  <cols>
    <col min="1" max="4" width="8.7265625" style="22"/>
    <col min="5" max="5" width="14.26953125" style="22" customWidth="1"/>
    <col min="6" max="6" width="15.1796875" style="22" customWidth="1"/>
    <col min="7" max="7" width="11.26953125" style="22" bestFit="1" customWidth="1"/>
    <col min="8" max="16384" width="8.7265625" style="22"/>
  </cols>
  <sheetData>
    <row r="3" spans="1:7">
      <c r="A3" s="22" t="s">
        <v>101</v>
      </c>
      <c r="D3" s="22" t="s">
        <v>102</v>
      </c>
      <c r="E3" s="22" t="s">
        <v>103</v>
      </c>
      <c r="F3" s="22" t="s">
        <v>104</v>
      </c>
      <c r="G3" s="22" t="s">
        <v>105</v>
      </c>
    </row>
    <row r="4" spans="1:7">
      <c r="D4" s="22">
        <v>1</v>
      </c>
      <c r="E4" s="28">
        <f>'Q.5 Data'!B4</f>
        <v>0.49487025642980143</v>
      </c>
      <c r="F4" s="32">
        <f>_xlfn.NORM.INV(E4,$B$5,$B$6)</f>
        <v>-1.6716329010173182E-3</v>
      </c>
      <c r="G4" s="33">
        <f>_xlfn.NORM.INV(E4,$B$11,$B$12)</f>
        <v>0.14832836709898267</v>
      </c>
    </row>
    <row r="5" spans="1:7">
      <c r="A5" s="22" t="s">
        <v>81</v>
      </c>
      <c r="B5" s="33">
        <v>0</v>
      </c>
      <c r="D5" s="22">
        <f>D4+1</f>
        <v>2</v>
      </c>
      <c r="E5" s="28">
        <f>'Q.5 Data'!B5</f>
        <v>0.62434727255911981</v>
      </c>
      <c r="F5" s="32">
        <f t="shared" ref="F5:F68" si="0">_xlfn.NORM.INV(E5,$B$5,$B$6)</f>
        <v>4.1199403151014898E-2</v>
      </c>
      <c r="G5" s="33">
        <f t="shared" ref="G5:G68" si="1">_xlfn.NORM.INV(E5,$B$11,$B$12)</f>
        <v>0.19119940315101489</v>
      </c>
    </row>
    <row r="6" spans="1:7">
      <c r="A6" s="22" t="s">
        <v>106</v>
      </c>
      <c r="B6" s="33">
        <v>0.13</v>
      </c>
      <c r="D6" s="22">
        <f t="shared" ref="D6:D69" si="2">D5+1</f>
        <v>3</v>
      </c>
      <c r="E6" s="28">
        <f>'Q.5 Data'!B6</f>
        <v>0.74251176877144565</v>
      </c>
      <c r="F6" s="32">
        <f t="shared" si="0"/>
        <v>8.4644102477759317E-2</v>
      </c>
      <c r="G6" s="33">
        <f t="shared" si="1"/>
        <v>0.2346441024777593</v>
      </c>
    </row>
    <row r="7" spans="1:7">
      <c r="A7" s="22" t="s">
        <v>132</v>
      </c>
      <c r="B7" s="22">
        <f>B6^2</f>
        <v>1.6900000000000002E-2</v>
      </c>
      <c r="D7" s="22">
        <f t="shared" si="2"/>
        <v>4</v>
      </c>
      <c r="E7" s="28">
        <f>'Q.5 Data'!B7</f>
        <v>0.94985038891789675</v>
      </c>
      <c r="F7" s="32">
        <f t="shared" si="0"/>
        <v>0.21364261488490857</v>
      </c>
      <c r="G7" s="33">
        <f t="shared" si="1"/>
        <v>0.36364261488490857</v>
      </c>
    </row>
    <row r="8" spans="1:7">
      <c r="D8" s="22">
        <f t="shared" si="2"/>
        <v>5</v>
      </c>
      <c r="E8" s="28">
        <f>'Q.5 Data'!B8</f>
        <v>0.12003514464437526</v>
      </c>
      <c r="F8" s="32">
        <f t="shared" si="0"/>
        <v>-0.15272544592980836</v>
      </c>
      <c r="G8" s="33">
        <f t="shared" si="1"/>
        <v>-2.7254459298083622E-3</v>
      </c>
    </row>
    <row r="9" spans="1:7">
      <c r="A9" s="22" t="s">
        <v>107</v>
      </c>
      <c r="D9" s="22">
        <f t="shared" si="2"/>
        <v>6</v>
      </c>
      <c r="E9" s="28">
        <f>'Q.5 Data'!B9</f>
        <v>0.67502861854240614</v>
      </c>
      <c r="F9" s="32">
        <f t="shared" si="0"/>
        <v>5.8999421835389497E-2</v>
      </c>
      <c r="G9" s="33">
        <f t="shared" si="1"/>
        <v>0.2089994218353895</v>
      </c>
    </row>
    <row r="10" spans="1:7">
      <c r="D10" s="22">
        <f t="shared" si="2"/>
        <v>7</v>
      </c>
      <c r="E10" s="28">
        <f>'Q.5 Data'!B10</f>
        <v>0.29407919654830006</v>
      </c>
      <c r="F10" s="32">
        <f t="shared" si="0"/>
        <v>-7.0395868689386826E-2</v>
      </c>
      <c r="G10" s="33">
        <f t="shared" si="1"/>
        <v>7.9604131310613169E-2</v>
      </c>
    </row>
    <row r="11" spans="1:7">
      <c r="A11" s="22" t="s">
        <v>81</v>
      </c>
      <c r="B11" s="33">
        <v>0.15</v>
      </c>
      <c r="D11" s="22">
        <f t="shared" si="2"/>
        <v>8</v>
      </c>
      <c r="E11" s="28">
        <f>'Q.5 Data'!B11</f>
        <v>0.97795030125229843</v>
      </c>
      <c r="F11" s="32">
        <f t="shared" si="0"/>
        <v>0.26170882507922039</v>
      </c>
      <c r="G11" s="33">
        <f t="shared" si="1"/>
        <v>0.41170882507922035</v>
      </c>
    </row>
    <row r="12" spans="1:7">
      <c r="A12" s="22" t="s">
        <v>108</v>
      </c>
      <c r="B12" s="33">
        <v>0.13</v>
      </c>
      <c r="D12" s="22">
        <f t="shared" si="2"/>
        <v>9</v>
      </c>
      <c r="E12" s="28">
        <f>'Q.5 Data'!B12</f>
        <v>0.7698696244423695</v>
      </c>
      <c r="F12" s="32">
        <f t="shared" si="0"/>
        <v>9.5994281923354255E-2</v>
      </c>
      <c r="G12" s="33">
        <f t="shared" si="1"/>
        <v>0.24599428192335426</v>
      </c>
    </row>
    <row r="13" spans="1:7">
      <c r="A13" s="22" t="s">
        <v>132</v>
      </c>
      <c r="B13" s="22">
        <f>B12^2</f>
        <v>1.6900000000000002E-2</v>
      </c>
      <c r="D13" s="22">
        <f t="shared" si="2"/>
        <v>10</v>
      </c>
      <c r="E13" s="28">
        <f>'Q.5 Data'!B13</f>
        <v>0.47879895301870778</v>
      </c>
      <c r="F13" s="32">
        <f t="shared" si="0"/>
        <v>-6.9118637891606863E-3</v>
      </c>
      <c r="G13" s="33">
        <f t="shared" si="1"/>
        <v>0.1430881362108393</v>
      </c>
    </row>
    <row r="14" spans="1:7">
      <c r="D14" s="22">
        <f t="shared" si="2"/>
        <v>11</v>
      </c>
      <c r="E14" s="28">
        <f>'Q.5 Data'!B14</f>
        <v>0.99213624006090828</v>
      </c>
      <c r="F14" s="32">
        <f t="shared" si="0"/>
        <v>0.31397314535777393</v>
      </c>
      <c r="G14" s="33">
        <f t="shared" si="1"/>
        <v>0.4639731453577739</v>
      </c>
    </row>
    <row r="15" spans="1:7">
      <c r="A15" s="22" t="s">
        <v>109</v>
      </c>
      <c r="D15" s="22">
        <f t="shared" si="2"/>
        <v>12</v>
      </c>
      <c r="E15" s="28">
        <f>'Q.5 Data'!B15</f>
        <v>0.69205896475869055</v>
      </c>
      <c r="F15" s="32">
        <f t="shared" si="0"/>
        <v>6.5220352159386472E-2</v>
      </c>
      <c r="G15" s="33">
        <f t="shared" si="1"/>
        <v>0.21522035215938645</v>
      </c>
    </row>
    <row r="16" spans="1:7">
      <c r="A16" s="22" t="s">
        <v>110</v>
      </c>
      <c r="B16" s="28">
        <v>0.75</v>
      </c>
      <c r="D16" s="22">
        <f t="shared" si="2"/>
        <v>13</v>
      </c>
      <c r="E16" s="28">
        <f>'Q.5 Data'!B16</f>
        <v>0.46017052709669826</v>
      </c>
      <c r="F16" s="32">
        <f t="shared" si="0"/>
        <v>-1.3000535659641483E-2</v>
      </c>
      <c r="G16" s="33">
        <f t="shared" si="1"/>
        <v>0.13699946434035851</v>
      </c>
    </row>
    <row r="17" spans="1:7">
      <c r="A17" s="22" t="s">
        <v>111</v>
      </c>
      <c r="B17" s="28">
        <v>0.25</v>
      </c>
      <c r="D17" s="22">
        <f t="shared" si="2"/>
        <v>14</v>
      </c>
      <c r="E17" s="28">
        <f>'Q.5 Data'!B17</f>
        <v>0.89565094347624963</v>
      </c>
      <c r="F17" s="32">
        <f t="shared" si="0"/>
        <v>0.16342993506780454</v>
      </c>
      <c r="G17" s="33">
        <f t="shared" si="1"/>
        <v>0.31342993506780453</v>
      </c>
    </row>
    <row r="18" spans="1:7">
      <c r="D18" s="22">
        <f t="shared" si="2"/>
        <v>15</v>
      </c>
      <c r="E18" s="28">
        <f>'Q.5 Data'!B18</f>
        <v>0.49734834038599729</v>
      </c>
      <c r="F18" s="32">
        <f t="shared" si="0"/>
        <v>-8.6408060762457482E-4</v>
      </c>
      <c r="G18" s="33">
        <f t="shared" si="1"/>
        <v>0.14913591939237542</v>
      </c>
    </row>
    <row r="19" spans="1:7">
      <c r="D19" s="22">
        <f t="shared" si="2"/>
        <v>16</v>
      </c>
      <c r="E19" s="28">
        <f>'Q.5 Data'!B19</f>
        <v>0.97496610200990375</v>
      </c>
      <c r="F19" s="32">
        <f t="shared" si="0"/>
        <v>0.254719961144245</v>
      </c>
      <c r="G19" s="33">
        <f t="shared" si="1"/>
        <v>0.40471996114424502</v>
      </c>
    </row>
    <row r="20" spans="1:7">
      <c r="D20" s="22">
        <f t="shared" si="2"/>
        <v>17</v>
      </c>
      <c r="E20" s="28">
        <f>'Q.5 Data'!B20</f>
        <v>0.21980668252406677</v>
      </c>
      <c r="F20" s="32">
        <f t="shared" si="0"/>
        <v>-0.1004700153642752</v>
      </c>
      <c r="G20" s="33">
        <f t="shared" si="1"/>
        <v>4.9529984635724791E-2</v>
      </c>
    </row>
    <row r="21" spans="1:7">
      <c r="D21" s="22">
        <f t="shared" si="2"/>
        <v>18</v>
      </c>
      <c r="E21" s="28">
        <f>'Q.5 Data'!B21</f>
        <v>0.62716259915668493</v>
      </c>
      <c r="F21" s="32">
        <f t="shared" si="0"/>
        <v>4.2165202514384721E-2</v>
      </c>
      <c r="G21" s="33">
        <f t="shared" si="1"/>
        <v>0.19216520251438471</v>
      </c>
    </row>
    <row r="22" spans="1:7">
      <c r="D22" s="22">
        <f t="shared" si="2"/>
        <v>19</v>
      </c>
      <c r="E22" s="28">
        <f>'Q.5 Data'!B22</f>
        <v>0.48822509760983768</v>
      </c>
      <c r="F22" s="32">
        <f t="shared" si="0"/>
        <v>-3.8375466949011052E-3</v>
      </c>
      <c r="G22" s="33">
        <f t="shared" si="1"/>
        <v>0.14616245330509889</v>
      </c>
    </row>
    <row r="23" spans="1:7">
      <c r="D23" s="22">
        <f t="shared" si="2"/>
        <v>20</v>
      </c>
      <c r="E23" s="28">
        <f>'Q.5 Data'!B23</f>
        <v>0.99789855963237184</v>
      </c>
      <c r="F23" s="32">
        <f t="shared" si="0"/>
        <v>0.3721274687449998</v>
      </c>
      <c r="G23" s="33">
        <f t="shared" si="1"/>
        <v>0.52212746874499982</v>
      </c>
    </row>
    <row r="24" spans="1:7">
      <c r="D24" s="22">
        <f t="shared" si="2"/>
        <v>21</v>
      </c>
      <c r="E24" s="28">
        <f>'Q.5 Data'!B24</f>
        <v>0.24152016653688591</v>
      </c>
      <c r="F24" s="32">
        <f t="shared" si="0"/>
        <v>-9.1184727334313348E-2</v>
      </c>
      <c r="G24" s="33">
        <f t="shared" si="1"/>
        <v>5.8815272665686646E-2</v>
      </c>
    </row>
    <row r="25" spans="1:7">
      <c r="D25" s="22">
        <f t="shared" si="2"/>
        <v>22</v>
      </c>
      <c r="E25" s="28">
        <f>'Q.5 Data'!B25</f>
        <v>0.27467402991121126</v>
      </c>
      <c r="F25" s="32">
        <f t="shared" si="0"/>
        <v>-7.7835852844695561E-2</v>
      </c>
      <c r="G25" s="33">
        <f t="shared" si="1"/>
        <v>7.2164147155304434E-2</v>
      </c>
    </row>
    <row r="26" spans="1:7">
      <c r="D26" s="22">
        <f t="shared" si="2"/>
        <v>23</v>
      </c>
      <c r="E26" s="28">
        <f>'Q.5 Data'!B26</f>
        <v>0.11920393611599112</v>
      </c>
      <c r="F26" s="32">
        <f t="shared" si="0"/>
        <v>-0.15326683443618114</v>
      </c>
      <c r="G26" s="33">
        <f t="shared" si="1"/>
        <v>-3.266834436181143E-3</v>
      </c>
    </row>
    <row r="27" spans="1:7">
      <c r="D27" s="22">
        <f t="shared" si="2"/>
        <v>24</v>
      </c>
      <c r="E27" s="28">
        <f>'Q.5 Data'!B27</f>
        <v>0.48830831326481416</v>
      </c>
      <c r="F27" s="32">
        <f t="shared" si="0"/>
        <v>-3.8104181680425385E-3</v>
      </c>
      <c r="G27" s="33">
        <f t="shared" si="1"/>
        <v>0.14618958183195746</v>
      </c>
    </row>
    <row r="28" spans="1:7">
      <c r="D28" s="22">
        <f t="shared" si="2"/>
        <v>25</v>
      </c>
      <c r="E28" s="28">
        <f>'Q.5 Data'!B28</f>
        <v>0.26834617743584954</v>
      </c>
      <c r="F28" s="32">
        <f t="shared" si="0"/>
        <v>-8.0316924059443323E-2</v>
      </c>
      <c r="G28" s="33">
        <f t="shared" si="1"/>
        <v>6.9683075940556671E-2</v>
      </c>
    </row>
    <row r="29" spans="1:7">
      <c r="D29" s="22">
        <f t="shared" si="2"/>
        <v>26</v>
      </c>
      <c r="E29" s="28">
        <f>'Q.5 Data'!B29</f>
        <v>8.0021860471217621E-2</v>
      </c>
      <c r="F29" s="32">
        <f t="shared" si="0"/>
        <v>-0.18264018909931867</v>
      </c>
      <c r="G29" s="33">
        <f t="shared" si="1"/>
        <v>-3.2640189099318678E-2</v>
      </c>
    </row>
    <row r="30" spans="1:7">
      <c r="D30" s="22">
        <f t="shared" si="2"/>
        <v>27</v>
      </c>
      <c r="E30" s="28">
        <f>'Q.5 Data'!B30</f>
        <v>0.48538304867575222</v>
      </c>
      <c r="F30" s="32">
        <f t="shared" si="0"/>
        <v>-4.7641704466585026E-3</v>
      </c>
      <c r="G30" s="33">
        <f t="shared" si="1"/>
        <v>0.14523582955334149</v>
      </c>
    </row>
    <row r="31" spans="1:7">
      <c r="D31" s="22">
        <f t="shared" si="2"/>
        <v>28</v>
      </c>
      <c r="E31" s="28">
        <f>'Q.5 Data'!B31</f>
        <v>0.71258603104469964</v>
      </c>
      <c r="F31" s="32">
        <f t="shared" si="0"/>
        <v>7.2924202742208052E-2</v>
      </c>
      <c r="G31" s="33">
        <f t="shared" si="1"/>
        <v>0.22292420274220803</v>
      </c>
    </row>
    <row r="32" spans="1:7">
      <c r="D32" s="22">
        <f t="shared" si="2"/>
        <v>29</v>
      </c>
      <c r="E32" s="28">
        <f>'Q.5 Data'!B32</f>
        <v>0.62608798668497223</v>
      </c>
      <c r="F32" s="32">
        <f t="shared" si="0"/>
        <v>4.1796284331491233E-2</v>
      </c>
      <c r="G32" s="33">
        <f t="shared" si="1"/>
        <v>0.19179628433149123</v>
      </c>
    </row>
    <row r="33" spans="4:7">
      <c r="D33" s="22">
        <f t="shared" si="2"/>
        <v>30</v>
      </c>
      <c r="E33" s="28">
        <f>'Q.5 Data'!B33</f>
        <v>8.4067610406807769E-2</v>
      </c>
      <c r="F33" s="32">
        <f t="shared" si="0"/>
        <v>-0.17916866456806677</v>
      </c>
      <c r="G33" s="33">
        <f t="shared" si="1"/>
        <v>-2.9168664568066771E-2</v>
      </c>
    </row>
    <row r="34" spans="4:7">
      <c r="D34" s="22">
        <f t="shared" si="2"/>
        <v>31</v>
      </c>
      <c r="E34" s="28">
        <f>'Q.5 Data'!B34</f>
        <v>0.80190303144805164</v>
      </c>
      <c r="F34" s="32">
        <f t="shared" si="0"/>
        <v>0.11029697510472118</v>
      </c>
      <c r="G34" s="33">
        <f t="shared" si="1"/>
        <v>0.26029697510472116</v>
      </c>
    </row>
    <row r="35" spans="4:7">
      <c r="D35" s="22">
        <f t="shared" si="2"/>
        <v>32</v>
      </c>
      <c r="E35" s="28">
        <f>'Q.5 Data'!B35</f>
        <v>0.26714473756400681</v>
      </c>
      <c r="F35" s="32">
        <f t="shared" si="0"/>
        <v>-8.0791288192499089E-2</v>
      </c>
      <c r="G35" s="33">
        <f t="shared" si="1"/>
        <v>6.9208711807500906E-2</v>
      </c>
    </row>
    <row r="36" spans="4:7">
      <c r="D36" s="22">
        <f t="shared" si="2"/>
        <v>33</v>
      </c>
      <c r="E36" s="28">
        <f>'Q.5 Data'!B36</f>
        <v>0.16793906012931714</v>
      </c>
      <c r="F36" s="32">
        <f t="shared" si="0"/>
        <v>-0.12510438692100465</v>
      </c>
      <c r="G36" s="33">
        <f t="shared" si="1"/>
        <v>2.4895613078995349E-2</v>
      </c>
    </row>
    <row r="37" spans="4:7">
      <c r="D37" s="22">
        <f t="shared" si="2"/>
        <v>34</v>
      </c>
      <c r="E37" s="28">
        <f>'Q.5 Data'!B37</f>
        <v>0.34141670338983232</v>
      </c>
      <c r="F37" s="32">
        <f t="shared" si="0"/>
        <v>-5.3117968807517367E-2</v>
      </c>
      <c r="G37" s="33">
        <f t="shared" si="1"/>
        <v>9.6882031192482621E-2</v>
      </c>
    </row>
    <row r="38" spans="4:7">
      <c r="D38" s="22">
        <f t="shared" si="2"/>
        <v>35</v>
      </c>
      <c r="E38" s="28">
        <f>'Q.5 Data'!B38</f>
        <v>9.6660055864225214E-2</v>
      </c>
      <c r="F38" s="32">
        <f t="shared" si="0"/>
        <v>-0.16910658584720925</v>
      </c>
      <c r="G38" s="33">
        <f t="shared" si="1"/>
        <v>-1.9106585847209256E-2</v>
      </c>
    </row>
    <row r="39" spans="4:7">
      <c r="D39" s="22">
        <f t="shared" si="2"/>
        <v>36</v>
      </c>
      <c r="E39" s="28">
        <f>'Q.5 Data'!B39</f>
        <v>0.46384156545190569</v>
      </c>
      <c r="F39" s="32">
        <f t="shared" si="0"/>
        <v>-1.1798826715484543E-2</v>
      </c>
      <c r="G39" s="33">
        <f t="shared" si="1"/>
        <v>0.13820117328451545</v>
      </c>
    </row>
    <row r="40" spans="4:7">
      <c r="D40" s="22">
        <f t="shared" si="2"/>
        <v>37</v>
      </c>
      <c r="E40" s="28">
        <f>'Q.5 Data'!B40</f>
        <v>0.13511552949438577</v>
      </c>
      <c r="F40" s="32">
        <f t="shared" si="0"/>
        <v>-0.14332897914881604</v>
      </c>
      <c r="G40" s="33">
        <f t="shared" si="1"/>
        <v>6.6710208511839564E-3</v>
      </c>
    </row>
    <row r="41" spans="4:7">
      <c r="D41" s="22">
        <f t="shared" si="2"/>
        <v>38</v>
      </c>
      <c r="E41" s="28">
        <f>'Q.5 Data'!B41</f>
        <v>0.12206499991864672</v>
      </c>
      <c r="F41" s="32">
        <f t="shared" si="0"/>
        <v>-0.15141435472614148</v>
      </c>
      <c r="G41" s="33">
        <f t="shared" si="1"/>
        <v>-1.4143547261414868E-3</v>
      </c>
    </row>
    <row r="42" spans="4:7">
      <c r="D42" s="22">
        <f t="shared" si="2"/>
        <v>39</v>
      </c>
      <c r="E42" s="28">
        <f>'Q.5 Data'!B42</f>
        <v>0.83666150609607404</v>
      </c>
      <c r="F42" s="32">
        <f t="shared" si="0"/>
        <v>0.12750779291503112</v>
      </c>
      <c r="G42" s="33">
        <f t="shared" si="1"/>
        <v>0.27750779291503114</v>
      </c>
    </row>
    <row r="43" spans="4:7">
      <c r="D43" s="22">
        <f t="shared" si="2"/>
        <v>40</v>
      </c>
      <c r="E43" s="28">
        <f>'Q.5 Data'!B43</f>
        <v>0.81377619651256006</v>
      </c>
      <c r="F43" s="32">
        <f t="shared" si="0"/>
        <v>0.11594673994783607</v>
      </c>
      <c r="G43" s="33">
        <f t="shared" si="1"/>
        <v>0.26594673994783607</v>
      </c>
    </row>
    <row r="44" spans="4:7">
      <c r="D44" s="22">
        <f t="shared" si="2"/>
        <v>41</v>
      </c>
      <c r="E44" s="28">
        <f>'Q.5 Data'!B44</f>
        <v>0.12444860323995455</v>
      </c>
      <c r="F44" s="32">
        <f t="shared" si="0"/>
        <v>-0.14989417387131912</v>
      </c>
      <c r="G44" s="33">
        <f t="shared" si="1"/>
        <v>1.0582612868087482E-4</v>
      </c>
    </row>
    <row r="45" spans="4:7">
      <c r="D45" s="22">
        <f t="shared" si="2"/>
        <v>42</v>
      </c>
      <c r="E45" s="28">
        <f>'Q.5 Data'!B45</f>
        <v>0.49077093852469544</v>
      </c>
      <c r="F45" s="32">
        <f t="shared" si="0"/>
        <v>-3.00766573453916E-3</v>
      </c>
      <c r="G45" s="33">
        <f t="shared" si="1"/>
        <v>0.14699233426546082</v>
      </c>
    </row>
    <row r="46" spans="4:7">
      <c r="D46" s="22">
        <f t="shared" si="2"/>
        <v>43</v>
      </c>
      <c r="E46" s="28">
        <f>'Q.5 Data'!B46</f>
        <v>0.19223731723170601</v>
      </c>
      <c r="F46" s="32">
        <f t="shared" si="0"/>
        <v>-0.11305855946093048</v>
      </c>
      <c r="G46" s="33">
        <f t="shared" si="1"/>
        <v>3.6941440539069517E-2</v>
      </c>
    </row>
    <row r="47" spans="4:7">
      <c r="D47" s="22">
        <f t="shared" si="2"/>
        <v>44</v>
      </c>
      <c r="E47" s="28">
        <f>'Q.5 Data'!B47</f>
        <v>0.72324906360134267</v>
      </c>
      <c r="F47" s="32">
        <f t="shared" si="0"/>
        <v>7.7027708614290161E-2</v>
      </c>
      <c r="G47" s="33">
        <f t="shared" si="1"/>
        <v>0.22702770861429017</v>
      </c>
    </row>
    <row r="48" spans="4:7">
      <c r="D48" s="22">
        <f t="shared" si="2"/>
        <v>45</v>
      </c>
      <c r="E48" s="28">
        <f>'Q.5 Data'!B48</f>
        <v>6.5816511066033923E-2</v>
      </c>
      <c r="F48" s="32">
        <f t="shared" si="0"/>
        <v>-0.19600013862794552</v>
      </c>
      <c r="G48" s="33">
        <f t="shared" si="1"/>
        <v>-4.6000138627945525E-2</v>
      </c>
    </row>
    <row r="49" spans="4:7">
      <c r="D49" s="22">
        <f t="shared" si="2"/>
        <v>46</v>
      </c>
      <c r="E49" s="28">
        <f>'Q.5 Data'!B49</f>
        <v>0.98488717284448923</v>
      </c>
      <c r="F49" s="32">
        <f t="shared" si="0"/>
        <v>0.28172568694171879</v>
      </c>
      <c r="G49" s="33">
        <f t="shared" si="1"/>
        <v>0.43172568694171876</v>
      </c>
    </row>
    <row r="50" spans="4:7">
      <c r="D50" s="22">
        <f t="shared" si="2"/>
        <v>47</v>
      </c>
      <c r="E50" s="28">
        <f>'Q.5 Data'!B50</f>
        <v>0.57568603787334827</v>
      </c>
      <c r="F50" s="32">
        <f t="shared" si="0"/>
        <v>2.4813020408014905E-2</v>
      </c>
      <c r="G50" s="33">
        <f t="shared" si="1"/>
        <v>0.17481302040801489</v>
      </c>
    </row>
    <row r="51" spans="4:7">
      <c r="D51" s="22">
        <f t="shared" si="2"/>
        <v>48</v>
      </c>
      <c r="E51" s="28">
        <f>'Q.5 Data'!B51</f>
        <v>0.83798520463092852</v>
      </c>
      <c r="F51" s="32">
        <f t="shared" si="0"/>
        <v>0.12820742782068412</v>
      </c>
      <c r="G51" s="33">
        <f t="shared" si="1"/>
        <v>0.27820742782068408</v>
      </c>
    </row>
    <row r="52" spans="4:7">
      <c r="D52" s="22">
        <f t="shared" si="2"/>
        <v>49</v>
      </c>
      <c r="E52" s="28">
        <f>'Q.5 Data'!B52</f>
        <v>0.54202939262142857</v>
      </c>
      <c r="F52" s="32">
        <f t="shared" si="0"/>
        <v>1.3721202220629091E-2</v>
      </c>
      <c r="G52" s="33">
        <f t="shared" si="1"/>
        <v>0.16372120222062908</v>
      </c>
    </row>
    <row r="53" spans="4:7">
      <c r="D53" s="22">
        <f t="shared" si="2"/>
        <v>50</v>
      </c>
      <c r="E53" s="28">
        <f>'Q.5 Data'!B53</f>
        <v>8.1828057241016938E-2</v>
      </c>
      <c r="F53" s="32">
        <f t="shared" si="0"/>
        <v>-0.18107438574037216</v>
      </c>
      <c r="G53" s="33">
        <f t="shared" si="1"/>
        <v>-3.1074385740372162E-2</v>
      </c>
    </row>
    <row r="54" spans="4:7">
      <c r="D54" s="22">
        <f t="shared" si="2"/>
        <v>51</v>
      </c>
      <c r="E54" s="28">
        <f>'Q.5 Data'!B54</f>
        <v>0.8015205278199935</v>
      </c>
      <c r="F54" s="32">
        <f t="shared" si="0"/>
        <v>0.11011843785830004</v>
      </c>
      <c r="G54" s="33">
        <f t="shared" si="1"/>
        <v>0.26011843785830002</v>
      </c>
    </row>
    <row r="55" spans="4:7">
      <c r="D55" s="22">
        <f t="shared" si="2"/>
        <v>52</v>
      </c>
      <c r="E55" s="28">
        <f>'Q.5 Data'!B55</f>
        <v>0.39625984088581712</v>
      </c>
      <c r="F55" s="32">
        <f t="shared" si="0"/>
        <v>-3.4195211306011462E-2</v>
      </c>
      <c r="G55" s="33">
        <f t="shared" si="1"/>
        <v>0.11580478869398853</v>
      </c>
    </row>
    <row r="56" spans="4:7">
      <c r="D56" s="22">
        <f t="shared" si="2"/>
        <v>53</v>
      </c>
      <c r="E56" s="28">
        <f>'Q.5 Data'!B56</f>
        <v>0.77737999268104518</v>
      </c>
      <c r="F56" s="32">
        <f t="shared" si="0"/>
        <v>9.9238699939556113E-2</v>
      </c>
      <c r="G56" s="33">
        <f t="shared" si="1"/>
        <v>0.24923869993955611</v>
      </c>
    </row>
    <row r="57" spans="4:7">
      <c r="D57" s="22">
        <f t="shared" si="2"/>
        <v>54</v>
      </c>
      <c r="E57" s="28">
        <f>'Q.5 Data'!B57</f>
        <v>0.66192756688961429</v>
      </c>
      <c r="F57" s="32">
        <f t="shared" si="0"/>
        <v>5.4304841214252386E-2</v>
      </c>
      <c r="G57" s="33">
        <f t="shared" si="1"/>
        <v>0.20430484121425238</v>
      </c>
    </row>
    <row r="58" spans="4:7">
      <c r="D58" s="22">
        <f t="shared" si="2"/>
        <v>55</v>
      </c>
      <c r="E58" s="28">
        <f>'Q.5 Data'!B58</f>
        <v>0.64274190627904304</v>
      </c>
      <c r="F58" s="32">
        <f t="shared" si="0"/>
        <v>4.7553674661991861E-2</v>
      </c>
      <c r="G58" s="33">
        <f t="shared" si="1"/>
        <v>0.19755367466199186</v>
      </c>
    </row>
    <row r="59" spans="4:7">
      <c r="D59" s="22">
        <f t="shared" si="2"/>
        <v>56</v>
      </c>
      <c r="E59" s="28">
        <f>'Q.5 Data'!B59</f>
        <v>0.10608327128336992</v>
      </c>
      <c r="F59" s="32">
        <f t="shared" si="0"/>
        <v>-0.16219191571464114</v>
      </c>
      <c r="G59" s="33">
        <f t="shared" si="1"/>
        <v>-1.2191915714641149E-2</v>
      </c>
    </row>
    <row r="60" spans="4:7">
      <c r="D60" s="22">
        <f t="shared" si="2"/>
        <v>57</v>
      </c>
      <c r="E60" s="28">
        <f>'Q.5 Data'!B60</f>
        <v>0.16783451952732142</v>
      </c>
      <c r="F60" s="32">
        <f t="shared" si="0"/>
        <v>-0.12515852534443048</v>
      </c>
      <c r="G60" s="33">
        <f t="shared" si="1"/>
        <v>2.4841474655569518E-2</v>
      </c>
    </row>
    <row r="61" spans="4:7">
      <c r="D61" s="22">
        <f t="shared" si="2"/>
        <v>58</v>
      </c>
      <c r="E61" s="28">
        <f>'Q.5 Data'!B61</f>
        <v>8.927903201330567E-2</v>
      </c>
      <c r="F61" s="32">
        <f t="shared" si="0"/>
        <v>-0.17487704379846203</v>
      </c>
      <c r="G61" s="33">
        <f t="shared" si="1"/>
        <v>-2.4877043798462034E-2</v>
      </c>
    </row>
    <row r="62" spans="4:7">
      <c r="D62" s="22">
        <f t="shared" si="2"/>
        <v>59</v>
      </c>
      <c r="E62" s="28">
        <f>'Q.5 Data'!B62</f>
        <v>0.73300980924561943</v>
      </c>
      <c r="F62" s="32">
        <f t="shared" si="0"/>
        <v>8.0852385890143791E-2</v>
      </c>
      <c r="G62" s="33">
        <f t="shared" si="1"/>
        <v>0.23085238589014379</v>
      </c>
    </row>
    <row r="63" spans="4:7">
      <c r="D63" s="22">
        <f t="shared" si="2"/>
        <v>60</v>
      </c>
      <c r="E63" s="28">
        <f>'Q.5 Data'!B63</f>
        <v>0.17914883849779262</v>
      </c>
      <c r="F63" s="32">
        <f t="shared" si="0"/>
        <v>-0.11941977766369913</v>
      </c>
      <c r="G63" s="33">
        <f t="shared" si="1"/>
        <v>3.0580222336300866E-2</v>
      </c>
    </row>
    <row r="64" spans="4:7">
      <c r="D64" s="22">
        <f t="shared" si="2"/>
        <v>61</v>
      </c>
      <c r="E64" s="28">
        <f>'Q.5 Data'!B64</f>
        <v>0.64241365533652162</v>
      </c>
      <c r="F64" s="32">
        <f t="shared" si="0"/>
        <v>4.7439327483960216E-2</v>
      </c>
      <c r="G64" s="33">
        <f t="shared" si="1"/>
        <v>0.1974393274839602</v>
      </c>
    </row>
    <row r="65" spans="4:7">
      <c r="D65" s="22">
        <f t="shared" si="2"/>
        <v>62</v>
      </c>
      <c r="E65" s="28">
        <f>'Q.5 Data'!B65</f>
        <v>0.66205244015665965</v>
      </c>
      <c r="F65" s="32">
        <f t="shared" si="0"/>
        <v>5.4349245563138478E-2</v>
      </c>
      <c r="G65" s="33">
        <f t="shared" si="1"/>
        <v>0.20434924556313847</v>
      </c>
    </row>
    <row r="66" spans="4:7">
      <c r="D66" s="22">
        <f t="shared" si="2"/>
        <v>63</v>
      </c>
      <c r="E66" s="28">
        <f>'Q.5 Data'!B66</f>
        <v>0.84698553015950162</v>
      </c>
      <c r="F66" s="32">
        <f t="shared" si="0"/>
        <v>0.13306670847319338</v>
      </c>
      <c r="G66" s="33">
        <f t="shared" si="1"/>
        <v>0.28306670847319337</v>
      </c>
    </row>
    <row r="67" spans="4:7">
      <c r="D67" s="22">
        <f t="shared" si="2"/>
        <v>64</v>
      </c>
      <c r="E67" s="28">
        <f>'Q.5 Data'!B67</f>
        <v>0.90351890015311842</v>
      </c>
      <c r="F67" s="32">
        <f t="shared" si="0"/>
        <v>0.16924257898968245</v>
      </c>
      <c r="G67" s="33">
        <f t="shared" si="1"/>
        <v>0.31924257898968245</v>
      </c>
    </row>
    <row r="68" spans="4:7">
      <c r="D68" s="22">
        <f t="shared" si="2"/>
        <v>65</v>
      </c>
      <c r="E68" s="28">
        <f>'Q.5 Data'!B68</f>
        <v>0.24364075798452778</v>
      </c>
      <c r="F68" s="32">
        <f t="shared" si="0"/>
        <v>-9.0303080147205755E-2</v>
      </c>
      <c r="G68" s="33">
        <f t="shared" si="1"/>
        <v>5.9696919852794239E-2</v>
      </c>
    </row>
    <row r="69" spans="4:7">
      <c r="D69" s="22">
        <f t="shared" si="2"/>
        <v>66</v>
      </c>
      <c r="E69" s="28">
        <f>'Q.5 Data'!B69</f>
        <v>0.75533775727155728</v>
      </c>
      <c r="F69" s="32">
        <f t="shared" ref="F69:F103" si="3">_xlfn.NORM.INV(E69,$B$5,$B$6)</f>
        <v>8.9879872570590574E-2</v>
      </c>
      <c r="G69" s="33">
        <f t="shared" ref="G69:G103" si="4">_xlfn.NORM.INV(E69,$B$11,$B$12)</f>
        <v>0.23987987257059057</v>
      </c>
    </row>
    <row r="70" spans="4:7">
      <c r="D70" s="22">
        <f t="shared" ref="D70:D103" si="5">D69+1</f>
        <v>67</v>
      </c>
      <c r="E70" s="28">
        <f>'Q.5 Data'!B70</f>
        <v>0.31007018393703545</v>
      </c>
      <c r="F70" s="32">
        <f t="shared" si="3"/>
        <v>-6.4434684527553049E-2</v>
      </c>
      <c r="G70" s="33">
        <f t="shared" si="4"/>
        <v>8.5565315472446946E-2</v>
      </c>
    </row>
    <row r="71" spans="4:7">
      <c r="D71" s="22">
        <f t="shared" si="5"/>
        <v>68</v>
      </c>
      <c r="E71" s="28">
        <f>'Q.5 Data'!B71</f>
        <v>0.839360303726155</v>
      </c>
      <c r="F71" s="32">
        <f t="shared" si="3"/>
        <v>0.12893818458391879</v>
      </c>
      <c r="G71" s="33">
        <f t="shared" si="4"/>
        <v>0.27893818458391878</v>
      </c>
    </row>
    <row r="72" spans="4:7">
      <c r="D72" s="22">
        <f t="shared" si="5"/>
        <v>69</v>
      </c>
      <c r="E72" s="28">
        <f>'Q.5 Data'!B72</f>
        <v>0.72686535583062917</v>
      </c>
      <c r="F72" s="32">
        <f t="shared" si="3"/>
        <v>7.8436787823809764E-2</v>
      </c>
      <c r="G72" s="33">
        <f t="shared" si="4"/>
        <v>0.22843678782380977</v>
      </c>
    </row>
    <row r="73" spans="4:7">
      <c r="D73" s="22">
        <f t="shared" si="5"/>
        <v>70</v>
      </c>
      <c r="E73" s="28">
        <f>'Q.5 Data'!B73</f>
        <v>9.9659160050133644E-2</v>
      </c>
      <c r="F73" s="32">
        <f t="shared" si="3"/>
        <v>-0.16685449483791343</v>
      </c>
      <c r="G73" s="33">
        <f t="shared" si="4"/>
        <v>-1.6854494837913431E-2</v>
      </c>
    </row>
    <row r="74" spans="4:7">
      <c r="D74" s="22">
        <f t="shared" si="5"/>
        <v>71</v>
      </c>
      <c r="E74" s="28">
        <f>'Q.5 Data'!B74</f>
        <v>0.93501259717300489</v>
      </c>
      <c r="F74" s="32">
        <f t="shared" si="3"/>
        <v>0.19684616204613153</v>
      </c>
      <c r="G74" s="33">
        <f t="shared" si="4"/>
        <v>0.3468461620461315</v>
      </c>
    </row>
    <row r="75" spans="4:7">
      <c r="D75" s="22">
        <f t="shared" si="5"/>
        <v>72</v>
      </c>
      <c r="E75" s="28">
        <f>'Q.5 Data'!B75</f>
        <v>0.19077304779213422</v>
      </c>
      <c r="F75" s="32">
        <f t="shared" si="3"/>
        <v>-0.11375664460599148</v>
      </c>
      <c r="G75" s="33">
        <f t="shared" si="4"/>
        <v>3.6243355394008511E-2</v>
      </c>
    </row>
    <row r="76" spans="4:7">
      <c r="D76" s="22">
        <f t="shared" si="5"/>
        <v>73</v>
      </c>
      <c r="E76" s="28">
        <f>'Q.5 Data'!B76</f>
        <v>0.1259783240402923</v>
      </c>
      <c r="F76" s="32">
        <f t="shared" si="3"/>
        <v>-0.14892927162343472</v>
      </c>
      <c r="G76" s="33">
        <f t="shared" si="4"/>
        <v>1.070728376565272E-3</v>
      </c>
    </row>
    <row r="77" spans="4:7">
      <c r="D77" s="22">
        <f t="shared" si="5"/>
        <v>74</v>
      </c>
      <c r="E77" s="28">
        <f>'Q.5 Data'!B77</f>
        <v>0.73416479711745453</v>
      </c>
      <c r="F77" s="32">
        <f t="shared" si="3"/>
        <v>8.1309559796035283E-2</v>
      </c>
      <c r="G77" s="33">
        <f t="shared" si="4"/>
        <v>0.23130955979603529</v>
      </c>
    </row>
    <row r="78" spans="4:7">
      <c r="D78" s="22">
        <f t="shared" si="5"/>
        <v>75</v>
      </c>
      <c r="E78" s="28">
        <f>'Q.5 Data'!B78</f>
        <v>0.15172879090286229</v>
      </c>
      <c r="F78" s="32">
        <f t="shared" si="3"/>
        <v>-0.13377611215056412</v>
      </c>
      <c r="G78" s="33">
        <f t="shared" si="4"/>
        <v>1.6223887849435875E-2</v>
      </c>
    </row>
    <row r="79" spans="4:7">
      <c r="D79" s="22">
        <f t="shared" si="5"/>
        <v>76</v>
      </c>
      <c r="E79" s="28">
        <f>'Q.5 Data'!B79</f>
        <v>4.1727173527578598E-2</v>
      </c>
      <c r="F79" s="32">
        <f t="shared" si="3"/>
        <v>-0.22502811763151365</v>
      </c>
      <c r="G79" s="33">
        <f t="shared" si="4"/>
        <v>-7.5028117631513652E-2</v>
      </c>
    </row>
    <row r="80" spans="4:7">
      <c r="D80" s="22">
        <f t="shared" si="5"/>
        <v>77</v>
      </c>
      <c r="E80" s="28">
        <f>'Q.5 Data'!B80</f>
        <v>0.81335549060543844</v>
      </c>
      <c r="F80" s="32">
        <f t="shared" si="3"/>
        <v>0.11574282691622896</v>
      </c>
      <c r="G80" s="33">
        <f t="shared" si="4"/>
        <v>0.26574282691622897</v>
      </c>
    </row>
    <row r="81" spans="4:7">
      <c r="D81" s="22">
        <f t="shared" si="5"/>
        <v>78</v>
      </c>
      <c r="E81" s="28">
        <f>'Q.5 Data'!B81</f>
        <v>9.2881165469261506E-2</v>
      </c>
      <c r="F81" s="32">
        <f t="shared" si="3"/>
        <v>-0.17201855928073576</v>
      </c>
      <c r="G81" s="33">
        <f t="shared" si="4"/>
        <v>-2.2018559280735761E-2</v>
      </c>
    </row>
    <row r="82" spans="4:7">
      <c r="D82" s="22">
        <f t="shared" si="5"/>
        <v>79</v>
      </c>
      <c r="E82" s="28">
        <f>'Q.5 Data'!B82</f>
        <v>0.23795077391123054</v>
      </c>
      <c r="F82" s="32">
        <f t="shared" si="3"/>
        <v>-9.2678279612755737E-2</v>
      </c>
      <c r="G82" s="33">
        <f t="shared" si="4"/>
        <v>5.7321720387244257E-2</v>
      </c>
    </row>
    <row r="83" spans="4:7">
      <c r="D83" s="22">
        <f t="shared" si="5"/>
        <v>80</v>
      </c>
      <c r="E83" s="28">
        <f>'Q.5 Data'!B83</f>
        <v>0.70715762516279823</v>
      </c>
      <c r="F83" s="32">
        <f t="shared" si="3"/>
        <v>7.0862998680863015E-2</v>
      </c>
      <c r="G83" s="33">
        <f t="shared" si="4"/>
        <v>0.22086299868086301</v>
      </c>
    </row>
    <row r="84" spans="4:7">
      <c r="D84" s="22">
        <f t="shared" si="5"/>
        <v>81</v>
      </c>
      <c r="E84" s="28">
        <f>'Q.5 Data'!B84</f>
        <v>0.71739103559453454</v>
      </c>
      <c r="F84" s="32">
        <f t="shared" si="3"/>
        <v>7.4764103240444205E-2</v>
      </c>
      <c r="G84" s="33">
        <f t="shared" si="4"/>
        <v>0.22476410324044421</v>
      </c>
    </row>
    <row r="85" spans="4:7">
      <c r="D85" s="22">
        <f t="shared" si="5"/>
        <v>82</v>
      </c>
      <c r="E85" s="28">
        <f>'Q.5 Data'!B85</f>
        <v>0.64110686326832333</v>
      </c>
      <c r="F85" s="32">
        <f t="shared" si="3"/>
        <v>4.6984465330659961E-2</v>
      </c>
      <c r="G85" s="33">
        <f t="shared" si="4"/>
        <v>0.19698446533065994</v>
      </c>
    </row>
    <row r="86" spans="4:7">
      <c r="D86" s="22">
        <f t="shared" si="5"/>
        <v>83</v>
      </c>
      <c r="E86" s="28">
        <f>'Q.5 Data'!B86</f>
        <v>0.14217441656047325</v>
      </c>
      <c r="F86" s="32">
        <f t="shared" si="3"/>
        <v>-0.13917814171269371</v>
      </c>
      <c r="G86" s="33">
        <f t="shared" si="4"/>
        <v>1.082185828730628E-2</v>
      </c>
    </row>
    <row r="87" spans="4:7">
      <c r="D87" s="22">
        <f t="shared" si="5"/>
        <v>84</v>
      </c>
      <c r="E87" s="28">
        <f>'Q.5 Data'!B87</f>
        <v>2.5332870560731746E-2</v>
      </c>
      <c r="F87" s="32">
        <f t="shared" si="3"/>
        <v>-0.25405900851642887</v>
      </c>
      <c r="G87" s="33">
        <f t="shared" si="4"/>
        <v>-0.10405900851642888</v>
      </c>
    </row>
    <row r="88" spans="4:7">
      <c r="D88" s="22">
        <f t="shared" si="5"/>
        <v>85</v>
      </c>
      <c r="E88" s="28">
        <f>'Q.5 Data'!B88</f>
        <v>0.42852857845222114</v>
      </c>
      <c r="F88" s="32">
        <f t="shared" si="3"/>
        <v>-2.3415799501980486E-2</v>
      </c>
      <c r="G88" s="33">
        <f t="shared" si="4"/>
        <v>0.12658420049801949</v>
      </c>
    </row>
    <row r="89" spans="4:7">
      <c r="D89" s="22">
        <f t="shared" si="5"/>
        <v>86</v>
      </c>
      <c r="E89" s="28">
        <f>'Q.5 Data'!B89</f>
        <v>0.34545362303204519</v>
      </c>
      <c r="F89" s="32">
        <f t="shared" si="3"/>
        <v>-5.1691141274151101E-2</v>
      </c>
      <c r="G89" s="33">
        <f t="shared" si="4"/>
        <v>9.8308858725848894E-2</v>
      </c>
    </row>
    <row r="90" spans="4:7">
      <c r="D90" s="22">
        <f t="shared" si="5"/>
        <v>87</v>
      </c>
      <c r="E90" s="28">
        <f>'Q.5 Data'!B90</f>
        <v>0.25348175968667552</v>
      </c>
      <c r="F90" s="32">
        <f t="shared" si="3"/>
        <v>-8.6264515077754331E-2</v>
      </c>
      <c r="G90" s="33">
        <f t="shared" si="4"/>
        <v>6.3735484922245664E-2</v>
      </c>
    </row>
    <row r="91" spans="4:7">
      <c r="D91" s="22">
        <f t="shared" si="5"/>
        <v>88</v>
      </c>
      <c r="E91" s="28">
        <f>'Q.5 Data'!B91</f>
        <v>0.15363464971894947</v>
      </c>
      <c r="F91" s="32">
        <f t="shared" si="3"/>
        <v>-0.13272592244784573</v>
      </c>
      <c r="G91" s="33">
        <f t="shared" si="4"/>
        <v>1.7274077552154266E-2</v>
      </c>
    </row>
    <row r="92" spans="4:7">
      <c r="D92" s="22">
        <f t="shared" si="5"/>
        <v>89</v>
      </c>
      <c r="E92" s="28">
        <f>'Q.5 Data'!B92</f>
        <v>0.75839869440713847</v>
      </c>
      <c r="F92" s="32">
        <f t="shared" si="3"/>
        <v>9.1150916319935937E-2</v>
      </c>
      <c r="G92" s="33">
        <f t="shared" si="4"/>
        <v>0.24115091631993593</v>
      </c>
    </row>
    <row r="93" spans="4:7">
      <c r="D93" s="22">
        <f t="shared" si="5"/>
        <v>90</v>
      </c>
      <c r="E93" s="28">
        <f>'Q.5 Data'!B93</f>
        <v>0.78103380085464813</v>
      </c>
      <c r="F93" s="32">
        <f t="shared" si="3"/>
        <v>0.10083962239380254</v>
      </c>
      <c r="G93" s="33">
        <f t="shared" si="4"/>
        <v>0.25083962239380253</v>
      </c>
    </row>
    <row r="94" spans="4:7">
      <c r="D94" s="22">
        <f t="shared" si="5"/>
        <v>91</v>
      </c>
      <c r="E94" s="28">
        <f>'Q.5 Data'!B94</f>
        <v>0.75906884450743883</v>
      </c>
      <c r="F94" s="32">
        <f t="shared" si="3"/>
        <v>9.1430356147461492E-2</v>
      </c>
      <c r="G94" s="33">
        <f t="shared" si="4"/>
        <v>0.2414303561474615</v>
      </c>
    </row>
    <row r="95" spans="4:7">
      <c r="D95" s="22">
        <f t="shared" si="5"/>
        <v>92</v>
      </c>
      <c r="E95" s="28">
        <f>'Q.5 Data'!B95</f>
        <v>0.41550354327387595</v>
      </c>
      <c r="F95" s="32">
        <f t="shared" si="3"/>
        <v>-2.7743315791959076E-2</v>
      </c>
      <c r="G95" s="33">
        <f t="shared" si="4"/>
        <v>0.12225668420804092</v>
      </c>
    </row>
    <row r="96" spans="4:7">
      <c r="D96" s="22">
        <f t="shared" si="5"/>
        <v>93</v>
      </c>
      <c r="E96" s="28">
        <f>'Q.5 Data'!B96</f>
        <v>0.7160590227965985</v>
      </c>
      <c r="F96" s="32">
        <f t="shared" si="3"/>
        <v>7.4252571349106219E-2</v>
      </c>
      <c r="G96" s="33">
        <f t="shared" si="4"/>
        <v>0.2242525713491062</v>
      </c>
    </row>
    <row r="97" spans="4:7">
      <c r="D97" s="22">
        <f t="shared" si="5"/>
        <v>94</v>
      </c>
      <c r="E97" s="28">
        <f>'Q.5 Data'!B97</f>
        <v>0.76200139358791408</v>
      </c>
      <c r="F97" s="32">
        <f t="shared" si="3"/>
        <v>9.2658184268233829E-2</v>
      </c>
      <c r="G97" s="33">
        <f t="shared" si="4"/>
        <v>0.24265818426823382</v>
      </c>
    </row>
    <row r="98" spans="4:7">
      <c r="D98" s="22">
        <f t="shared" si="5"/>
        <v>95</v>
      </c>
      <c r="E98" s="28">
        <f>'Q.5 Data'!B98</f>
        <v>0.79190134506516674</v>
      </c>
      <c r="F98" s="32">
        <f t="shared" si="3"/>
        <v>0.10569470456769189</v>
      </c>
      <c r="G98" s="33">
        <f t="shared" si="4"/>
        <v>0.25569470456769189</v>
      </c>
    </row>
    <row r="99" spans="4:7">
      <c r="D99" s="22">
        <f t="shared" si="5"/>
        <v>96</v>
      </c>
      <c r="E99" s="28">
        <f>'Q.5 Data'!B99</f>
        <v>0.49952621410534703</v>
      </c>
      <c r="F99" s="32">
        <f t="shared" si="3"/>
        <v>-1.5438870184740063E-4</v>
      </c>
      <c r="G99" s="33">
        <f t="shared" si="4"/>
        <v>0.1498456112981526</v>
      </c>
    </row>
    <row r="100" spans="4:7">
      <c r="D100" s="22">
        <f t="shared" si="5"/>
        <v>97</v>
      </c>
      <c r="E100" s="28">
        <f>'Q.5 Data'!B100</f>
        <v>0.53795168211722855</v>
      </c>
      <c r="F100" s="32">
        <f t="shared" si="3"/>
        <v>1.2385711316471685E-2</v>
      </c>
      <c r="G100" s="33">
        <f t="shared" si="4"/>
        <v>0.16238571131647167</v>
      </c>
    </row>
    <row r="101" spans="4:7">
      <c r="D101" s="22">
        <f t="shared" si="5"/>
        <v>98</v>
      </c>
      <c r="E101" s="28">
        <f>'Q.5 Data'!B101</f>
        <v>0.32397566260382715</v>
      </c>
      <c r="F101" s="32">
        <f t="shared" si="3"/>
        <v>-5.9359311756334084E-2</v>
      </c>
      <c r="G101" s="33">
        <f t="shared" si="4"/>
        <v>9.0640688243665918E-2</v>
      </c>
    </row>
    <row r="102" spans="4:7">
      <c r="D102" s="22">
        <f t="shared" si="5"/>
        <v>99</v>
      </c>
      <c r="E102" s="28">
        <f>'Q.5 Data'!B102</f>
        <v>0.87926653919832043</v>
      </c>
      <c r="F102" s="32">
        <f t="shared" si="3"/>
        <v>0.15227265268085932</v>
      </c>
      <c r="G102" s="33">
        <f t="shared" si="4"/>
        <v>0.30227265268085934</v>
      </c>
    </row>
    <row r="103" spans="4:7">
      <c r="D103" s="22">
        <f t="shared" si="5"/>
        <v>100</v>
      </c>
      <c r="E103" s="28">
        <f>'Q.5 Data'!B103</f>
        <v>0.93731324594344745</v>
      </c>
      <c r="F103" s="32">
        <f t="shared" si="3"/>
        <v>0.19923849217204059</v>
      </c>
      <c r="G103" s="33">
        <f t="shared" si="4"/>
        <v>0.34923849217204062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62C13-27B6-4D37-8F65-97A3152915A4}">
  <dimension ref="A1:J103"/>
  <sheetViews>
    <sheetView workbookViewId="0">
      <selection activeCell="H10" sqref="H10"/>
    </sheetView>
  </sheetViews>
  <sheetFormatPr defaultColWidth="8.7265625" defaultRowHeight="14"/>
  <cols>
    <col min="1" max="1" width="16.1796875" style="22" customWidth="1"/>
    <col min="2" max="2" width="56.1796875" style="22" customWidth="1"/>
    <col min="3" max="3" width="30.1796875" style="22" customWidth="1"/>
    <col min="4" max="4" width="8.7265625" style="22"/>
    <col min="5" max="5" width="10.453125" style="22" bestFit="1" customWidth="1"/>
    <col min="6" max="6" width="11.26953125" style="22" bestFit="1" customWidth="1"/>
    <col min="7" max="7" width="8.7265625" style="22"/>
    <col min="8" max="8" width="21" style="22" bestFit="1" customWidth="1"/>
    <col min="9" max="9" width="9.54296875" style="22" bestFit="1" customWidth="1"/>
    <col min="10" max="16384" width="8.7265625" style="22"/>
  </cols>
  <sheetData>
    <row r="1" spans="1:10">
      <c r="G1" s="31"/>
    </row>
    <row r="2" spans="1:10">
      <c r="G2" s="25"/>
    </row>
    <row r="3" spans="1:10">
      <c r="A3" s="22" t="s">
        <v>120</v>
      </c>
      <c r="D3" s="22" t="s">
        <v>102</v>
      </c>
      <c r="E3" s="22" t="s">
        <v>103</v>
      </c>
      <c r="F3" s="22" t="s">
        <v>112</v>
      </c>
    </row>
    <row r="4" spans="1:10">
      <c r="A4" s="22" t="s">
        <v>112</v>
      </c>
      <c r="D4" s="22">
        <v>1</v>
      </c>
      <c r="E4" s="34">
        <f>'Q.5 Data'!B4</f>
        <v>0.49487025642980143</v>
      </c>
      <c r="F4" s="33">
        <f>_xlfn.NORM.INV(E4,$B$6,$B$7)</f>
        <v>3.6178458155277621E-2</v>
      </c>
      <c r="I4" s="31"/>
    </row>
    <row r="5" spans="1:10">
      <c r="D5" s="22">
        <f>D4+1</f>
        <v>2</v>
      </c>
      <c r="E5" s="34">
        <f>'Q.5 Data'!B5</f>
        <v>0.62434727255911981</v>
      </c>
      <c r="F5" s="33">
        <f t="shared" ref="F5:F68" si="0">_xlfn.NORM.INV(E5,$B$6,$B$7)</f>
        <v>7.0070988049181285E-2</v>
      </c>
      <c r="I5" s="31"/>
    </row>
    <row r="6" spans="1:10">
      <c r="A6" s="22" t="s">
        <v>135</v>
      </c>
      <c r="B6" s="25">
        <f>'Q.5 (i) '!B16*'Q.5 (i) '!B5+'Q.5 (i) '!B17*'Q.5 (i) '!B11</f>
        <v>3.7499999999999999E-2</v>
      </c>
      <c r="D6" s="22">
        <f t="shared" ref="D6:D69" si="1">D5+1</f>
        <v>3</v>
      </c>
      <c r="E6" s="34">
        <f>'Q.5 Data'!B6</f>
        <v>0.74251176877144565</v>
      </c>
      <c r="F6" s="33">
        <f t="shared" si="0"/>
        <v>0.10441703858260531</v>
      </c>
      <c r="H6" s="22" t="s">
        <v>121</v>
      </c>
    </row>
    <row r="7" spans="1:10">
      <c r="A7" s="22" t="s">
        <v>106</v>
      </c>
      <c r="B7" s="54">
        <f>SQRT(B15)</f>
        <v>0.10277402395547233</v>
      </c>
      <c r="C7" s="55"/>
      <c r="D7" s="22">
        <f t="shared" si="1"/>
        <v>4</v>
      </c>
      <c r="E7" s="34">
        <f>'Q.5 Data'!B7</f>
        <v>0.94985038891789675</v>
      </c>
      <c r="F7" s="33">
        <f t="shared" si="0"/>
        <v>0.20639931707762571</v>
      </c>
      <c r="H7" s="22" t="s">
        <v>113</v>
      </c>
    </row>
    <row r="8" spans="1:10">
      <c r="B8" s="52" t="s">
        <v>131</v>
      </c>
      <c r="D8" s="22">
        <f t="shared" si="1"/>
        <v>5</v>
      </c>
      <c r="E8" s="34">
        <f>'Q.5 Data'!B8</f>
        <v>0.12003514464437526</v>
      </c>
      <c r="F8" s="33">
        <f t="shared" si="0"/>
        <v>-8.3240066450771671E-2</v>
      </c>
    </row>
    <row r="9" spans="1:10">
      <c r="A9" s="22" t="s">
        <v>133</v>
      </c>
      <c r="B9" s="53" t="s">
        <v>134</v>
      </c>
      <c r="D9" s="22">
        <f t="shared" si="1"/>
        <v>6</v>
      </c>
      <c r="E9" s="34">
        <f>'Q.5 Data'!B9</f>
        <v>0.67502861854240614</v>
      </c>
      <c r="F9" s="33">
        <f t="shared" si="0"/>
        <v>8.4143138408225668E-2</v>
      </c>
      <c r="H9" s="22" t="s">
        <v>114</v>
      </c>
    </row>
    <row r="10" spans="1:10">
      <c r="A10" s="22" t="s">
        <v>136</v>
      </c>
      <c r="B10" s="53" t="s">
        <v>137</v>
      </c>
      <c r="D10" s="22">
        <f t="shared" si="1"/>
        <v>7</v>
      </c>
      <c r="E10" s="34">
        <f>'Q.5 Data'!B10</f>
        <v>0.29407919654830006</v>
      </c>
      <c r="F10" s="33">
        <f t="shared" si="0"/>
        <v>-1.8152820731148663E-2</v>
      </c>
      <c r="H10" s="22" t="s">
        <v>115</v>
      </c>
      <c r="I10" s="22" t="s">
        <v>116</v>
      </c>
    </row>
    <row r="11" spans="1:10" ht="14.5">
      <c r="B11" s="53" t="s">
        <v>138</v>
      </c>
      <c r="D11" s="22">
        <f t="shared" si="1"/>
        <v>8</v>
      </c>
      <c r="E11" s="34">
        <f>'Q.5 Data'!B11</f>
        <v>0.97795030125229843</v>
      </c>
      <c r="F11" s="33">
        <f t="shared" si="0"/>
        <v>0.24439899275423321</v>
      </c>
      <c r="H11" s="25">
        <f>A20</f>
        <v>0</v>
      </c>
      <c r="I11" s="57">
        <f>COUNTIFS($F$4:$F$103,"&lt;"&amp;A20)/100</f>
        <v>0.38</v>
      </c>
    </row>
    <row r="12" spans="1:10">
      <c r="B12" s="53" t="s">
        <v>139</v>
      </c>
      <c r="D12" s="22">
        <f t="shared" si="1"/>
        <v>9</v>
      </c>
      <c r="E12" s="34">
        <f>'Q.5 Data'!B12</f>
        <v>0.7698696244423695</v>
      </c>
      <c r="F12" s="33">
        <f t="shared" si="0"/>
        <v>0.11339014330753211</v>
      </c>
      <c r="H12" s="25">
        <f>A21</f>
        <v>-0.15</v>
      </c>
      <c r="I12" s="58">
        <f>COUNTIFS($F$4:$F$103,"&lt;"&amp;A21)/100</f>
        <v>0.01</v>
      </c>
    </row>
    <row r="13" spans="1:10">
      <c r="B13" s="53" t="s">
        <v>140</v>
      </c>
      <c r="D13" s="22">
        <f t="shared" si="1"/>
        <v>10</v>
      </c>
      <c r="E13" s="34">
        <f>'Q.5 Data'!B13</f>
        <v>0.47879895301870778</v>
      </c>
      <c r="F13" s="33">
        <f t="shared" si="0"/>
        <v>3.2035691887352599E-2</v>
      </c>
    </row>
    <row r="14" spans="1:10">
      <c r="B14" s="56">
        <f>0.75^2*'Q.5 (i) '!B7+0.25^2*('Q.5 (i) '!B13+'Q.5 (i) '!B11^2)</f>
        <v>1.196875E-2</v>
      </c>
      <c r="D14" s="22">
        <f t="shared" si="1"/>
        <v>11</v>
      </c>
      <c r="E14" s="34">
        <f>'Q.5 Data'!B14</f>
        <v>0.99213624006090828</v>
      </c>
      <c r="F14" s="33">
        <f t="shared" si="0"/>
        <v>0.28571756586442193</v>
      </c>
    </row>
    <row r="15" spans="1:10">
      <c r="A15" s="22" t="s">
        <v>141</v>
      </c>
      <c r="B15" s="56">
        <f>B14-B6^2</f>
        <v>1.0562500000000001E-2</v>
      </c>
      <c r="D15" s="22">
        <f t="shared" si="1"/>
        <v>12</v>
      </c>
      <c r="E15" s="34">
        <f>'Q.5 Data'!B15</f>
        <v>0.69205896475869055</v>
      </c>
      <c r="F15" s="33">
        <f t="shared" si="0"/>
        <v>8.9061215655485582E-2</v>
      </c>
      <c r="H15" s="22" t="s">
        <v>118</v>
      </c>
    </row>
    <row r="16" spans="1:10">
      <c r="D16" s="22">
        <f t="shared" si="1"/>
        <v>13</v>
      </c>
      <c r="E16" s="34">
        <f>'Q.5 Data'!B16</f>
        <v>0.46017052709669826</v>
      </c>
      <c r="F16" s="33">
        <f t="shared" si="0"/>
        <v>2.722217412832334E-2</v>
      </c>
      <c r="H16" s="25">
        <f>A20</f>
        <v>0</v>
      </c>
      <c r="I16" s="22" t="s">
        <v>119</v>
      </c>
      <c r="J16" s="59">
        <f>_xlfn.NORM.DIST(H16,$B$6,$B$7,TRUE)</f>
        <v>0.35760116712551038</v>
      </c>
    </row>
    <row r="17" spans="1:10">
      <c r="D17" s="22">
        <f t="shared" si="1"/>
        <v>14</v>
      </c>
      <c r="E17" s="34">
        <f>'Q.5 Data'!B17</f>
        <v>0.89565094347624963</v>
      </c>
      <c r="F17" s="33">
        <f t="shared" si="0"/>
        <v>0.16670270816692179</v>
      </c>
      <c r="H17" s="25">
        <f>A21</f>
        <v>-0.15</v>
      </c>
      <c r="I17" s="22" t="s">
        <v>119</v>
      </c>
      <c r="J17" s="59">
        <f>_xlfn.NORM.DIST(H17,$B$6,$B$7,TRUE)</f>
        <v>3.4046494015286678E-2</v>
      </c>
    </row>
    <row r="18" spans="1:10">
      <c r="D18" s="22">
        <f t="shared" si="1"/>
        <v>15</v>
      </c>
      <c r="E18" s="34">
        <f>'Q.5 Data'!B18</f>
        <v>0.49734834038599729</v>
      </c>
      <c r="F18" s="33">
        <f t="shared" si="0"/>
        <v>3.6816884299481017E-2</v>
      </c>
    </row>
    <row r="19" spans="1:10">
      <c r="A19" s="22" t="s">
        <v>117</v>
      </c>
      <c r="D19" s="22">
        <f t="shared" si="1"/>
        <v>16</v>
      </c>
      <c r="E19" s="34">
        <f>'Q.5 Data'!B19</f>
        <v>0.97496610200990375</v>
      </c>
      <c r="F19" s="33">
        <f t="shared" si="0"/>
        <v>0.23887381068135088</v>
      </c>
    </row>
    <row r="20" spans="1:10">
      <c r="A20" s="25">
        <v>0</v>
      </c>
      <c r="D20" s="22">
        <f t="shared" si="1"/>
        <v>17</v>
      </c>
      <c r="E20" s="34">
        <f>'Q.5 Data'!B20</f>
        <v>0.21980668252406677</v>
      </c>
      <c r="F20" s="33">
        <f t="shared" si="0"/>
        <v>-4.1928521275805326E-2</v>
      </c>
    </row>
    <row r="21" spans="1:10">
      <c r="A21" s="25">
        <v>-0.15</v>
      </c>
      <c r="D21" s="22">
        <f t="shared" si="1"/>
        <v>18</v>
      </c>
      <c r="E21" s="34">
        <f>'Q.5 Data'!B21</f>
        <v>0.62716259915668493</v>
      </c>
      <c r="F21" s="33">
        <f t="shared" si="0"/>
        <v>7.0834519486928593E-2</v>
      </c>
    </row>
    <row r="22" spans="1:10">
      <c r="D22" s="22">
        <f t="shared" si="1"/>
        <v>19</v>
      </c>
      <c r="E22" s="34">
        <f>'Q.5 Data'!B22</f>
        <v>0.48822509760983768</v>
      </c>
      <c r="F22" s="33">
        <f t="shared" si="0"/>
        <v>3.4466152954215304E-2</v>
      </c>
    </row>
    <row r="23" spans="1:10">
      <c r="D23" s="22">
        <f t="shared" si="1"/>
        <v>20</v>
      </c>
      <c r="E23" s="34">
        <f>'Q.5 Data'!B23</f>
        <v>0.99789855963237184</v>
      </c>
      <c r="F23" s="33">
        <f t="shared" si="0"/>
        <v>0.33169259528682993</v>
      </c>
    </row>
    <row r="24" spans="1:10">
      <c r="D24" s="22">
        <f t="shared" si="1"/>
        <v>21</v>
      </c>
      <c r="E24" s="34">
        <f>'Q.5 Data'!B24</f>
        <v>0.24152016653688591</v>
      </c>
      <c r="F24" s="33">
        <f t="shared" si="0"/>
        <v>-3.4587856549461025E-2</v>
      </c>
    </row>
    <row r="25" spans="1:10">
      <c r="D25" s="22">
        <f t="shared" si="1"/>
        <v>22</v>
      </c>
      <c r="E25" s="34">
        <f>'Q.5 Data'!B25</f>
        <v>0.27467402991121126</v>
      </c>
      <c r="F25" s="33">
        <f t="shared" si="0"/>
        <v>-2.4034644652733549E-2</v>
      </c>
    </row>
    <row r="26" spans="1:10">
      <c r="D26" s="22">
        <f t="shared" si="1"/>
        <v>23</v>
      </c>
      <c r="E26" s="34">
        <f>'Q.5 Data'!B26</f>
        <v>0.11920393611599112</v>
      </c>
      <c r="F26" s="33">
        <f t="shared" si="0"/>
        <v>-8.3668071645565334E-2</v>
      </c>
    </row>
    <row r="27" spans="1:10">
      <c r="D27" s="22">
        <f t="shared" si="1"/>
        <v>24</v>
      </c>
      <c r="E27" s="34">
        <f>'Q.5 Data'!B27</f>
        <v>0.48830831326481416</v>
      </c>
      <c r="F27" s="33">
        <f t="shared" si="0"/>
        <v>3.4487599937824839E-2</v>
      </c>
    </row>
    <row r="28" spans="1:10">
      <c r="D28" s="22">
        <f t="shared" si="1"/>
        <v>25</v>
      </c>
      <c r="E28" s="34">
        <f>'Q.5 Data'!B28</f>
        <v>0.26834617743584954</v>
      </c>
      <c r="F28" s="33">
        <f t="shared" si="0"/>
        <v>-2.5996103671654468E-2</v>
      </c>
    </row>
    <row r="29" spans="1:10">
      <c r="D29" s="22">
        <f t="shared" si="1"/>
        <v>26</v>
      </c>
      <c r="E29" s="34">
        <f>'Q.5 Data'!B29</f>
        <v>8.0021860471217621E-2</v>
      </c>
      <c r="F29" s="33">
        <f t="shared" si="0"/>
        <v>-0.10688974745942595</v>
      </c>
    </row>
    <row r="30" spans="1:10">
      <c r="D30" s="22">
        <f t="shared" si="1"/>
        <v>27</v>
      </c>
      <c r="E30" s="34">
        <f>'Q.5 Data'!B30</f>
        <v>0.48538304867575222</v>
      </c>
      <c r="F30" s="33">
        <f t="shared" si="0"/>
        <v>3.373359255682435E-2</v>
      </c>
    </row>
    <row r="31" spans="1:10">
      <c r="D31" s="22">
        <f t="shared" si="1"/>
        <v>28</v>
      </c>
      <c r="E31" s="34">
        <f>'Q.5 Data'!B31</f>
        <v>0.71258603104469964</v>
      </c>
      <c r="F31" s="33">
        <f t="shared" si="0"/>
        <v>9.515164430431855E-2</v>
      </c>
    </row>
    <row r="32" spans="1:10">
      <c r="D32" s="22">
        <f t="shared" si="1"/>
        <v>29</v>
      </c>
      <c r="E32" s="34">
        <f>'Q.5 Data'!B32</f>
        <v>0.62608798668497223</v>
      </c>
      <c r="F32" s="33">
        <f t="shared" si="0"/>
        <v>7.0542864054880097E-2</v>
      </c>
    </row>
    <row r="33" spans="4:6">
      <c r="D33" s="22">
        <f t="shared" si="1"/>
        <v>30</v>
      </c>
      <c r="E33" s="34">
        <f>'Q.5 Data'!B33</f>
        <v>8.4067610406807769E-2</v>
      </c>
      <c r="F33" s="33">
        <f t="shared" si="0"/>
        <v>-0.10414526634144983</v>
      </c>
    </row>
    <row r="34" spans="4:6">
      <c r="D34" s="22">
        <f t="shared" si="1"/>
        <v>31</v>
      </c>
      <c r="E34" s="34">
        <f>'Q.5 Data'!B34</f>
        <v>0.80190303144805164</v>
      </c>
      <c r="F34" s="33">
        <f t="shared" si="0"/>
        <v>0.12469741508945192</v>
      </c>
    </row>
    <row r="35" spans="4:6">
      <c r="D35" s="22">
        <f t="shared" si="1"/>
        <v>32</v>
      </c>
      <c r="E35" s="34">
        <f>'Q.5 Data'!B35</f>
        <v>0.26714473756400681</v>
      </c>
      <c r="F35" s="33">
        <f t="shared" si="0"/>
        <v>-2.6371121446841318E-2</v>
      </c>
    </row>
    <row r="36" spans="4:6">
      <c r="D36" s="22">
        <f t="shared" si="1"/>
        <v>33</v>
      </c>
      <c r="E36" s="34">
        <f>'Q.5 Data'!B36</f>
        <v>0.16793906012931714</v>
      </c>
      <c r="F36" s="33">
        <f t="shared" si="0"/>
        <v>-6.1403701987338556E-2</v>
      </c>
    </row>
    <row r="37" spans="4:6">
      <c r="D37" s="22">
        <f t="shared" si="1"/>
        <v>34</v>
      </c>
      <c r="E37" s="34">
        <f>'Q.5 Data'!B37</f>
        <v>0.34141670338983232</v>
      </c>
      <c r="F37" s="33">
        <f t="shared" si="0"/>
        <v>-4.4934415283832477E-3</v>
      </c>
    </row>
    <row r="38" spans="4:6">
      <c r="D38" s="22">
        <f t="shared" si="1"/>
        <v>35</v>
      </c>
      <c r="E38" s="34">
        <f>'Q.5 Data'!B38</f>
        <v>9.6660055864225214E-2</v>
      </c>
      <c r="F38" s="33">
        <f t="shared" si="0"/>
        <v>-9.6190494652994007E-2</v>
      </c>
    </row>
    <row r="39" spans="4:6">
      <c r="D39" s="22">
        <f t="shared" si="1"/>
        <v>36</v>
      </c>
      <c r="E39" s="34">
        <f>'Q.5 Data'!B39</f>
        <v>0.46384156545190569</v>
      </c>
      <c r="F39" s="33">
        <f t="shared" si="0"/>
        <v>2.8172208465356341E-2</v>
      </c>
    </row>
    <row r="40" spans="4:6">
      <c r="D40" s="22">
        <f t="shared" si="1"/>
        <v>37</v>
      </c>
      <c r="E40" s="34">
        <f>'Q.5 Data'!B40</f>
        <v>0.13511552949438577</v>
      </c>
      <c r="F40" s="33">
        <f t="shared" si="0"/>
        <v>-7.5811507204260109E-2</v>
      </c>
    </row>
    <row r="41" spans="4:6">
      <c r="D41" s="22">
        <f t="shared" si="1"/>
        <v>38</v>
      </c>
      <c r="E41" s="34">
        <f>'Q.5 Data'!B41</f>
        <v>0.12206499991864672</v>
      </c>
      <c r="F41" s="33">
        <f t="shared" si="0"/>
        <v>-8.2203557844821917E-2</v>
      </c>
    </row>
    <row r="42" spans="4:6">
      <c r="D42" s="22">
        <f t="shared" si="1"/>
        <v>39</v>
      </c>
      <c r="E42" s="34">
        <f>'Q.5 Data'!B42</f>
        <v>0.83666150609607404</v>
      </c>
      <c r="F42" s="33">
        <f t="shared" si="0"/>
        <v>0.13830376125814473</v>
      </c>
    </row>
    <row r="43" spans="4:6">
      <c r="D43" s="22">
        <f t="shared" si="1"/>
        <v>40</v>
      </c>
      <c r="E43" s="34">
        <f>'Q.5 Data'!B43</f>
        <v>0.81377619651256006</v>
      </c>
      <c r="F43" s="33">
        <f t="shared" si="0"/>
        <v>0.12916394637659864</v>
      </c>
    </row>
    <row r="44" spans="4:6">
      <c r="D44" s="22">
        <f t="shared" si="1"/>
        <v>41</v>
      </c>
      <c r="E44" s="34">
        <f>'Q.5 Data'!B44</f>
        <v>0.12444860323995455</v>
      </c>
      <c r="F44" s="33">
        <f t="shared" si="0"/>
        <v>-8.1001749355666813E-2</v>
      </c>
    </row>
    <row r="45" spans="4:6">
      <c r="D45" s="22">
        <f t="shared" si="1"/>
        <v>42</v>
      </c>
      <c r="E45" s="34">
        <f>'Q.5 Data'!B45</f>
        <v>0.49077093852469544</v>
      </c>
      <c r="F45" s="33">
        <f t="shared" si="0"/>
        <v>3.512223145960322E-2</v>
      </c>
    </row>
    <row r="46" spans="4:6">
      <c r="D46" s="22">
        <f t="shared" si="1"/>
        <v>43</v>
      </c>
      <c r="E46" s="34">
        <f>'Q.5 Data'!B46</f>
        <v>0.19223731723170601</v>
      </c>
      <c r="F46" s="33">
        <f t="shared" si="0"/>
        <v>-5.1880639218529707E-2</v>
      </c>
    </row>
    <row r="47" spans="4:6">
      <c r="D47" s="22">
        <f t="shared" si="1"/>
        <v>44</v>
      </c>
      <c r="E47" s="34">
        <f>'Q.5 Data'!B47</f>
        <v>0.72324906360134267</v>
      </c>
      <c r="F47" s="33">
        <f t="shared" si="0"/>
        <v>9.8395750541232313E-2</v>
      </c>
    </row>
    <row r="48" spans="4:6">
      <c r="D48" s="22">
        <f t="shared" si="1"/>
        <v>45</v>
      </c>
      <c r="E48" s="34">
        <f>'Q.5 Data'!B48</f>
        <v>6.5816511066033923E-2</v>
      </c>
      <c r="F48" s="33">
        <f t="shared" si="0"/>
        <v>-0.1174517149432644</v>
      </c>
    </row>
    <row r="49" spans="4:6">
      <c r="D49" s="22">
        <f t="shared" si="1"/>
        <v>46</v>
      </c>
      <c r="E49" s="34">
        <f>'Q.5 Data'!B49</f>
        <v>0.98488717284448923</v>
      </c>
      <c r="F49" s="33">
        <f t="shared" si="0"/>
        <v>0.26022371152784696</v>
      </c>
    </row>
    <row r="50" spans="4:6">
      <c r="D50" s="22">
        <f t="shared" si="1"/>
        <v>47</v>
      </c>
      <c r="E50" s="34">
        <f>'Q.5 Data'!B50</f>
        <v>0.57568603787334827</v>
      </c>
      <c r="F50" s="33">
        <f t="shared" si="0"/>
        <v>5.7116415029391909E-2</v>
      </c>
    </row>
    <row r="51" spans="4:6">
      <c r="D51" s="22">
        <f t="shared" si="1"/>
        <v>48</v>
      </c>
      <c r="E51" s="34">
        <f>'Q.5 Data'!B51</f>
        <v>0.83798520463092852</v>
      </c>
      <c r="F51" s="33">
        <f t="shared" si="0"/>
        <v>0.13885687121624984</v>
      </c>
    </row>
    <row r="52" spans="4:6">
      <c r="D52" s="22">
        <f t="shared" si="1"/>
        <v>49</v>
      </c>
      <c r="E52" s="34">
        <f>'Q.5 Data'!B52</f>
        <v>0.54202939262142857</v>
      </c>
      <c r="F52" s="33">
        <f t="shared" si="0"/>
        <v>4.834756281323703E-2</v>
      </c>
    </row>
    <row r="53" spans="4:6">
      <c r="D53" s="22">
        <f t="shared" si="1"/>
        <v>50</v>
      </c>
      <c r="E53" s="34">
        <f>'Q.5 Data'!B53</f>
        <v>8.1828057241016938E-2</v>
      </c>
      <c r="F53" s="33">
        <f t="shared" si="0"/>
        <v>-0.10565187121387265</v>
      </c>
    </row>
    <row r="54" spans="4:6">
      <c r="D54" s="22">
        <f t="shared" si="1"/>
        <v>51</v>
      </c>
      <c r="E54" s="34">
        <f>'Q.5 Data'!B54</f>
        <v>0.8015205278199935</v>
      </c>
      <c r="F54" s="33">
        <f t="shared" si="0"/>
        <v>0.12455626900298553</v>
      </c>
    </row>
    <row r="55" spans="4:6">
      <c r="D55" s="22">
        <f t="shared" si="1"/>
        <v>52</v>
      </c>
      <c r="E55" s="34">
        <f>'Q.5 Data'!B55</f>
        <v>0.39625984088581712</v>
      </c>
      <c r="F55" s="33">
        <f t="shared" si="0"/>
        <v>1.0466311800565693E-2</v>
      </c>
    </row>
    <row r="56" spans="4:6">
      <c r="D56" s="22">
        <f t="shared" si="1"/>
        <v>53</v>
      </c>
      <c r="E56" s="34">
        <f>'Q.5 Data'!B56</f>
        <v>0.77737999268104518</v>
      </c>
      <c r="F56" s="33">
        <f t="shared" si="0"/>
        <v>0.11595508096075285</v>
      </c>
    </row>
    <row r="57" spans="4:6">
      <c r="D57" s="22">
        <f t="shared" si="1"/>
        <v>54</v>
      </c>
      <c r="E57" s="34">
        <f>'Q.5 Data'!B57</f>
        <v>0.66192756688961429</v>
      </c>
      <c r="F57" s="33">
        <f t="shared" si="0"/>
        <v>8.0431746552705352E-2</v>
      </c>
    </row>
    <row r="58" spans="4:6">
      <c r="D58" s="22">
        <f t="shared" si="1"/>
        <v>55</v>
      </c>
      <c r="E58" s="34">
        <f>'Q.5 Data'!B58</f>
        <v>0.64274190627904304</v>
      </c>
      <c r="F58" s="33">
        <f t="shared" si="0"/>
        <v>7.5094480760632992E-2</v>
      </c>
    </row>
    <row r="59" spans="4:6">
      <c r="D59" s="22">
        <f t="shared" si="1"/>
        <v>56</v>
      </c>
      <c r="E59" s="34">
        <f>'Q.5 Data'!B59</f>
        <v>0.10608327128336992</v>
      </c>
      <c r="F59" s="33">
        <f t="shared" si="0"/>
        <v>-9.072396793108059E-2</v>
      </c>
    </row>
    <row r="60" spans="4:6">
      <c r="D60" s="22">
        <f t="shared" si="1"/>
        <v>57</v>
      </c>
      <c r="E60" s="34">
        <f>'Q.5 Data'!B60</f>
        <v>0.16783451952732142</v>
      </c>
      <c r="F60" s="33">
        <f t="shared" si="0"/>
        <v>-6.1446502169077606E-2</v>
      </c>
    </row>
    <row r="61" spans="4:6">
      <c r="D61" s="22">
        <f t="shared" si="1"/>
        <v>58</v>
      </c>
      <c r="E61" s="34">
        <f>'Q.5 Data'!B61</f>
        <v>8.927903201330567E-2</v>
      </c>
      <c r="F61" s="33">
        <f t="shared" si="0"/>
        <v>-0.1007524422200409</v>
      </c>
    </row>
    <row r="62" spans="4:6">
      <c r="D62" s="22">
        <f t="shared" si="1"/>
        <v>59</v>
      </c>
      <c r="E62" s="34">
        <f>'Q.5 Data'!B62</f>
        <v>0.73300980924561943</v>
      </c>
      <c r="F62" s="33">
        <f t="shared" si="0"/>
        <v>0.1014194234179287</v>
      </c>
    </row>
    <row r="63" spans="4:6">
      <c r="D63" s="22">
        <f t="shared" si="1"/>
        <v>60</v>
      </c>
      <c r="E63" s="34">
        <f>'Q.5 Data'!B63</f>
        <v>0.17914883849779262</v>
      </c>
      <c r="F63" s="33">
        <f t="shared" si="0"/>
        <v>-5.6909623772047647E-2</v>
      </c>
    </row>
    <row r="64" spans="4:6">
      <c r="D64" s="22">
        <f t="shared" si="1"/>
        <v>61</v>
      </c>
      <c r="E64" s="34">
        <f>'Q.5 Data'!B64</f>
        <v>0.64241365533652162</v>
      </c>
      <c r="F64" s="33">
        <f t="shared" si="0"/>
        <v>7.5004081378984802E-2</v>
      </c>
    </row>
    <row r="65" spans="4:6">
      <c r="D65" s="22">
        <f t="shared" si="1"/>
        <v>62</v>
      </c>
      <c r="E65" s="34">
        <f>'Q.5 Data'!B65</f>
        <v>0.66205244015665965</v>
      </c>
      <c r="F65" s="33">
        <f t="shared" si="0"/>
        <v>8.0466851272829557E-2</v>
      </c>
    </row>
    <row r="66" spans="4:6">
      <c r="D66" s="22">
        <f t="shared" si="1"/>
        <v>63</v>
      </c>
      <c r="E66" s="34">
        <f>'Q.5 Data'!B66</f>
        <v>0.84698553015950162</v>
      </c>
      <c r="F66" s="33">
        <f t="shared" si="0"/>
        <v>0.14269846987922946</v>
      </c>
    </row>
    <row r="67" spans="4:6">
      <c r="D67" s="22">
        <f t="shared" si="1"/>
        <v>64</v>
      </c>
      <c r="E67" s="34">
        <f>'Q.5 Data'!B67</f>
        <v>0.90351890015311842</v>
      </c>
      <c r="F67" s="33">
        <f t="shared" si="0"/>
        <v>0.17129800667208878</v>
      </c>
    </row>
    <row r="68" spans="4:6">
      <c r="D68" s="22">
        <f t="shared" si="1"/>
        <v>65</v>
      </c>
      <c r="E68" s="34">
        <f>'Q.5 Data'!B68</f>
        <v>0.24364075798452778</v>
      </c>
      <c r="F68" s="33">
        <f t="shared" si="0"/>
        <v>-3.389085324847587E-2</v>
      </c>
    </row>
    <row r="69" spans="4:6">
      <c r="D69" s="22">
        <f t="shared" si="1"/>
        <v>66</v>
      </c>
      <c r="E69" s="34">
        <f>'Q.5 Data'!B69</f>
        <v>0.75533775727155728</v>
      </c>
      <c r="F69" s="33">
        <f t="shared" ref="F69:F103" si="2">_xlfn.NORM.INV(E69,$B$6,$B$7)</f>
        <v>0.10855627828218981</v>
      </c>
    </row>
    <row r="70" spans="4:6">
      <c r="D70" s="22">
        <f t="shared" ref="D70:D103" si="3">D69+1</f>
        <v>67</v>
      </c>
      <c r="E70" s="34">
        <f>'Q.5 Data'!B70</f>
        <v>0.31007018393703545</v>
      </c>
      <c r="F70" s="33">
        <f t="shared" si="2"/>
        <v>-1.3440090855369534E-2</v>
      </c>
    </row>
    <row r="71" spans="4:6">
      <c r="D71" s="22">
        <f t="shared" si="3"/>
        <v>68</v>
      </c>
      <c r="E71" s="34">
        <f>'Q.5 Data'!B71</f>
        <v>0.839360303726155</v>
      </c>
      <c r="F71" s="33">
        <f t="shared" si="2"/>
        <v>0.13943458516309834</v>
      </c>
    </row>
    <row r="72" spans="4:6">
      <c r="D72" s="22">
        <f t="shared" si="3"/>
        <v>69</v>
      </c>
      <c r="E72" s="34">
        <f>'Q.5 Data'!B72</f>
        <v>0.72686535583062917</v>
      </c>
      <c r="F72" s="33">
        <f t="shared" si="2"/>
        <v>9.950972546765019E-2</v>
      </c>
    </row>
    <row r="73" spans="4:6">
      <c r="D73" s="22">
        <f t="shared" si="3"/>
        <v>70</v>
      </c>
      <c r="E73" s="34">
        <f>'Q.5 Data'!B73</f>
        <v>9.9659160050133644E-2</v>
      </c>
      <c r="F73" s="33">
        <f t="shared" si="2"/>
        <v>-9.441006038115346E-2</v>
      </c>
    </row>
    <row r="74" spans="4:6">
      <c r="D74" s="22">
        <f t="shared" si="3"/>
        <v>71</v>
      </c>
      <c r="E74" s="34">
        <f>'Q.5 Data'!B74</f>
        <v>0.93501259717300489</v>
      </c>
      <c r="F74" s="33">
        <f t="shared" si="2"/>
        <v>0.19312055518209162</v>
      </c>
    </row>
    <row r="75" spans="4:6">
      <c r="D75" s="22">
        <f t="shared" si="3"/>
        <v>72</v>
      </c>
      <c r="E75" s="34">
        <f>'Q.5 Data'!B75</f>
        <v>0.19077304779213422</v>
      </c>
      <c r="F75" s="33">
        <f t="shared" si="2"/>
        <v>-5.2432523983310157E-2</v>
      </c>
    </row>
    <row r="76" spans="4:6">
      <c r="D76" s="22">
        <f t="shared" si="3"/>
        <v>73</v>
      </c>
      <c r="E76" s="34">
        <f>'Q.5 Data'!B76</f>
        <v>0.1259783240402923</v>
      </c>
      <c r="F76" s="33">
        <f t="shared" si="2"/>
        <v>-8.0238927149984041E-2</v>
      </c>
    </row>
    <row r="77" spans="4:6">
      <c r="D77" s="22">
        <f t="shared" si="3"/>
        <v>74</v>
      </c>
      <c r="E77" s="34">
        <f>'Q.5 Data'!B77</f>
        <v>0.73416479711745453</v>
      </c>
      <c r="F77" s="33">
        <f t="shared" si="2"/>
        <v>0.10178085112528185</v>
      </c>
    </row>
    <row r="78" spans="4:6">
      <c r="D78" s="22">
        <f t="shared" si="3"/>
        <v>75</v>
      </c>
      <c r="E78" s="34">
        <f>'Q.5 Data'!B78</f>
        <v>0.15172879090286229</v>
      </c>
      <c r="F78" s="33">
        <f t="shared" si="2"/>
        <v>-6.8259302729477167E-2</v>
      </c>
    </row>
    <row r="79" spans="4:6">
      <c r="D79" s="22">
        <f t="shared" si="3"/>
        <v>76</v>
      </c>
      <c r="E79" s="34">
        <f>'Q.5 Data'!B79</f>
        <v>4.1727173527578598E-2</v>
      </c>
      <c r="F79" s="33">
        <f t="shared" si="2"/>
        <v>-0.14040034732396944</v>
      </c>
    </row>
    <row r="80" spans="4:6">
      <c r="D80" s="22">
        <f t="shared" si="3"/>
        <v>77</v>
      </c>
      <c r="E80" s="34">
        <f>'Q.5 Data'!B80</f>
        <v>0.81335549060543844</v>
      </c>
      <c r="F80" s="33">
        <f t="shared" si="2"/>
        <v>0.12900273897048156</v>
      </c>
    </row>
    <row r="81" spans="4:6">
      <c r="D81" s="22">
        <f t="shared" si="3"/>
        <v>78</v>
      </c>
      <c r="E81" s="34">
        <f>'Q.5 Data'!B81</f>
        <v>9.2881165469261506E-2</v>
      </c>
      <c r="F81" s="33">
        <f t="shared" si="2"/>
        <v>-9.8492611786955175E-2</v>
      </c>
    </row>
    <row r="82" spans="4:6">
      <c r="D82" s="22">
        <f t="shared" si="3"/>
        <v>79</v>
      </c>
      <c r="E82" s="34">
        <f>'Q.5 Data'!B82</f>
        <v>0.23795077391123054</v>
      </c>
      <c r="F82" s="33">
        <f t="shared" si="2"/>
        <v>-3.5768613300564016E-2</v>
      </c>
    </row>
    <row r="83" spans="4:6">
      <c r="D83" s="22">
        <f t="shared" si="3"/>
        <v>80</v>
      </c>
      <c r="E83" s="34">
        <f>'Q.5 Data'!B83</f>
        <v>0.70715762516279823</v>
      </c>
      <c r="F83" s="33">
        <f t="shared" si="2"/>
        <v>9.352211941525862E-2</v>
      </c>
    </row>
    <row r="84" spans="4:6">
      <c r="D84" s="22">
        <f t="shared" si="3"/>
        <v>81</v>
      </c>
      <c r="E84" s="34">
        <f>'Q.5 Data'!B84</f>
        <v>0.71739103559453454</v>
      </c>
      <c r="F84" s="33">
        <f t="shared" si="2"/>
        <v>9.6606213364944765E-2</v>
      </c>
    </row>
    <row r="85" spans="4:6">
      <c r="D85" s="22">
        <f t="shared" si="3"/>
        <v>82</v>
      </c>
      <c r="E85" s="34">
        <f>'Q.5 Data'!B85</f>
        <v>0.64110686326832333</v>
      </c>
      <c r="F85" s="33">
        <f t="shared" si="2"/>
        <v>7.4644481272525431E-2</v>
      </c>
    </row>
    <row r="86" spans="4:6">
      <c r="D86" s="22">
        <f t="shared" si="3"/>
        <v>83</v>
      </c>
      <c r="E86" s="34">
        <f>'Q.5 Data'!B86</f>
        <v>0.14217441656047325</v>
      </c>
      <c r="F86" s="33">
        <f t="shared" si="2"/>
        <v>-7.2529982080450056E-2</v>
      </c>
    </row>
    <row r="87" spans="4:6">
      <c r="D87" s="22">
        <f t="shared" si="3"/>
        <v>84</v>
      </c>
      <c r="E87" s="34">
        <f>'Q.5 Data'!B87</f>
        <v>2.5332870560731746E-2</v>
      </c>
      <c r="F87" s="33">
        <f t="shared" si="2"/>
        <v>-0.16335128174900779</v>
      </c>
    </row>
    <row r="88" spans="4:6">
      <c r="D88" s="22">
        <f t="shared" si="3"/>
        <v>85</v>
      </c>
      <c r="E88" s="34">
        <f>'Q.5 Data'!B88</f>
        <v>0.42852857845222114</v>
      </c>
      <c r="F88" s="33">
        <f t="shared" si="2"/>
        <v>1.8988185084976312E-2</v>
      </c>
    </row>
    <row r="89" spans="4:6">
      <c r="D89" s="22">
        <f t="shared" si="3"/>
        <v>86</v>
      </c>
      <c r="E89" s="34">
        <f>'Q.5 Data'!B89</f>
        <v>0.34545362303204519</v>
      </c>
      <c r="F89" s="33">
        <f t="shared" si="2"/>
        <v>-3.3654353199639164E-3</v>
      </c>
    </row>
    <row r="90" spans="4:6">
      <c r="D90" s="22">
        <f t="shared" si="3"/>
        <v>87</v>
      </c>
      <c r="E90" s="34">
        <f>'Q.5 Data'!B90</f>
        <v>0.25348175968667552</v>
      </c>
      <c r="F90" s="33">
        <f t="shared" si="2"/>
        <v>-3.0698087223910216E-2</v>
      </c>
    </row>
    <row r="91" spans="4:6">
      <c r="D91" s="22">
        <f t="shared" si="3"/>
        <v>88</v>
      </c>
      <c r="E91" s="34">
        <f>'Q.5 Data'!B91</f>
        <v>0.15363464971894947</v>
      </c>
      <c r="F91" s="33">
        <f t="shared" si="2"/>
        <v>-6.7429054870515842E-2</v>
      </c>
    </row>
    <row r="92" spans="4:6">
      <c r="D92" s="22">
        <f t="shared" si="3"/>
        <v>89</v>
      </c>
      <c r="E92" s="34">
        <f>'Q.5 Data'!B92</f>
        <v>0.75839869440713847</v>
      </c>
      <c r="F92" s="33">
        <f t="shared" si="2"/>
        <v>0.10956112659560269</v>
      </c>
    </row>
    <row r="93" spans="4:6">
      <c r="D93" s="22">
        <f t="shared" si="3"/>
        <v>90</v>
      </c>
      <c r="E93" s="34">
        <f>'Q.5 Data'!B93</f>
        <v>0.78103380085464813</v>
      </c>
      <c r="F93" s="33">
        <f t="shared" si="2"/>
        <v>0.11722072128893421</v>
      </c>
    </row>
    <row r="94" spans="4:6">
      <c r="D94" s="22">
        <f t="shared" si="3"/>
        <v>91</v>
      </c>
      <c r="E94" s="34">
        <f>'Q.5 Data'!B94</f>
        <v>0.75906884450743883</v>
      </c>
      <c r="F94" s="33">
        <f t="shared" si="2"/>
        <v>0.10978204317658902</v>
      </c>
    </row>
    <row r="95" spans="4:6">
      <c r="D95" s="22">
        <f t="shared" si="3"/>
        <v>92</v>
      </c>
      <c r="E95" s="34">
        <f>'Q.5 Data'!B95</f>
        <v>0.41550354327387595</v>
      </c>
      <c r="F95" s="33">
        <f t="shared" si="2"/>
        <v>1.5566983063022802E-2</v>
      </c>
    </row>
    <row r="96" spans="4:6">
      <c r="D96" s="22">
        <f t="shared" si="3"/>
        <v>93</v>
      </c>
      <c r="E96" s="34">
        <f>'Q.5 Data'!B96</f>
        <v>0.7160590227965985</v>
      </c>
      <c r="F96" s="33">
        <f t="shared" si="2"/>
        <v>9.6201811896834313E-2</v>
      </c>
    </row>
    <row r="97" spans="4:6">
      <c r="D97" s="22">
        <f t="shared" si="3"/>
        <v>94</v>
      </c>
      <c r="E97" s="34">
        <f>'Q.5 Data'!B97</f>
        <v>0.76200139358791408</v>
      </c>
      <c r="F97" s="33">
        <f t="shared" si="2"/>
        <v>0.11075272653580026</v>
      </c>
    </row>
    <row r="98" spans="4:6">
      <c r="D98" s="22">
        <f t="shared" si="3"/>
        <v>95</v>
      </c>
      <c r="E98" s="34">
        <f>'Q.5 Data'!B98</f>
        <v>0.79190134506516674</v>
      </c>
      <c r="F98" s="33">
        <f t="shared" si="2"/>
        <v>0.1210590007631272</v>
      </c>
    </row>
    <row r="99" spans="4:6">
      <c r="D99" s="22">
        <f t="shared" si="3"/>
        <v>96</v>
      </c>
      <c r="E99" s="34">
        <f>'Q.5 Data'!B99</f>
        <v>0.49952621410534703</v>
      </c>
      <c r="F99" s="33">
        <f t="shared" si="2"/>
        <v>3.737794501429139E-2</v>
      </c>
    </row>
    <row r="100" spans="4:6">
      <c r="D100" s="22">
        <f t="shared" si="3"/>
        <v>97</v>
      </c>
      <c r="E100" s="34">
        <f>'Q.5 Data'!B100</f>
        <v>0.53795168211722855</v>
      </c>
      <c r="F100" s="33">
        <f t="shared" si="2"/>
        <v>4.7291764550343271E-2</v>
      </c>
    </row>
    <row r="101" spans="4:6">
      <c r="D101" s="22">
        <f t="shared" si="3"/>
        <v>98</v>
      </c>
      <c r="E101" s="34">
        <f>'Q.5 Data'!B101</f>
        <v>0.32397566260382715</v>
      </c>
      <c r="F101" s="33">
        <f t="shared" si="2"/>
        <v>-9.4276563725063864E-3</v>
      </c>
    </row>
    <row r="102" spans="4:6">
      <c r="D102" s="22">
        <f t="shared" si="3"/>
        <v>99</v>
      </c>
      <c r="E102" s="34">
        <f>'Q.5 Data'!B102</f>
        <v>0.87926653919832043</v>
      </c>
      <c r="F102" s="33">
        <f t="shared" si="2"/>
        <v>0.15788210195681504</v>
      </c>
    </row>
    <row r="103" spans="4:6">
      <c r="D103" s="22">
        <f t="shared" si="3"/>
        <v>100</v>
      </c>
      <c r="E103" s="34">
        <f>'Q.5 Data'!B103</f>
        <v>0.93731324594344745</v>
      </c>
      <c r="F103" s="33">
        <f t="shared" si="2"/>
        <v>0.19501185821031913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6:Y38"/>
  <sheetViews>
    <sheetView topLeftCell="I1" zoomScale="85" zoomScaleNormal="85" workbookViewId="0"/>
  </sheetViews>
  <sheetFormatPr defaultRowHeight="14.5"/>
  <cols>
    <col min="7" max="7" width="11.81640625" customWidth="1"/>
    <col min="8" max="8" width="9.1796875" bestFit="1" customWidth="1"/>
  </cols>
  <sheetData>
    <row r="6" spans="5:10">
      <c r="G6" t="s">
        <v>17</v>
      </c>
      <c r="I6" s="13">
        <v>100</v>
      </c>
    </row>
    <row r="11" spans="5:10">
      <c r="E11" s="1" t="s">
        <v>8</v>
      </c>
      <c r="F11" s="1" t="s">
        <v>9</v>
      </c>
      <c r="G11" s="1" t="s">
        <v>16</v>
      </c>
      <c r="H11" s="1" t="s">
        <v>0</v>
      </c>
    </row>
    <row r="12" spans="5:10">
      <c r="E12" s="1"/>
      <c r="F12" s="12"/>
      <c r="G12" s="12"/>
      <c r="H12" s="12"/>
    </row>
    <row r="13" spans="5:10">
      <c r="E13" s="1">
        <v>0</v>
      </c>
      <c r="F13" s="35">
        <f>(1+'Q.1 Data'!G8)</f>
        <v>1.05</v>
      </c>
      <c r="G13" s="36">
        <v>1</v>
      </c>
      <c r="H13" s="1"/>
      <c r="J13" t="s">
        <v>18</v>
      </c>
    </row>
    <row r="14" spans="5:10">
      <c r="E14" s="1">
        <f>'Q.1 Data'!F9</f>
        <v>1</v>
      </c>
      <c r="F14" s="35">
        <f>(1+'Q.1 Data'!G9)</f>
        <v>1.056</v>
      </c>
      <c r="G14" s="37">
        <f>F13*G13</f>
        <v>1.05</v>
      </c>
      <c r="H14" s="38">
        <f t="shared" ref="H14:H33" si="0">G14^(1/E14)-1</f>
        <v>5.0000000000000044E-2</v>
      </c>
      <c r="J14" s="6">
        <f>G21/G33*$I$6</f>
        <v>36.546842593210968</v>
      </c>
    </row>
    <row r="15" spans="5:10">
      <c r="E15" s="1">
        <f>'Q.1 Data'!F10</f>
        <v>2</v>
      </c>
      <c r="F15" s="35">
        <f>(1+'Q.1 Data'!G10)</f>
        <v>1.0620000000000001</v>
      </c>
      <c r="G15" s="37">
        <f t="shared" ref="G15:G33" si="1">F14*G14</f>
        <v>1.1088</v>
      </c>
      <c r="H15" s="38">
        <f t="shared" si="0"/>
        <v>5.299572648705464E-2</v>
      </c>
    </row>
    <row r="16" spans="5:10">
      <c r="E16" s="1">
        <f>'Q.1 Data'!F11</f>
        <v>3</v>
      </c>
      <c r="F16" s="35">
        <f>(1+'Q.1 Data'!G11)</f>
        <v>1.0680000000000001</v>
      </c>
      <c r="G16" s="37">
        <f t="shared" si="1"/>
        <v>1.1775456</v>
      </c>
      <c r="H16" s="38">
        <f t="shared" si="0"/>
        <v>5.5988636241349754E-2</v>
      </c>
    </row>
    <row r="17" spans="5:25">
      <c r="E17" s="1">
        <f>'Q.1 Data'!F12</f>
        <v>4</v>
      </c>
      <c r="F17" s="35">
        <f>(1+'Q.1 Data'!G12)</f>
        <v>1.0740000000000001</v>
      </c>
      <c r="G17" s="37">
        <f t="shared" si="1"/>
        <v>1.2576187007999999</v>
      </c>
      <c r="H17" s="38">
        <f t="shared" si="0"/>
        <v>5.8978753055116462E-2</v>
      </c>
      <c r="J17" t="s">
        <v>19</v>
      </c>
      <c r="U17" t="s">
        <v>122</v>
      </c>
    </row>
    <row r="18" spans="5:25">
      <c r="E18" s="1">
        <f>'Q.1 Data'!F13</f>
        <v>5</v>
      </c>
      <c r="F18" s="35">
        <f>(1+'Q.1 Data'!G13)</f>
        <v>1.08</v>
      </c>
      <c r="G18" s="37">
        <f t="shared" si="1"/>
        <v>1.3506824846592</v>
      </c>
      <c r="H18" s="38">
        <f t="shared" si="0"/>
        <v>6.1966100396406043E-2</v>
      </c>
      <c r="J18" s="6">
        <f>(I6/J14)^(1/12)-1</f>
        <v>8.7499780842855257E-2</v>
      </c>
    </row>
    <row r="19" spans="5:25">
      <c r="E19" s="1">
        <f>'Q.1 Data'!F14</f>
        <v>6</v>
      </c>
      <c r="F19" s="35">
        <f>(1+'Q.1 Data'!G14)</f>
        <v>1.0860000000000001</v>
      </c>
      <c r="G19" s="37">
        <f t="shared" si="1"/>
        <v>1.4587370834319362</v>
      </c>
      <c r="H19" s="38">
        <f t="shared" si="0"/>
        <v>6.4950701415210643E-2</v>
      </c>
    </row>
    <row r="20" spans="5:25" ht="23.5">
      <c r="E20" s="1">
        <f>'Q.1 Data'!F15</f>
        <v>7</v>
      </c>
      <c r="F20" s="35">
        <f>(1+'Q.1 Data'!G15)</f>
        <v>1.0862000000000001</v>
      </c>
      <c r="G20" s="37">
        <f t="shared" si="1"/>
        <v>1.5841884726070827</v>
      </c>
      <c r="H20" s="38">
        <f t="shared" si="0"/>
        <v>6.7932578949435607E-2</v>
      </c>
      <c r="O20" s="39" t="s">
        <v>123</v>
      </c>
      <c r="S20" s="1" t="s">
        <v>124</v>
      </c>
      <c r="T20" s="1" t="s">
        <v>8</v>
      </c>
      <c r="U20" s="1" t="s">
        <v>9</v>
      </c>
      <c r="V20" s="1" t="s">
        <v>16</v>
      </c>
    </row>
    <row r="21" spans="5:25">
      <c r="E21" s="1">
        <f>'Q.1 Data'!F16</f>
        <v>8</v>
      </c>
      <c r="F21" s="35">
        <f>(1+'Q.1 Data'!G16)</f>
        <v>1.0864</v>
      </c>
      <c r="G21" s="37">
        <f t="shared" si="1"/>
        <v>1.7207455189458134</v>
      </c>
      <c r="H21" s="38">
        <f t="shared" si="0"/>
        <v>7.0199098758721767E-2</v>
      </c>
      <c r="S21" s="1">
        <f>E21</f>
        <v>8</v>
      </c>
      <c r="T21" s="1">
        <v>0</v>
      </c>
      <c r="U21" s="35">
        <f>F21</f>
        <v>1.0864</v>
      </c>
      <c r="V21" s="1">
        <v>1</v>
      </c>
    </row>
    <row r="22" spans="5:25">
      <c r="E22" s="1">
        <f>'Q.1 Data'!F17</f>
        <v>9</v>
      </c>
      <c r="F22" s="35">
        <f>(1+'Q.1 Data'!G17)</f>
        <v>1.0866</v>
      </c>
      <c r="G22" s="37">
        <f t="shared" si="1"/>
        <v>1.8694179317827317</v>
      </c>
      <c r="H22" s="38">
        <f t="shared" si="0"/>
        <v>7.1987201843502158E-2</v>
      </c>
      <c r="S22" s="1">
        <f t="shared" ref="S22:S33" si="2">E22</f>
        <v>9</v>
      </c>
      <c r="T22" s="1">
        <f>T21+1</f>
        <v>1</v>
      </c>
      <c r="U22" s="35">
        <f t="shared" ref="U22:U32" si="3">F22</f>
        <v>1.0866</v>
      </c>
      <c r="V22" s="40">
        <f>U21*V21</f>
        <v>1.0864</v>
      </c>
    </row>
    <row r="23" spans="5:25">
      <c r="E23" s="1">
        <f>'Q.1 Data'!F18</f>
        <v>10</v>
      </c>
      <c r="F23" s="35">
        <f>(1+'Q.1 Data'!G18)</f>
        <v>1.0868</v>
      </c>
      <c r="G23" s="37">
        <f t="shared" si="1"/>
        <v>2.0313095246751165</v>
      </c>
      <c r="H23" s="38">
        <f t="shared" si="0"/>
        <v>7.3439594540059661E-2</v>
      </c>
      <c r="S23" s="1">
        <f t="shared" si="2"/>
        <v>10</v>
      </c>
      <c r="T23" s="1">
        <f t="shared" ref="T23:T33" si="4">T22+1</f>
        <v>2</v>
      </c>
      <c r="U23" s="35">
        <f t="shared" si="3"/>
        <v>1.0868</v>
      </c>
      <c r="V23" s="40">
        <f t="shared" ref="V23:V33" si="5">U22*V22</f>
        <v>1.1804822400000001</v>
      </c>
    </row>
    <row r="24" spans="5:25">
      <c r="E24" s="1">
        <f>'Q.1 Data'!F19</f>
        <v>11</v>
      </c>
      <c r="F24" s="35">
        <f>(1+'Q.1 Data'!G19)</f>
        <v>1.087</v>
      </c>
      <c r="G24" s="37">
        <f t="shared" si="1"/>
        <v>2.2076271914169165</v>
      </c>
      <c r="H24" s="38">
        <f t="shared" si="0"/>
        <v>7.4647359374184097E-2</v>
      </c>
      <c r="S24" s="1">
        <f t="shared" si="2"/>
        <v>11</v>
      </c>
      <c r="T24" s="1">
        <f t="shared" si="4"/>
        <v>3</v>
      </c>
      <c r="U24" s="35">
        <f t="shared" si="3"/>
        <v>1.087</v>
      </c>
      <c r="V24" s="40">
        <f t="shared" si="5"/>
        <v>1.2829480984320001</v>
      </c>
    </row>
    <row r="25" spans="5:25">
      <c r="E25" s="1">
        <f>'Q.1 Data'!F20</f>
        <v>12</v>
      </c>
      <c r="F25" s="35">
        <f>(1+'Q.1 Data'!G20)</f>
        <v>1.0871999999999999</v>
      </c>
      <c r="G25" s="37">
        <f t="shared" si="1"/>
        <v>2.3996907570701884</v>
      </c>
      <c r="H25" s="38">
        <f t="shared" si="0"/>
        <v>7.5671362411054766E-2</v>
      </c>
      <c r="S25" s="1">
        <f t="shared" si="2"/>
        <v>12</v>
      </c>
      <c r="T25" s="1">
        <f t="shared" si="4"/>
        <v>4</v>
      </c>
      <c r="U25" s="35">
        <f t="shared" si="3"/>
        <v>1.0871999999999999</v>
      </c>
      <c r="V25" s="40">
        <f t="shared" si="5"/>
        <v>1.3945645829955839</v>
      </c>
    </row>
    <row r="26" spans="5:25">
      <c r="E26" s="1">
        <f>'Q.1 Data'!F21</f>
        <v>13</v>
      </c>
      <c r="F26" s="35">
        <f>(1+'Q.1 Data'!G21)</f>
        <v>1.0873999999999999</v>
      </c>
      <c r="G26" s="37">
        <f t="shared" si="1"/>
        <v>2.6089437910867086</v>
      </c>
      <c r="H26" s="38">
        <f t="shared" si="0"/>
        <v>7.6553823860982861E-2</v>
      </c>
      <c r="S26" s="1">
        <f t="shared" si="2"/>
        <v>13</v>
      </c>
      <c r="T26" s="1">
        <f t="shared" si="4"/>
        <v>5</v>
      </c>
      <c r="U26" s="35">
        <f t="shared" si="3"/>
        <v>1.0873999999999999</v>
      </c>
      <c r="V26" s="40">
        <f t="shared" si="5"/>
        <v>1.5161706146327989</v>
      </c>
    </row>
    <row r="27" spans="5:25">
      <c r="E27" s="1">
        <f>'Q.1 Data'!F22</f>
        <v>14</v>
      </c>
      <c r="F27" s="35">
        <f>(1+'Q.1 Data'!G22)</f>
        <v>1.0875999999999999</v>
      </c>
      <c r="G27" s="37">
        <f t="shared" si="1"/>
        <v>2.8369654784276865</v>
      </c>
      <c r="H27" s="38">
        <f t="shared" si="0"/>
        <v>7.7324950138574655E-2</v>
      </c>
      <c r="S27" s="1">
        <f t="shared" si="2"/>
        <v>14</v>
      </c>
      <c r="T27" s="1">
        <f t="shared" si="4"/>
        <v>6</v>
      </c>
      <c r="U27" s="35">
        <f t="shared" si="3"/>
        <v>1.0875999999999999</v>
      </c>
      <c r="V27" s="40">
        <f t="shared" si="5"/>
        <v>1.6486839263517055</v>
      </c>
      <c r="Y27" t="s">
        <v>19</v>
      </c>
    </row>
    <row r="28" spans="5:25">
      <c r="E28" s="1">
        <f>'Q.1 Data'!F23</f>
        <v>15</v>
      </c>
      <c r="F28" s="35">
        <f>(1+'Q.1 Data'!G23)</f>
        <v>1.0878000000000001</v>
      </c>
      <c r="G28" s="37">
        <f t="shared" si="1"/>
        <v>3.0854836543379518</v>
      </c>
      <c r="H28" s="38">
        <f t="shared" si="0"/>
        <v>7.8006923217770474E-2</v>
      </c>
      <c r="S28" s="1">
        <f t="shared" si="2"/>
        <v>15</v>
      </c>
      <c r="T28" s="1">
        <f t="shared" si="4"/>
        <v>7</v>
      </c>
      <c r="U28" s="35">
        <f t="shared" si="3"/>
        <v>1.0878000000000001</v>
      </c>
      <c r="V28" s="40">
        <f t="shared" si="5"/>
        <v>1.7931086383001147</v>
      </c>
      <c r="Y28" s="42">
        <f>(I6/Y33)^(1/12)-1</f>
        <v>8.7499780842855257E-2</v>
      </c>
    </row>
    <row r="29" spans="5:25">
      <c r="E29" s="1">
        <f>'Q.1 Data'!F24</f>
        <v>16</v>
      </c>
      <c r="F29" s="35">
        <f>(1+'Q.1 Data'!G24)</f>
        <v>1.0880000000000001</v>
      </c>
      <c r="G29" s="37">
        <f t="shared" si="1"/>
        <v>3.3563891191888242</v>
      </c>
      <c r="H29" s="38">
        <f t="shared" si="0"/>
        <v>7.8616399325082797E-2</v>
      </c>
      <c r="S29" s="1">
        <f t="shared" si="2"/>
        <v>16</v>
      </c>
      <c r="T29" s="1">
        <f t="shared" si="4"/>
        <v>8</v>
      </c>
      <c r="U29" s="35">
        <f t="shared" si="3"/>
        <v>1.0880000000000001</v>
      </c>
      <c r="V29" s="40">
        <f t="shared" si="5"/>
        <v>1.9505435767428649</v>
      </c>
    </row>
    <row r="30" spans="5:25">
      <c r="E30" s="1">
        <f>'Q.1 Data'!F25</f>
        <v>17</v>
      </c>
      <c r="F30" s="35">
        <f>(1+'Q.1 Data'!G25)</f>
        <v>1.0882000000000001</v>
      </c>
      <c r="G30" s="37">
        <f t="shared" si="1"/>
        <v>3.6517513616774409</v>
      </c>
      <c r="H30" s="38">
        <f t="shared" si="0"/>
        <v>7.9166128705642658E-2</v>
      </c>
      <c r="S30" s="1">
        <f t="shared" si="2"/>
        <v>17</v>
      </c>
      <c r="T30" s="1">
        <f t="shared" si="4"/>
        <v>9</v>
      </c>
      <c r="U30" s="35">
        <f t="shared" si="3"/>
        <v>1.0882000000000001</v>
      </c>
      <c r="V30" s="40">
        <f t="shared" si="5"/>
        <v>2.122191411496237</v>
      </c>
    </row>
    <row r="31" spans="5:25">
      <c r="E31" s="1">
        <f>'Q.1 Data'!F26</f>
        <v>18</v>
      </c>
      <c r="F31" s="35">
        <f>(1+'Q.1 Data'!G26)</f>
        <v>1.0884</v>
      </c>
      <c r="G31" s="37">
        <f t="shared" si="1"/>
        <v>3.9738358317773912</v>
      </c>
      <c r="H31" s="38">
        <f t="shared" si="0"/>
        <v>7.9666037180542881E-2</v>
      </c>
      <c r="S31" s="1">
        <f t="shared" si="2"/>
        <v>18</v>
      </c>
      <c r="T31" s="1">
        <f t="shared" si="4"/>
        <v>10</v>
      </c>
      <c r="U31" s="35">
        <f t="shared" si="3"/>
        <v>1.0884</v>
      </c>
      <c r="V31" s="40">
        <f t="shared" si="5"/>
        <v>2.3093686939902054</v>
      </c>
    </row>
    <row r="32" spans="5:25">
      <c r="E32" s="1">
        <f>'Q.1 Data'!F27</f>
        <v>19</v>
      </c>
      <c r="F32" s="35">
        <f>(1+'Q.1 Data'!G27)</f>
        <v>1.0886</v>
      </c>
      <c r="G32" s="37">
        <f t="shared" si="1"/>
        <v>4.325122919306513</v>
      </c>
      <c r="H32" s="38">
        <f t="shared" si="0"/>
        <v>8.0123967186093825E-2</v>
      </c>
      <c r="S32" s="1">
        <f t="shared" si="2"/>
        <v>19</v>
      </c>
      <c r="T32" s="1">
        <f t="shared" si="4"/>
        <v>11</v>
      </c>
      <c r="U32" s="35">
        <f t="shared" si="3"/>
        <v>1.0886</v>
      </c>
      <c r="V32" s="40">
        <f t="shared" si="5"/>
        <v>2.5135168865389397</v>
      </c>
    </row>
    <row r="33" spans="5:25">
      <c r="E33" s="1">
        <f>'Q.1 Data'!F28</f>
        <v>20</v>
      </c>
      <c r="F33" s="1"/>
      <c r="G33" s="37">
        <f t="shared" si="1"/>
        <v>4.7083288099570701</v>
      </c>
      <c r="H33" s="38">
        <f t="shared" si="0"/>
        <v>8.0546197135709541E-2</v>
      </c>
      <c r="S33" s="1">
        <f t="shared" si="2"/>
        <v>20</v>
      </c>
      <c r="T33" s="1">
        <f t="shared" si="4"/>
        <v>12</v>
      </c>
      <c r="U33" s="35"/>
      <c r="V33" s="40">
        <f t="shared" si="5"/>
        <v>2.73621448268629</v>
      </c>
      <c r="Y33" s="41">
        <f>1/V33*$I$6</f>
        <v>36.546842593210961</v>
      </c>
    </row>
    <row r="34" spans="5:25">
      <c r="F34" s="13"/>
      <c r="G34" s="13"/>
      <c r="H34" s="13"/>
    </row>
    <row r="35" spans="5:25">
      <c r="F35" s="13"/>
      <c r="G35" s="13"/>
      <c r="H35" s="13"/>
    </row>
    <row r="36" spans="5:25">
      <c r="F36" s="13"/>
      <c r="G36" s="13"/>
      <c r="H36" s="13"/>
    </row>
    <row r="37" spans="5:25">
      <c r="F37" s="13"/>
      <c r="G37" s="13"/>
      <c r="H37" s="13"/>
    </row>
    <row r="38" spans="5:25">
      <c r="F38" s="13"/>
      <c r="G38" s="13"/>
      <c r="H38" s="1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5:G33"/>
  <sheetViews>
    <sheetView topLeftCell="A18" zoomScaleNormal="100" workbookViewId="0"/>
  </sheetViews>
  <sheetFormatPr defaultRowHeight="14.5"/>
  <cols>
    <col min="5" max="5" width="37.81640625" customWidth="1"/>
    <col min="7" max="7" width="27.7265625" customWidth="1"/>
  </cols>
  <sheetData>
    <row r="5" spans="5:7">
      <c r="G5" s="13"/>
    </row>
    <row r="6" spans="5:7" ht="15.5">
      <c r="F6" t="s">
        <v>10</v>
      </c>
      <c r="G6" s="15">
        <v>0.15</v>
      </c>
    </row>
    <row r="7" spans="5:7">
      <c r="F7" t="s">
        <v>11</v>
      </c>
      <c r="G7" s="13">
        <v>0.01</v>
      </c>
    </row>
    <row r="8" spans="5:7">
      <c r="F8" t="s">
        <v>12</v>
      </c>
      <c r="G8" s="13">
        <v>0.05</v>
      </c>
    </row>
    <row r="9" spans="5:7">
      <c r="F9" t="s">
        <v>13</v>
      </c>
      <c r="G9" s="13">
        <v>0.01</v>
      </c>
    </row>
    <row r="11" spans="5:7">
      <c r="E11" s="1" t="s">
        <v>15</v>
      </c>
      <c r="F11" s="1"/>
      <c r="G11" s="1" t="s">
        <v>14</v>
      </c>
    </row>
    <row r="12" spans="5:7">
      <c r="E12" s="1"/>
      <c r="F12" s="1"/>
      <c r="G12" s="1"/>
    </row>
    <row r="13" spans="5:7">
      <c r="E13" s="1">
        <v>0</v>
      </c>
      <c r="F13" s="1"/>
      <c r="G13" s="43">
        <f>G9</f>
        <v>0.01</v>
      </c>
    </row>
    <row r="14" spans="5:7">
      <c r="E14" s="1">
        <f>E13+1</f>
        <v>1</v>
      </c>
      <c r="F14" s="1"/>
      <c r="G14" s="44">
        <f>G13+($G$6*($G$7-G13)+$G$8*SQRT(G13)*_xlfn.NORM.S.INV('Q.1 Data'!H9))</f>
        <v>1.5977889159694662E-2</v>
      </c>
    </row>
    <row r="15" spans="5:7">
      <c r="E15" s="1">
        <f t="shared" ref="E15:E33" si="0">E14+1</f>
        <v>2</v>
      </c>
      <c r="F15" s="1"/>
      <c r="G15" s="44">
        <f>G14+($G$6*($G$7-G14)+$G$8*SQRT(G14)*_xlfn.NORM.S.INV('Q.1 Data'!H10))</f>
        <v>1.8572638793803241E-2</v>
      </c>
    </row>
    <row r="16" spans="5:7">
      <c r="E16" s="1">
        <f t="shared" si="0"/>
        <v>3</v>
      </c>
      <c r="F16" s="1"/>
      <c r="G16" s="44">
        <f>G15+($G$6*($G$7-G15)+$G$8*SQRT(G15)*_xlfn.NORM.S.INV('Q.1 Data'!H11))</f>
        <v>1.3248112182610778E-2</v>
      </c>
    </row>
    <row r="17" spans="5:7">
      <c r="E17" s="1">
        <f t="shared" si="0"/>
        <v>4</v>
      </c>
      <c r="F17" s="1"/>
      <c r="G17" s="44">
        <f>G16+($G$6*($G$7-G16)+$G$8*SQRT(G16)*_xlfn.NORM.S.INV('Q.1 Data'!H12))</f>
        <v>1.0244895871614878E-2</v>
      </c>
    </row>
    <row r="18" spans="5:7">
      <c r="E18" s="1">
        <f t="shared" si="0"/>
        <v>5</v>
      </c>
      <c r="F18" s="1"/>
      <c r="G18" s="44">
        <f>G17+($G$6*($G$7-G17)+$G$8*SQRT(G17)*_xlfn.NORM.S.INV('Q.1 Data'!H13))</f>
        <v>1.4664502330746841E-2</v>
      </c>
    </row>
    <row r="19" spans="5:7">
      <c r="E19" s="1">
        <f t="shared" si="0"/>
        <v>6</v>
      </c>
      <c r="F19" s="1"/>
      <c r="G19" s="44">
        <f>G18+($G$6*($G$7-G18)+$G$8*SQRT(G18)*_xlfn.NORM.S.INV('Q.1 Data'!H14))</f>
        <v>2.2827102380725123E-2</v>
      </c>
    </row>
    <row r="20" spans="5:7">
      <c r="E20" s="1">
        <f t="shared" si="0"/>
        <v>7</v>
      </c>
      <c r="F20" s="1"/>
      <c r="G20" s="44">
        <f>G19+($G$6*($G$7-G19)+$G$8*SQRT(G19)*_xlfn.NORM.S.INV('Q.1 Data'!H15))</f>
        <v>1.7422600922074667E-2</v>
      </c>
    </row>
    <row r="21" spans="5:7">
      <c r="E21" s="1">
        <f t="shared" si="0"/>
        <v>8</v>
      </c>
      <c r="F21" s="1"/>
      <c r="G21" s="44">
        <f>G20+($G$6*($G$7-G20)+$G$8*SQRT(G20)*_xlfn.NORM.S.INV('Q.1 Data'!H16))</f>
        <v>1.3485581530345202E-2</v>
      </c>
    </row>
    <row r="22" spans="5:7">
      <c r="E22" s="1">
        <f t="shared" si="0"/>
        <v>9</v>
      </c>
      <c r="F22" s="1"/>
      <c r="G22" s="44">
        <f>G21+($G$6*($G$7-G21)+$G$8*SQRT(G21)*_xlfn.NORM.S.INV('Q.1 Data'!H17))</f>
        <v>5.8375952509453783E-3</v>
      </c>
    </row>
    <row r="23" spans="5:7">
      <c r="E23" s="1">
        <f t="shared" si="0"/>
        <v>10</v>
      </c>
      <c r="F23" s="1"/>
      <c r="G23" s="44">
        <f>G22+($G$6*($G$7-G22)+$G$8*SQRT(G22)*_xlfn.NORM.S.INV('Q.1 Data'!H18))</f>
        <v>7.7528117591071401E-4</v>
      </c>
    </row>
    <row r="24" spans="5:7">
      <c r="E24" s="1">
        <f t="shared" si="0"/>
        <v>11</v>
      </c>
      <c r="F24" s="1"/>
      <c r="G24" s="44">
        <f>G23+($G$6*($G$7-G23)+$G$8*SQRT(G23)*_xlfn.NORM.S.INV('Q.1 Data'!H19))</f>
        <v>1.4162669774978626E-3</v>
      </c>
    </row>
    <row r="25" spans="5:7">
      <c r="E25" s="1">
        <f t="shared" si="0"/>
        <v>12</v>
      </c>
      <c r="F25" s="1"/>
      <c r="G25" s="44">
        <f>G24+($G$6*($G$7-G24)+$G$8*SQRT(G24)*_xlfn.NORM.S.INV('Q.1 Data'!H20))</f>
        <v>5.5146210342290969E-3</v>
      </c>
    </row>
    <row r="26" spans="5:7">
      <c r="E26" s="1">
        <f t="shared" si="0"/>
        <v>13</v>
      </c>
      <c r="F26" s="1"/>
      <c r="G26" s="44">
        <f>G25+($G$6*($G$7-G25)+$G$8*SQRT(G25)*_xlfn.NORM.S.INV('Q.1 Data'!H21))</f>
        <v>9.2883123290319579E-3</v>
      </c>
    </row>
    <row r="27" spans="5:7">
      <c r="E27" s="1">
        <f t="shared" si="0"/>
        <v>14</v>
      </c>
      <c r="F27" s="1"/>
      <c r="G27" s="44">
        <f>G26+($G$6*($G$7-G26)+$G$8*SQRT(G26)*_xlfn.NORM.S.INV('Q.1 Data'!H22))</f>
        <v>1.6823786269441841E-2</v>
      </c>
    </row>
    <row r="28" spans="5:7">
      <c r="E28" s="1">
        <f t="shared" si="0"/>
        <v>15</v>
      </c>
      <c r="F28" s="1"/>
      <c r="G28" s="44">
        <f>G27+($G$6*($G$7-G27)+$G$8*SQRT(G27)*_xlfn.NORM.S.INV('Q.1 Data'!H23))</f>
        <v>7.2180964377338112E-3</v>
      </c>
    </row>
    <row r="29" spans="5:7">
      <c r="E29" s="1">
        <f t="shared" si="0"/>
        <v>16</v>
      </c>
      <c r="F29" s="1"/>
      <c r="G29" s="44">
        <f>G28+($G$6*($G$7-G28)+$G$8*SQRT(G28)*_xlfn.NORM.S.INV('Q.1 Data'!H24))</f>
        <v>9.7738058035464256E-3</v>
      </c>
    </row>
    <row r="30" spans="5:7">
      <c r="E30" s="1">
        <f t="shared" si="0"/>
        <v>17</v>
      </c>
      <c r="F30" s="1"/>
      <c r="G30" s="44">
        <f>G29+($G$6*($G$7-G29)+$G$8*SQRT(G29)*_xlfn.NORM.S.INV('Q.1 Data'!H25))</f>
        <v>1.2180293835413789E-2</v>
      </c>
    </row>
    <row r="31" spans="5:7">
      <c r="E31" s="1">
        <f t="shared" si="0"/>
        <v>18</v>
      </c>
      <c r="F31" s="1"/>
      <c r="G31" s="44">
        <f>G30+($G$6*($G$7-G30)+$G$8*SQRT(G30)*_xlfn.NORM.S.INV('Q.1 Data'!H26))</f>
        <v>1.1127127422076574E-2</v>
      </c>
    </row>
    <row r="32" spans="5:7">
      <c r="E32" s="1">
        <f t="shared" si="0"/>
        <v>19</v>
      </c>
      <c r="F32" s="1"/>
      <c r="G32" s="44">
        <f>G31+($G$6*($G$7-G31)+$G$8*SQRT(G31)*_xlfn.NORM.S.INV('Q.1 Data'!H27))</f>
        <v>6.3996330900516398E-3</v>
      </c>
    </row>
    <row r="33" spans="5:7">
      <c r="E33" s="1">
        <f t="shared" si="0"/>
        <v>20</v>
      </c>
      <c r="F33" s="1"/>
      <c r="G33" s="44">
        <f>G32+($G$6*($G$7-G32)+$G$8*SQRT(G32)*_xlfn.NORM.S.INV('Q.1 Data'!H28))</f>
        <v>6.2575451537965222E-3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4:O26"/>
  <sheetViews>
    <sheetView topLeftCell="B7" zoomScale="70" zoomScaleNormal="70" workbookViewId="0"/>
  </sheetViews>
  <sheetFormatPr defaultRowHeight="14.5"/>
  <cols>
    <col min="4" max="4" width="18.453125" customWidth="1"/>
    <col min="5" max="5" width="13.7265625" customWidth="1"/>
    <col min="6" max="6" width="16.54296875" customWidth="1"/>
    <col min="7" max="7" width="15" customWidth="1"/>
    <col min="8" max="8" width="35.1796875" customWidth="1"/>
    <col min="13" max="13" width="19.81640625" customWidth="1"/>
    <col min="14" max="14" width="17.1796875" customWidth="1"/>
  </cols>
  <sheetData>
    <row r="4" spans="4:15">
      <c r="G4" s="1" t="s">
        <v>20</v>
      </c>
      <c r="H4" s="14">
        <f>'Q.1 (ii)'!G21</f>
        <v>1.3485581530345202E-2</v>
      </c>
    </row>
    <row r="5" spans="4:15">
      <c r="G5" s="1" t="s">
        <v>21</v>
      </c>
      <c r="H5" s="14">
        <f>'Q.1 (i)'!J18+H4</f>
        <v>0.10098536237320047</v>
      </c>
    </row>
    <row r="12" spans="4:15" ht="58">
      <c r="D12" s="1" t="s">
        <v>6</v>
      </c>
      <c r="E12" s="1"/>
      <c r="F12" s="1"/>
      <c r="G12" s="8"/>
      <c r="H12" s="1" t="s">
        <v>5</v>
      </c>
      <c r="I12" s="1"/>
      <c r="J12" s="1"/>
      <c r="M12" s="7" t="s">
        <v>27</v>
      </c>
      <c r="N12" s="7" t="s">
        <v>23</v>
      </c>
      <c r="O12" s="7" t="s">
        <v>24</v>
      </c>
    </row>
    <row r="13" spans="4:15">
      <c r="D13" s="1"/>
      <c r="E13" s="1"/>
      <c r="F13" s="11">
        <f>J13</f>
        <v>17.665203585343754</v>
      </c>
      <c r="G13" s="8"/>
      <c r="H13" s="1" t="s">
        <v>22</v>
      </c>
      <c r="I13" s="1"/>
      <c r="J13" s="11">
        <f>1/(1+O13)^20*100</f>
        <v>17.665203585343754</v>
      </c>
      <c r="M13" s="45">
        <f>('Q.1 (i)'!G33/'Q.1 (i)'!G13)^(1/20)-1</f>
        <v>8.0546197135709541E-2</v>
      </c>
      <c r="N13" s="45">
        <v>0.01</v>
      </c>
      <c r="O13" s="45">
        <f>M13+N13</f>
        <v>9.0546197135709536E-2</v>
      </c>
    </row>
    <row r="14" spans="4:15">
      <c r="D14" s="1"/>
      <c r="E14" s="1"/>
      <c r="F14" s="11"/>
      <c r="G14" s="8"/>
      <c r="H14" s="1"/>
      <c r="I14" s="1"/>
      <c r="J14" s="11"/>
    </row>
    <row r="15" spans="4:15">
      <c r="D15" s="1"/>
      <c r="E15" s="1"/>
      <c r="F15" s="11"/>
      <c r="G15" s="8"/>
      <c r="H15" s="1" t="s">
        <v>25</v>
      </c>
      <c r="I15" s="1"/>
      <c r="J15" s="11">
        <f>1/(1+H5)^12*100</f>
        <v>31.522558498362731</v>
      </c>
    </row>
    <row r="16" spans="4:15">
      <c r="D16" s="1"/>
      <c r="E16" s="1"/>
      <c r="F16" s="11"/>
      <c r="G16" s="8"/>
      <c r="H16" s="1"/>
      <c r="I16" s="1"/>
      <c r="J16" s="11"/>
    </row>
    <row r="17" spans="4:10">
      <c r="D17" s="1"/>
      <c r="E17" s="1"/>
      <c r="F17" s="11"/>
      <c r="G17" s="8"/>
      <c r="H17" s="1" t="s">
        <v>26</v>
      </c>
      <c r="I17" s="1"/>
      <c r="J17" s="11">
        <f>'Q.1 (i)'!J14</f>
        <v>36.546842593210968</v>
      </c>
    </row>
    <row r="18" spans="4:10">
      <c r="D18" s="1"/>
      <c r="E18" s="1"/>
      <c r="F18" s="11"/>
      <c r="G18" s="8"/>
      <c r="H18" s="1"/>
      <c r="I18" s="1"/>
      <c r="J18" s="11"/>
    </row>
    <row r="19" spans="4:10">
      <c r="D19" s="1"/>
      <c r="E19" s="1"/>
      <c r="F19" s="11">
        <v>90</v>
      </c>
      <c r="G19" s="8"/>
      <c r="H19" s="1" t="s">
        <v>7</v>
      </c>
      <c r="I19" s="1"/>
      <c r="J19" s="11">
        <f>J15/J17</f>
        <v>0.86252481094545874</v>
      </c>
    </row>
    <row r="20" spans="4:10">
      <c r="D20" s="1"/>
      <c r="E20" s="1"/>
      <c r="F20" s="11"/>
      <c r="G20" s="8"/>
      <c r="H20" s="1"/>
      <c r="I20" s="1"/>
      <c r="J20" s="11"/>
    </row>
    <row r="21" spans="4:10">
      <c r="D21" s="1" t="s">
        <v>15</v>
      </c>
      <c r="E21" s="1">
        <v>0</v>
      </c>
      <c r="F21" s="11">
        <f>F13</f>
        <v>17.665203585343754</v>
      </c>
      <c r="G21" s="8"/>
      <c r="H21" s="1" t="s">
        <v>15</v>
      </c>
      <c r="I21" s="1">
        <v>0</v>
      </c>
      <c r="J21" s="11">
        <f>J13</f>
        <v>17.665203585343754</v>
      </c>
    </row>
    <row r="22" spans="4:10">
      <c r="D22" s="1" t="s">
        <v>15</v>
      </c>
      <c r="E22" s="1">
        <v>20</v>
      </c>
      <c r="F22" s="11">
        <f>F19</f>
        <v>90</v>
      </c>
      <c r="G22" s="8"/>
      <c r="H22" s="1" t="s">
        <v>15</v>
      </c>
      <c r="I22" s="1">
        <v>20</v>
      </c>
      <c r="J22" s="11">
        <f>J19*100</f>
        <v>86.252481094545871</v>
      </c>
    </row>
    <row r="23" spans="4:10">
      <c r="D23" s="1"/>
      <c r="E23" s="1"/>
      <c r="F23" s="11"/>
      <c r="G23" s="8"/>
      <c r="H23" s="1"/>
      <c r="I23" s="1"/>
      <c r="J23" s="11"/>
    </row>
    <row r="24" spans="4:10">
      <c r="D24" s="1"/>
      <c r="E24" s="1"/>
      <c r="F24" s="11">
        <f>F22/F21</f>
        <v>5.0947615500265213</v>
      </c>
      <c r="G24" s="8"/>
      <c r="H24" s="1"/>
      <c r="I24" s="1"/>
      <c r="J24" s="11">
        <f>J22/J21</f>
        <v>4.882620269720908</v>
      </c>
    </row>
    <row r="25" spans="4:10">
      <c r="D25" s="1"/>
      <c r="E25" s="1"/>
      <c r="F25" s="1"/>
      <c r="G25" s="8"/>
      <c r="H25" s="1"/>
      <c r="I25" s="1"/>
      <c r="J25" s="1"/>
    </row>
    <row r="26" spans="4:10">
      <c r="D26" s="1"/>
      <c r="E26" s="9" t="s">
        <v>29</v>
      </c>
      <c r="F26" s="10">
        <f>F24^(1/20)-1</f>
        <v>8.4816277585161082E-2</v>
      </c>
      <c r="G26" s="8"/>
      <c r="H26" s="1"/>
      <c r="I26" s="9" t="s">
        <v>28</v>
      </c>
      <c r="J26" s="10">
        <f>J24^(1/20)-1</f>
        <v>8.2511820877427144E-2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C8794-06B1-4434-AF8B-ECF6DA058F2B}">
  <dimension ref="B4:G28"/>
  <sheetViews>
    <sheetView workbookViewId="0"/>
  </sheetViews>
  <sheetFormatPr defaultRowHeight="14.5"/>
  <cols>
    <col min="2" max="2" width="14" customWidth="1"/>
  </cols>
  <sheetData>
    <row r="4" spans="2:7">
      <c r="B4" s="63" t="s">
        <v>30</v>
      </c>
      <c r="C4" s="1"/>
      <c r="D4" s="64" t="s">
        <v>31</v>
      </c>
      <c r="E4" s="64"/>
      <c r="F4" s="64"/>
      <c r="G4" s="64"/>
    </row>
    <row r="5" spans="2:7">
      <c r="B5" s="63"/>
      <c r="C5" s="1"/>
      <c r="D5" s="1">
        <v>0</v>
      </c>
      <c r="E5" s="1">
        <v>1</v>
      </c>
      <c r="F5" s="1">
        <v>2</v>
      </c>
      <c r="G5" s="1">
        <v>3</v>
      </c>
    </row>
    <row r="6" spans="2:7">
      <c r="B6" s="62" t="s">
        <v>32</v>
      </c>
      <c r="C6" s="1">
        <v>2019</v>
      </c>
      <c r="D6" s="1">
        <v>729</v>
      </c>
      <c r="E6" s="1">
        <v>817</v>
      </c>
      <c r="F6" s="1">
        <v>878</v>
      </c>
      <c r="G6" s="1">
        <v>920</v>
      </c>
    </row>
    <row r="7" spans="2:7">
      <c r="B7" s="62"/>
      <c r="C7" s="1">
        <v>2020</v>
      </c>
      <c r="D7" s="1">
        <v>826</v>
      </c>
      <c r="E7" s="1">
        <v>887</v>
      </c>
      <c r="F7" s="1">
        <v>953</v>
      </c>
      <c r="G7" s="1"/>
    </row>
    <row r="8" spans="2:7">
      <c r="B8" s="62"/>
      <c r="C8" s="1">
        <v>2021</v>
      </c>
      <c r="D8" s="1">
        <v>897</v>
      </c>
      <c r="E8" s="1">
        <v>998</v>
      </c>
      <c r="F8" s="1"/>
      <c r="G8" s="1"/>
    </row>
    <row r="9" spans="2:7">
      <c r="B9" s="62"/>
      <c r="C9" s="1">
        <v>2022</v>
      </c>
      <c r="D9" s="1">
        <v>921</v>
      </c>
      <c r="E9" s="1"/>
      <c r="F9" s="1"/>
      <c r="G9" s="1"/>
    </row>
    <row r="13" spans="2:7">
      <c r="B13" t="s">
        <v>34</v>
      </c>
    </row>
    <row r="15" spans="2:7">
      <c r="B15" s="1" t="s">
        <v>35</v>
      </c>
      <c r="C15" s="1"/>
    </row>
    <row r="16" spans="2:7">
      <c r="B16" s="1">
        <v>2019</v>
      </c>
      <c r="C16" s="16">
        <v>7.0000000000000007E-2</v>
      </c>
    </row>
    <row r="17" spans="2:7">
      <c r="B17" s="1">
        <v>2020</v>
      </c>
      <c r="C17" s="16">
        <v>6.5000000000000002E-2</v>
      </c>
    </row>
    <row r="18" spans="2:7">
      <c r="B18" s="1">
        <v>2021</v>
      </c>
      <c r="C18" s="16">
        <v>0.08</v>
      </c>
    </row>
    <row r="19" spans="2:7">
      <c r="B19" s="1">
        <v>2022</v>
      </c>
      <c r="C19" s="16">
        <v>0.05</v>
      </c>
    </row>
    <row r="23" spans="2:7">
      <c r="B23" s="63" t="s">
        <v>33</v>
      </c>
      <c r="C23" s="1"/>
      <c r="D23" s="64" t="s">
        <v>31</v>
      </c>
      <c r="E23" s="64"/>
      <c r="F23" s="64"/>
      <c r="G23" s="64"/>
    </row>
    <row r="24" spans="2:7">
      <c r="B24" s="63"/>
      <c r="C24" s="1"/>
      <c r="D24" s="1">
        <v>0</v>
      </c>
      <c r="E24" s="1">
        <v>1</v>
      </c>
      <c r="F24" s="1">
        <v>2</v>
      </c>
      <c r="G24" s="1">
        <v>3</v>
      </c>
    </row>
    <row r="25" spans="2:7">
      <c r="B25" s="62" t="s">
        <v>32</v>
      </c>
      <c r="C25" s="1">
        <v>2019</v>
      </c>
      <c r="D25" s="1">
        <v>53</v>
      </c>
      <c r="E25" s="1">
        <v>58</v>
      </c>
      <c r="F25" s="1">
        <v>60</v>
      </c>
      <c r="G25" s="1">
        <v>64</v>
      </c>
    </row>
    <row r="26" spans="2:7">
      <c r="B26" s="62"/>
      <c r="C26" s="1">
        <v>2020</v>
      </c>
      <c r="D26" s="1">
        <v>55</v>
      </c>
      <c r="E26" s="1">
        <v>59</v>
      </c>
      <c r="F26" s="1">
        <v>62</v>
      </c>
      <c r="G26" s="1"/>
    </row>
    <row r="27" spans="2:7">
      <c r="B27" s="62"/>
      <c r="C27" s="1">
        <v>2021</v>
      </c>
      <c r="D27" s="1">
        <v>61</v>
      </c>
      <c r="E27" s="1">
        <v>66</v>
      </c>
      <c r="F27" s="1"/>
      <c r="G27" s="1"/>
    </row>
    <row r="28" spans="2:7">
      <c r="B28" s="62"/>
      <c r="C28" s="1">
        <v>2022</v>
      </c>
      <c r="D28" s="1">
        <v>60</v>
      </c>
      <c r="E28" s="1"/>
      <c r="F28" s="1"/>
      <c r="G28" s="1"/>
    </row>
  </sheetData>
  <mergeCells count="6">
    <mergeCell ref="B25:B28"/>
    <mergeCell ref="B4:B5"/>
    <mergeCell ref="D4:G4"/>
    <mergeCell ref="B6:B9"/>
    <mergeCell ref="B23:B24"/>
    <mergeCell ref="D23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62558-DDEA-4A04-922C-CD25B9FEC5D3}">
  <dimension ref="A1:G81"/>
  <sheetViews>
    <sheetView workbookViewId="0"/>
  </sheetViews>
  <sheetFormatPr defaultRowHeight="14.5"/>
  <cols>
    <col min="3" max="3" width="13.1796875" bestFit="1" customWidth="1"/>
  </cols>
  <sheetData>
    <row r="1" spans="1:7">
      <c r="A1" t="s">
        <v>54</v>
      </c>
    </row>
    <row r="2" spans="1:7">
      <c r="A2" t="s">
        <v>55</v>
      </c>
    </row>
    <row r="4" spans="1:7">
      <c r="D4" t="s">
        <v>31</v>
      </c>
    </row>
    <row r="5" spans="1:7">
      <c r="D5">
        <v>0</v>
      </c>
      <c r="E5">
        <v>1</v>
      </c>
      <c r="F5">
        <v>2</v>
      </c>
      <c r="G5">
        <v>3</v>
      </c>
    </row>
    <row r="6" spans="1:7">
      <c r="B6" t="s">
        <v>32</v>
      </c>
      <c r="C6">
        <v>2019</v>
      </c>
      <c r="D6">
        <f>'Q.2 Data'!D6</f>
        <v>729</v>
      </c>
      <c r="E6">
        <f>'Q.2 Data'!E6-D6</f>
        <v>88</v>
      </c>
      <c r="F6">
        <f>'Q.2 Data'!F6-'Q.2 Data'!E6</f>
        <v>61</v>
      </c>
      <c r="G6">
        <f>'Q.2 Data'!G6-'Q.2 Data'!F6</f>
        <v>42</v>
      </c>
    </row>
    <row r="7" spans="1:7">
      <c r="C7">
        <v>2020</v>
      </c>
      <c r="D7">
        <f>'Q.2 Data'!D7</f>
        <v>826</v>
      </c>
      <c r="E7">
        <f>'Q.2 Data'!E7-D7</f>
        <v>61</v>
      </c>
      <c r="F7">
        <f>'Q.2 Data'!F7-'Q.2 Data'!E7</f>
        <v>66</v>
      </c>
      <c r="G7">
        <f>'Q.2 Data'!G7</f>
        <v>0</v>
      </c>
    </row>
    <row r="8" spans="1:7">
      <c r="C8">
        <v>2021</v>
      </c>
      <c r="D8">
        <f>'Q.2 Data'!D8</f>
        <v>897</v>
      </c>
      <c r="E8">
        <f>'Q.2 Data'!E8-D8</f>
        <v>101</v>
      </c>
      <c r="F8">
        <f>'Q.2 Data'!F8</f>
        <v>0</v>
      </c>
      <c r="G8">
        <f>'Q.2 Data'!G8</f>
        <v>0</v>
      </c>
    </row>
    <row r="9" spans="1:7">
      <c r="C9">
        <v>2022</v>
      </c>
      <c r="D9">
        <f>'Q.2 Data'!D9</f>
        <v>921</v>
      </c>
      <c r="E9">
        <v>0</v>
      </c>
      <c r="F9">
        <f>'Q.2 Data'!F9</f>
        <v>0</v>
      </c>
      <c r="G9">
        <f>'Q.2 Data'!G9</f>
        <v>0</v>
      </c>
    </row>
    <row r="11" spans="1:7">
      <c r="A11" t="s">
        <v>53</v>
      </c>
    </row>
    <row r="12" spans="1:7">
      <c r="A12" t="s">
        <v>52</v>
      </c>
    </row>
    <row r="13" spans="1:7">
      <c r="B13">
        <v>2019</v>
      </c>
      <c r="C13">
        <v>100</v>
      </c>
    </row>
    <row r="14" spans="1:7">
      <c r="B14">
        <v>2020</v>
      </c>
      <c r="C14" s="46">
        <f>C13+C13*'Q.2 Data'!C16</f>
        <v>107</v>
      </c>
    </row>
    <row r="15" spans="1:7">
      <c r="B15">
        <v>2021</v>
      </c>
      <c r="C15" s="46">
        <f>C14+C14*'Q.2 Data'!C17</f>
        <v>113.955</v>
      </c>
    </row>
    <row r="16" spans="1:7">
      <c r="B16">
        <v>2022</v>
      </c>
      <c r="C16" s="46">
        <f>C15+C15*'Q.2 Data'!C18</f>
        <v>123.0714</v>
      </c>
    </row>
    <row r="19" spans="1:7">
      <c r="A19" t="s">
        <v>51</v>
      </c>
      <c r="B19" t="s">
        <v>49</v>
      </c>
    </row>
    <row r="20" spans="1:7">
      <c r="D20" t="s">
        <v>31</v>
      </c>
    </row>
    <row r="21" spans="1:7">
      <c r="D21">
        <v>0</v>
      </c>
      <c r="E21">
        <v>1</v>
      </c>
      <c r="F21">
        <v>2</v>
      </c>
      <c r="G21">
        <v>3</v>
      </c>
    </row>
    <row r="22" spans="1:7">
      <c r="B22" t="s">
        <v>32</v>
      </c>
      <c r="C22">
        <v>2019</v>
      </c>
      <c r="D22" s="17">
        <f>D6*C16/C13</f>
        <v>897.19050600000003</v>
      </c>
      <c r="E22" s="17">
        <f>E6*C16/C14</f>
        <v>101.2176</v>
      </c>
      <c r="F22">
        <f>F6*C16/C15</f>
        <v>65.88</v>
      </c>
      <c r="G22">
        <v>42</v>
      </c>
    </row>
    <row r="23" spans="1:7">
      <c r="C23">
        <v>2020</v>
      </c>
      <c r="D23">
        <f>D7*C16/C14</f>
        <v>950.0652</v>
      </c>
      <c r="E23">
        <f>E7*C16/C15</f>
        <v>65.88</v>
      </c>
      <c r="F23">
        <v>66</v>
      </c>
      <c r="G23">
        <v>0</v>
      </c>
    </row>
    <row r="24" spans="1:7">
      <c r="C24">
        <v>2021</v>
      </c>
      <c r="D24">
        <f>D8*C16/C15</f>
        <v>968.76</v>
      </c>
      <c r="E24">
        <v>101</v>
      </c>
      <c r="F24">
        <v>0</v>
      </c>
      <c r="G24">
        <v>0</v>
      </c>
    </row>
    <row r="25" spans="1:7">
      <c r="C25">
        <v>2022</v>
      </c>
      <c r="D25">
        <v>921</v>
      </c>
      <c r="E25">
        <v>0</v>
      </c>
      <c r="F25">
        <v>0</v>
      </c>
      <c r="G25">
        <v>0</v>
      </c>
    </row>
    <row r="27" spans="1:7">
      <c r="A27" t="s">
        <v>50</v>
      </c>
      <c r="B27" t="s">
        <v>49</v>
      </c>
    </row>
    <row r="29" spans="1:7">
      <c r="D29" t="s">
        <v>31</v>
      </c>
    </row>
    <row r="30" spans="1:7">
      <c r="D30">
        <v>0</v>
      </c>
      <c r="E30">
        <v>1</v>
      </c>
      <c r="F30">
        <v>2</v>
      </c>
      <c r="G30">
        <v>3</v>
      </c>
    </row>
    <row r="31" spans="1:7">
      <c r="B31" t="s">
        <v>32</v>
      </c>
      <c r="C31">
        <v>2019</v>
      </c>
      <c r="D31" s="17">
        <f>D22</f>
        <v>897.19050600000003</v>
      </c>
      <c r="E31" s="17">
        <f>D22+E22</f>
        <v>998.40810600000009</v>
      </c>
      <c r="F31" s="17">
        <f>E31+F22</f>
        <v>1064.288106</v>
      </c>
      <c r="G31" s="17">
        <f>F31+G22</f>
        <v>1106.288106</v>
      </c>
    </row>
    <row r="32" spans="1:7">
      <c r="C32">
        <v>2020</v>
      </c>
      <c r="D32">
        <f>D23</f>
        <v>950.0652</v>
      </c>
      <c r="E32">
        <f>D32+E23</f>
        <v>1015.9452</v>
      </c>
      <c r="F32">
        <f>E32+F23</f>
        <v>1081.9452000000001</v>
      </c>
      <c r="G32">
        <v>0</v>
      </c>
    </row>
    <row r="33" spans="1:7">
      <c r="C33">
        <v>2021</v>
      </c>
      <c r="D33">
        <f>D24</f>
        <v>968.76</v>
      </c>
      <c r="E33">
        <f>D33+E24</f>
        <v>1069.76</v>
      </c>
      <c r="F33">
        <v>0</v>
      </c>
      <c r="G33">
        <v>0</v>
      </c>
    </row>
    <row r="34" spans="1:7">
      <c r="C34">
        <v>2022</v>
      </c>
      <c r="D34">
        <v>921</v>
      </c>
      <c r="E34">
        <v>0</v>
      </c>
      <c r="F34">
        <v>0</v>
      </c>
      <c r="G34">
        <v>0</v>
      </c>
    </row>
    <row r="36" spans="1:7">
      <c r="A36" t="s">
        <v>48</v>
      </c>
    </row>
    <row r="37" spans="1:7">
      <c r="A37" t="s">
        <v>47</v>
      </c>
    </row>
    <row r="39" spans="1:7">
      <c r="B39" s="65" t="s">
        <v>45</v>
      </c>
      <c r="D39" s="66" t="s">
        <v>31</v>
      </c>
      <c r="E39" s="66"/>
      <c r="F39" s="66"/>
      <c r="G39" s="66"/>
    </row>
    <row r="40" spans="1:7">
      <c r="B40" s="65"/>
      <c r="D40">
        <v>0</v>
      </c>
      <c r="E40">
        <v>1</v>
      </c>
      <c r="F40">
        <v>2</v>
      </c>
      <c r="G40">
        <v>3</v>
      </c>
    </row>
    <row r="41" spans="1:7">
      <c r="B41" s="67" t="s">
        <v>32</v>
      </c>
      <c r="C41">
        <v>2019</v>
      </c>
      <c r="D41" s="46">
        <f>D31/'Q.2 Data'!D25</f>
        <v>16.928122754716981</v>
      </c>
      <c r="E41" s="46">
        <f>E31/'Q.2 Data'!E25</f>
        <v>17.213932862068965</v>
      </c>
      <c r="F41" s="46">
        <f>F31/'Q.2 Data'!F25</f>
        <v>17.738135100000001</v>
      </c>
      <c r="G41" s="46">
        <f>G31/'Q.2 Data'!G25</f>
        <v>17.28575165625</v>
      </c>
    </row>
    <row r="42" spans="1:7">
      <c r="B42" s="67"/>
      <c r="C42">
        <v>2020</v>
      </c>
      <c r="D42" s="46">
        <f>D32/'Q.2 Data'!D26</f>
        <v>17.273912727272727</v>
      </c>
      <c r="E42" s="46">
        <f>E32/'Q.2 Data'!E26</f>
        <v>17.219410169491525</v>
      </c>
      <c r="F42" s="46">
        <f>F32/'Q.2 Data'!F26</f>
        <v>17.450729032258067</v>
      </c>
      <c r="G42" s="46"/>
    </row>
    <row r="43" spans="1:7">
      <c r="B43" s="67"/>
      <c r="C43">
        <v>2021</v>
      </c>
      <c r="D43" s="46">
        <f>D33/'Q.2 Data'!D27</f>
        <v>15.881311475409836</v>
      </c>
      <c r="E43" s="46">
        <f>E33/'Q.2 Data'!E27</f>
        <v>16.208484848484847</v>
      </c>
      <c r="F43" s="46"/>
      <c r="G43" s="46"/>
    </row>
    <row r="44" spans="1:7">
      <c r="B44" s="67"/>
      <c r="C44">
        <v>2022</v>
      </c>
      <c r="D44" s="46">
        <f>D34/'Q.2 Data'!D28</f>
        <v>15.35</v>
      </c>
      <c r="E44" s="46"/>
      <c r="F44" s="46"/>
      <c r="G44" s="46"/>
    </row>
    <row r="46" spans="1:7">
      <c r="A46" t="s">
        <v>46</v>
      </c>
    </row>
    <row r="49" spans="2:7">
      <c r="B49" t="s">
        <v>45</v>
      </c>
      <c r="D49" t="s">
        <v>31</v>
      </c>
    </row>
    <row r="50" spans="2:7">
      <c r="D50">
        <v>0</v>
      </c>
      <c r="E50">
        <v>1</v>
      </c>
      <c r="F50">
        <v>2</v>
      </c>
      <c r="G50">
        <v>3</v>
      </c>
    </row>
    <row r="51" spans="2:7">
      <c r="B51" t="s">
        <v>32</v>
      </c>
      <c r="C51">
        <v>2019</v>
      </c>
      <c r="D51">
        <f>'Q.2 Data'!D25</f>
        <v>53</v>
      </c>
      <c r="E51">
        <f>'Q.2 Data'!E25</f>
        <v>58</v>
      </c>
      <c r="F51">
        <f>'Q.2 Data'!F25</f>
        <v>60</v>
      </c>
      <c r="G51">
        <f>'Q.2 Data'!G25</f>
        <v>64</v>
      </c>
    </row>
    <row r="52" spans="2:7">
      <c r="C52">
        <v>2020</v>
      </c>
      <c r="D52">
        <f>'Q.2 Data'!D26</f>
        <v>55</v>
      </c>
      <c r="E52">
        <f>'Q.2 Data'!E26</f>
        <v>59</v>
      </c>
      <c r="F52">
        <f>'Q.2 Data'!F26</f>
        <v>62</v>
      </c>
      <c r="G52" s="47">
        <f>F52/(F51/G51)</f>
        <v>66.13333333333334</v>
      </c>
    </row>
    <row r="53" spans="2:7">
      <c r="C53">
        <v>2021</v>
      </c>
      <c r="D53">
        <f>'Q.2 Data'!D27</f>
        <v>61</v>
      </c>
      <c r="E53">
        <f>'Q.2 Data'!E27</f>
        <v>66</v>
      </c>
      <c r="G53" s="47">
        <f>E53/(AVERAGE(E51/G51,E52/G52))</f>
        <v>73.399103139013448</v>
      </c>
    </row>
    <row r="54" spans="2:7">
      <c r="C54">
        <v>2022</v>
      </c>
      <c r="D54">
        <f>'Q.2 Data'!D28</f>
        <v>60</v>
      </c>
      <c r="G54" s="47">
        <f>D54/(AVERAGE(D51/G51,D52/G52,D53/G53))</f>
        <v>72.264457539504917</v>
      </c>
    </row>
    <row r="56" spans="2:7">
      <c r="B56" t="s">
        <v>43</v>
      </c>
    </row>
    <row r="57" spans="2:7">
      <c r="B57" t="s">
        <v>42</v>
      </c>
      <c r="C57" s="18">
        <f>(F51/G51)</f>
        <v>0.9375</v>
      </c>
    </row>
    <row r="58" spans="2:7">
      <c r="B58" t="s">
        <v>41</v>
      </c>
      <c r="C58" s="18">
        <f>AVERAGE(E51/G51,E52/G52)</f>
        <v>0.89919354838709675</v>
      </c>
    </row>
    <row r="59" spans="2:7">
      <c r="B59" t="s">
        <v>40</v>
      </c>
      <c r="C59" s="18">
        <f>AVERAGE(D51/G51,D52/G52,D53/G53)</f>
        <v>0.83028368361029647</v>
      </c>
    </row>
    <row r="61" spans="2:7">
      <c r="B61" t="s">
        <v>44</v>
      </c>
      <c r="D61" t="s">
        <v>31</v>
      </c>
    </row>
    <row r="62" spans="2:7">
      <c r="D62">
        <v>0</v>
      </c>
      <c r="E62">
        <v>1</v>
      </c>
      <c r="F62">
        <v>2</v>
      </c>
      <c r="G62">
        <v>3</v>
      </c>
    </row>
    <row r="63" spans="2:7">
      <c r="B63" t="s">
        <v>32</v>
      </c>
      <c r="C63">
        <v>2019</v>
      </c>
      <c r="D63" s="46">
        <f>D41</f>
        <v>16.928122754716981</v>
      </c>
      <c r="E63" s="46">
        <f t="shared" ref="E63:G64" si="0">E41</f>
        <v>17.213932862068965</v>
      </c>
      <c r="F63" s="46">
        <f t="shared" si="0"/>
        <v>17.738135100000001</v>
      </c>
      <c r="G63" s="46">
        <f t="shared" si="0"/>
        <v>17.28575165625</v>
      </c>
    </row>
    <row r="64" spans="2:7">
      <c r="C64">
        <v>2020</v>
      </c>
      <c r="D64" s="46">
        <f t="shared" ref="D64:E66" si="1">D42</f>
        <v>17.273912727272727</v>
      </c>
      <c r="E64" s="46">
        <f t="shared" si="1"/>
        <v>17.219410169491525</v>
      </c>
      <c r="F64" s="46">
        <f t="shared" si="0"/>
        <v>17.450729032258067</v>
      </c>
      <c r="G64" s="47">
        <f>F64/(F63/G63)</f>
        <v>17.00567543158045</v>
      </c>
    </row>
    <row r="65" spans="2:7">
      <c r="C65">
        <v>2021</v>
      </c>
      <c r="D65" s="46">
        <f t="shared" si="1"/>
        <v>15.881311475409836</v>
      </c>
      <c r="E65" s="46">
        <f t="shared" si="1"/>
        <v>16.208484848484847</v>
      </c>
      <c r="F65" s="46"/>
      <c r="G65" s="47">
        <f>E65/(AVERAGE(E63/G63,E64/G64))</f>
        <v>16.140584328507952</v>
      </c>
    </row>
    <row r="66" spans="2:7">
      <c r="C66">
        <v>2022</v>
      </c>
      <c r="D66" s="46">
        <f t="shared" si="1"/>
        <v>15.35</v>
      </c>
      <c r="E66" s="46"/>
      <c r="F66" s="46"/>
      <c r="G66" s="47">
        <f>D66/(AVERAGE(D63/G63,D64/G64,D65/G65))</f>
        <v>15.458099748111859</v>
      </c>
    </row>
    <row r="68" spans="2:7">
      <c r="B68" t="s">
        <v>43</v>
      </c>
    </row>
    <row r="69" spans="2:7">
      <c r="B69" t="s">
        <v>42</v>
      </c>
      <c r="C69" s="18">
        <f>(F63/G63)</f>
        <v>1.0261708864471875</v>
      </c>
    </row>
    <row r="70" spans="2:7">
      <c r="B70" t="s">
        <v>41</v>
      </c>
      <c r="C70" s="18">
        <f>AVERAGE(E63/G63,E64/G64)</f>
        <v>1.0042068191953228</v>
      </c>
    </row>
    <row r="71" spans="2:7">
      <c r="B71" t="s">
        <v>40</v>
      </c>
      <c r="C71" s="18">
        <f>AVERAGE(D63/G63,D64/G64,D65/G65)</f>
        <v>0.9930069187110101</v>
      </c>
    </row>
    <row r="72" spans="2:7">
      <c r="C72" s="18"/>
    </row>
    <row r="73" spans="2:7">
      <c r="B73" t="s">
        <v>39</v>
      </c>
      <c r="G73" s="17">
        <f>G31+('Q.2 (i,ii)'!G52*'Q.2 (i,ii)'!G64)+('Q.2 (i,ii)'!G53*'Q.2 (i,ii)'!G65)+('Q.2 (i,ii)'!G54*'Q.2 (i,ii)'!G66)</f>
        <v>4532.7057146161478</v>
      </c>
    </row>
    <row r="75" spans="2:7">
      <c r="B75" t="s">
        <v>38</v>
      </c>
      <c r="E75">
        <v>2640</v>
      </c>
    </row>
    <row r="76" spans="2:7">
      <c r="B76" t="s">
        <v>37</v>
      </c>
      <c r="E76">
        <f>G73-E75</f>
        <v>1892.7057146161478</v>
      </c>
    </row>
    <row r="78" spans="2:7">
      <c r="B78" t="s">
        <v>36</v>
      </c>
    </row>
    <row r="79" spans="2:7">
      <c r="B79" t="s">
        <v>125</v>
      </c>
    </row>
    <row r="80" spans="2:7">
      <c r="B80" t="s">
        <v>126</v>
      </c>
    </row>
    <row r="81" spans="2:2">
      <c r="B81" t="s">
        <v>127</v>
      </c>
    </row>
  </sheetData>
  <mergeCells count="3">
    <mergeCell ref="B39:B40"/>
    <mergeCell ref="D39:G39"/>
    <mergeCell ref="B41:B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0B9B7-2E45-48E9-BED5-537DB59D28F3}">
  <dimension ref="B3:D12"/>
  <sheetViews>
    <sheetView workbookViewId="0">
      <selection sqref="A1:XFD1048576"/>
    </sheetView>
  </sheetViews>
  <sheetFormatPr defaultRowHeight="14.5"/>
  <cols>
    <col min="2" max="2" width="18.1796875" bestFit="1" customWidth="1"/>
    <col min="3" max="3" width="23.81640625" bestFit="1" customWidth="1"/>
    <col min="4" max="4" width="24.81640625" bestFit="1" customWidth="1"/>
  </cols>
  <sheetData>
    <row r="3" spans="2:4">
      <c r="B3" t="s">
        <v>56</v>
      </c>
    </row>
    <row r="4" spans="2:4">
      <c r="B4" t="s">
        <v>57</v>
      </c>
      <c r="C4" t="s">
        <v>58</v>
      </c>
      <c r="D4" t="s">
        <v>59</v>
      </c>
    </row>
    <row r="5" spans="2:4">
      <c r="B5" t="s">
        <v>60</v>
      </c>
      <c r="C5">
        <v>10</v>
      </c>
      <c r="D5">
        <v>25</v>
      </c>
    </row>
    <row r="6" spans="2:4">
      <c r="B6" t="s">
        <v>61</v>
      </c>
      <c r="C6">
        <v>20</v>
      </c>
      <c r="D6">
        <v>30</v>
      </c>
    </row>
    <row r="7" spans="2:4">
      <c r="B7" t="s">
        <v>62</v>
      </c>
      <c r="C7">
        <v>30</v>
      </c>
      <c r="D7">
        <v>45</v>
      </c>
    </row>
    <row r="8" spans="2:4">
      <c r="B8" t="s">
        <v>63</v>
      </c>
      <c r="C8">
        <v>40</v>
      </c>
      <c r="D8">
        <v>20</v>
      </c>
    </row>
    <row r="9" spans="2:4">
      <c r="B9" t="s">
        <v>64</v>
      </c>
      <c r="C9">
        <v>35</v>
      </c>
      <c r="D9">
        <v>50</v>
      </c>
    </row>
    <row r="10" spans="2:4">
      <c r="B10" t="s">
        <v>65</v>
      </c>
      <c r="C10">
        <v>25</v>
      </c>
      <c r="D10">
        <v>40</v>
      </c>
    </row>
    <row r="11" spans="2:4">
      <c r="B11" t="s">
        <v>66</v>
      </c>
      <c r="C11">
        <v>30</v>
      </c>
      <c r="D11">
        <v>40</v>
      </c>
    </row>
    <row r="12" spans="2:4">
      <c r="B12" t="s">
        <v>67</v>
      </c>
      <c r="C12">
        <v>20</v>
      </c>
      <c r="D12">
        <v>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E70BD-2404-4A18-A85B-96F344A5FBE0}">
  <dimension ref="A1:W26"/>
  <sheetViews>
    <sheetView zoomScaleNormal="100" workbookViewId="0"/>
  </sheetViews>
  <sheetFormatPr defaultRowHeight="14.5"/>
  <cols>
    <col min="1" max="1" width="40.54296875" bestFit="1" customWidth="1"/>
    <col min="2" max="2" width="9.54296875" bestFit="1" customWidth="1"/>
    <col min="4" max="4" width="14.54296875" customWidth="1"/>
    <col min="5" max="5" width="8.7265625" bestFit="1" customWidth="1"/>
    <col min="6" max="6" width="9.54296875" bestFit="1" customWidth="1"/>
    <col min="7" max="7" width="8.453125" bestFit="1" customWidth="1"/>
    <col min="8" max="8" width="8.7265625" bestFit="1" customWidth="1"/>
    <col min="9" max="9" width="7.54296875" bestFit="1" customWidth="1"/>
    <col min="10" max="10" width="11.54296875" bestFit="1" customWidth="1"/>
    <col min="23" max="23" width="12" bestFit="1" customWidth="1"/>
  </cols>
  <sheetData>
    <row r="1" spans="1:23">
      <c r="A1" s="19" t="s">
        <v>68</v>
      </c>
      <c r="B1" s="13">
        <v>3</v>
      </c>
      <c r="D1" t="s">
        <v>145</v>
      </c>
      <c r="E1">
        <v>30</v>
      </c>
    </row>
    <row r="2" spans="1:23">
      <c r="A2" s="19" t="s">
        <v>69</v>
      </c>
      <c r="B2" s="13">
        <v>250</v>
      </c>
    </row>
    <row r="3" spans="1:23">
      <c r="A3" t="s">
        <v>70</v>
      </c>
      <c r="B3" s="13">
        <v>4</v>
      </c>
    </row>
    <row r="4" spans="1:23">
      <c r="A4" t="s">
        <v>71</v>
      </c>
      <c r="B4" s="21">
        <v>0.2</v>
      </c>
    </row>
    <row r="5" spans="1:23">
      <c r="A5" t="s">
        <v>72</v>
      </c>
      <c r="B5" s="13">
        <f>B3*B2/(B1-1)</f>
        <v>500</v>
      </c>
    </row>
    <row r="6" spans="1:23">
      <c r="A6" t="s">
        <v>73</v>
      </c>
      <c r="B6" s="13">
        <f>B5*E1</f>
        <v>15000</v>
      </c>
    </row>
    <row r="8" spans="1:23">
      <c r="A8" t="s">
        <v>74</v>
      </c>
      <c r="B8" s="13">
        <f>(FACT(B1-2-1)*FACT(B3+2-1))/(FACT(B1-1)*FACT(B3-1))*B5^2</f>
        <v>2500000</v>
      </c>
    </row>
    <row r="9" spans="1:23">
      <c r="A9" t="s">
        <v>75</v>
      </c>
      <c r="B9" s="13">
        <f>E1*B8</f>
        <v>75000000</v>
      </c>
      <c r="N9" t="s">
        <v>130</v>
      </c>
    </row>
    <row r="10" spans="1:23">
      <c r="A10" t="s">
        <v>147</v>
      </c>
      <c r="B10">
        <v>0.02</v>
      </c>
    </row>
    <row r="11" spans="1:23">
      <c r="A11" t="s">
        <v>146</v>
      </c>
    </row>
    <row r="12" spans="1:23" ht="101.5">
      <c r="A12" s="20" t="s">
        <v>57</v>
      </c>
      <c r="B12" s="20" t="s">
        <v>58</v>
      </c>
      <c r="C12" s="20" t="s">
        <v>59</v>
      </c>
      <c r="D12" s="20" t="s">
        <v>76</v>
      </c>
      <c r="E12" s="20" t="s">
        <v>77</v>
      </c>
      <c r="F12" s="20" t="s">
        <v>78</v>
      </c>
      <c r="G12" s="20" t="s">
        <v>79</v>
      </c>
      <c r="H12" s="20" t="s">
        <v>80</v>
      </c>
      <c r="I12" s="20" t="s">
        <v>81</v>
      </c>
      <c r="J12" s="20" t="s">
        <v>82</v>
      </c>
      <c r="N12" s="20" t="s">
        <v>57</v>
      </c>
      <c r="O12" s="20" t="s">
        <v>58</v>
      </c>
      <c r="P12" s="20" t="s">
        <v>59</v>
      </c>
      <c r="Q12" s="20" t="s">
        <v>76</v>
      </c>
      <c r="R12" s="20" t="s">
        <v>77</v>
      </c>
      <c r="S12" s="20" t="s">
        <v>78</v>
      </c>
      <c r="T12" s="20" t="s">
        <v>79</v>
      </c>
      <c r="U12" s="20" t="s">
        <v>80</v>
      </c>
      <c r="V12" s="20" t="s">
        <v>81</v>
      </c>
      <c r="W12" s="20" t="s">
        <v>82</v>
      </c>
    </row>
    <row r="13" spans="1:23">
      <c r="A13" s="20" t="s">
        <v>60</v>
      </c>
      <c r="B13" s="20">
        <v>10</v>
      </c>
      <c r="C13" s="20">
        <v>25</v>
      </c>
      <c r="D13" s="20">
        <f>((1+C13/100)*B13/100)*$B$6</f>
        <v>1875</v>
      </c>
      <c r="E13" s="20">
        <f>(1-B13/100)*$B$6</f>
        <v>13500</v>
      </c>
      <c r="F13" s="20">
        <f>(1-B13/100)^2*$B$9</f>
        <v>60750000.000000007</v>
      </c>
      <c r="G13" s="20">
        <f>$B$6*(1+$B$4)</f>
        <v>18000</v>
      </c>
      <c r="H13" s="20">
        <f>G13-D13</f>
        <v>16125</v>
      </c>
      <c r="I13" s="20">
        <f>H13-E13</f>
        <v>2625</v>
      </c>
      <c r="J13" s="61">
        <f>-_xlfn.NORM.INV($B$10,I13,SQRT(F13))</f>
        <v>13382.388566415977</v>
      </c>
      <c r="N13" s="20" t="s">
        <v>60</v>
      </c>
      <c r="O13">
        <v>10</v>
      </c>
      <c r="P13">
        <v>25</v>
      </c>
      <c r="Q13" s="20">
        <f>((1+P13/100)*O13/100)*$B$6</f>
        <v>1875</v>
      </c>
      <c r="R13" s="20">
        <f>(1-O13/100)*$B$6</f>
        <v>13500</v>
      </c>
      <c r="S13" s="20">
        <f>(1-O13/100)^2*$B$9</f>
        <v>60750000.000000007</v>
      </c>
      <c r="T13" s="20">
        <f>$B$6*(1+$B$4)</f>
        <v>18000</v>
      </c>
      <c r="U13" s="20">
        <f>T13-Q13</f>
        <v>16125</v>
      </c>
      <c r="V13" s="20">
        <f>U13-R13</f>
        <v>2625</v>
      </c>
      <c r="W13" s="20">
        <f>-_xlfn.NORM.INV($B$10,V13,SQRT(S13))</f>
        <v>13382.388566415977</v>
      </c>
    </row>
    <row r="14" spans="1:23">
      <c r="A14" s="20" t="s">
        <v>61</v>
      </c>
      <c r="B14" s="20">
        <v>20</v>
      </c>
      <c r="C14" s="20">
        <v>30</v>
      </c>
      <c r="D14" s="20">
        <f t="shared" ref="D14:D20" si="0">((1+C14/100)*B14/100)*$B$6</f>
        <v>3900</v>
      </c>
      <c r="E14" s="20">
        <f t="shared" ref="E14:E20" si="1">(1-B14/100)*$B$6</f>
        <v>12000</v>
      </c>
      <c r="F14" s="20">
        <f t="shared" ref="F14:F20" si="2">(1-B14/100)^2*$B$9</f>
        <v>48000000.000000007</v>
      </c>
      <c r="G14" s="20">
        <f t="shared" ref="G14:G20" si="3">$B$6*(1+$B$4)</f>
        <v>18000</v>
      </c>
      <c r="H14" s="20">
        <f t="shared" ref="H14:I20" si="4">G14-D14</f>
        <v>14100</v>
      </c>
      <c r="I14" s="20">
        <f t="shared" si="4"/>
        <v>2100</v>
      </c>
      <c r="J14" s="61">
        <f t="shared" ref="J14:J20" si="5">-_xlfn.NORM.INV($B$10,I14,SQRT(F14))</f>
        <v>12128.789836814201</v>
      </c>
      <c r="N14" s="20" t="s">
        <v>61</v>
      </c>
      <c r="O14">
        <v>20</v>
      </c>
      <c r="P14">
        <v>30</v>
      </c>
      <c r="Q14" s="20">
        <f t="shared" ref="Q14:Q20" si="6">((1+P14/100)*O14/100)*$B$6</f>
        <v>3900</v>
      </c>
      <c r="R14" s="20">
        <f t="shared" ref="R14:R20" si="7">(1-O14/100)*$B$6</f>
        <v>12000</v>
      </c>
      <c r="S14" s="20">
        <f t="shared" ref="S14:S20" si="8">(1-O14/100)^2*$B$9</f>
        <v>48000000.000000007</v>
      </c>
      <c r="T14" s="20">
        <f t="shared" ref="T14:T20" si="9">$B$6*(1+$B$4)</f>
        <v>18000</v>
      </c>
      <c r="U14" s="20">
        <f t="shared" ref="U14:V20" si="10">T14-Q14</f>
        <v>14100</v>
      </c>
      <c r="V14" s="20">
        <f t="shared" si="10"/>
        <v>2100</v>
      </c>
      <c r="W14" s="20">
        <f t="shared" ref="W14:W20" si="11">-_xlfn.NORM.INV($B$10,V14,SQRT(S14))</f>
        <v>12128.789836814201</v>
      </c>
    </row>
    <row r="15" spans="1:23">
      <c r="A15" s="20" t="s">
        <v>62</v>
      </c>
      <c r="B15" s="20">
        <v>30</v>
      </c>
      <c r="C15" s="20">
        <v>45</v>
      </c>
      <c r="D15" s="20">
        <f t="shared" si="0"/>
        <v>6525</v>
      </c>
      <c r="E15" s="20">
        <f t="shared" si="1"/>
        <v>10500</v>
      </c>
      <c r="F15" s="20">
        <f t="shared" si="2"/>
        <v>36749999.999999993</v>
      </c>
      <c r="G15" s="20">
        <f t="shared" si="3"/>
        <v>18000</v>
      </c>
      <c r="H15" s="20">
        <f t="shared" si="4"/>
        <v>11475</v>
      </c>
      <c r="I15" s="20">
        <f t="shared" si="4"/>
        <v>975</v>
      </c>
      <c r="J15" s="61">
        <f t="shared" si="5"/>
        <v>11475.191107212424</v>
      </c>
      <c r="N15" s="20" t="s">
        <v>62</v>
      </c>
      <c r="O15">
        <v>30</v>
      </c>
      <c r="P15">
        <v>45</v>
      </c>
      <c r="Q15" s="20">
        <f t="shared" si="6"/>
        <v>6525</v>
      </c>
      <c r="R15" s="20">
        <f t="shared" si="7"/>
        <v>10500</v>
      </c>
      <c r="S15" s="20">
        <f t="shared" si="8"/>
        <v>36749999.999999993</v>
      </c>
      <c r="T15" s="20">
        <f t="shared" si="9"/>
        <v>18000</v>
      </c>
      <c r="U15" s="20">
        <f t="shared" si="10"/>
        <v>11475</v>
      </c>
      <c r="V15" s="20">
        <f t="shared" si="10"/>
        <v>975</v>
      </c>
      <c r="W15" s="20">
        <f t="shared" si="11"/>
        <v>11475.191107212424</v>
      </c>
    </row>
    <row r="16" spans="1:23">
      <c r="A16" s="20" t="s">
        <v>63</v>
      </c>
      <c r="B16" s="20">
        <v>40</v>
      </c>
      <c r="C16" s="20">
        <v>30</v>
      </c>
      <c r="D16" s="20">
        <f t="shared" si="0"/>
        <v>7800</v>
      </c>
      <c r="E16" s="20">
        <f t="shared" si="1"/>
        <v>9000</v>
      </c>
      <c r="F16" s="20">
        <f t="shared" si="2"/>
        <v>27000000</v>
      </c>
      <c r="G16" s="20">
        <f t="shared" si="3"/>
        <v>18000</v>
      </c>
      <c r="H16" s="20">
        <f t="shared" si="4"/>
        <v>10200</v>
      </c>
      <c r="I16" s="20">
        <f t="shared" si="4"/>
        <v>1200</v>
      </c>
      <c r="J16" s="61">
        <f t="shared" si="5"/>
        <v>9471.5923776106501</v>
      </c>
      <c r="N16" s="20" t="s">
        <v>63</v>
      </c>
      <c r="O16">
        <v>40</v>
      </c>
      <c r="P16" s="51">
        <v>20</v>
      </c>
      <c r="Q16" s="20">
        <f t="shared" si="6"/>
        <v>7200</v>
      </c>
      <c r="R16" s="20">
        <f t="shared" si="7"/>
        <v>9000</v>
      </c>
      <c r="S16" s="20">
        <f t="shared" si="8"/>
        <v>27000000</v>
      </c>
      <c r="T16" s="20">
        <f t="shared" si="9"/>
        <v>18000</v>
      </c>
      <c r="U16" s="20">
        <f t="shared" si="10"/>
        <v>10800</v>
      </c>
      <c r="V16" s="20">
        <f t="shared" si="10"/>
        <v>1800</v>
      </c>
      <c r="W16" s="20">
        <f t="shared" si="11"/>
        <v>8871.5923776106501</v>
      </c>
    </row>
    <row r="17" spans="1:23">
      <c r="A17" s="20" t="s">
        <v>64</v>
      </c>
      <c r="B17" s="20">
        <v>35</v>
      </c>
      <c r="C17" s="20">
        <v>50</v>
      </c>
      <c r="D17" s="20">
        <f t="shared" si="0"/>
        <v>7875</v>
      </c>
      <c r="E17" s="20">
        <f t="shared" si="1"/>
        <v>9750</v>
      </c>
      <c r="F17" s="20">
        <f t="shared" si="2"/>
        <v>31687500.000000004</v>
      </c>
      <c r="G17" s="20">
        <f t="shared" si="3"/>
        <v>18000</v>
      </c>
      <c r="H17" s="20">
        <f t="shared" si="4"/>
        <v>10125</v>
      </c>
      <c r="I17" s="20">
        <f t="shared" si="4"/>
        <v>375</v>
      </c>
      <c r="J17" s="61">
        <f t="shared" si="5"/>
        <v>11185.891742411539</v>
      </c>
      <c r="N17" s="20" t="s">
        <v>64</v>
      </c>
      <c r="O17">
        <v>35</v>
      </c>
      <c r="P17">
        <v>50</v>
      </c>
      <c r="Q17" s="20">
        <f t="shared" si="6"/>
        <v>7875</v>
      </c>
      <c r="R17" s="20">
        <f t="shared" si="7"/>
        <v>9750</v>
      </c>
      <c r="S17" s="20">
        <f t="shared" si="8"/>
        <v>31687500.000000004</v>
      </c>
      <c r="T17" s="20">
        <f t="shared" si="9"/>
        <v>18000</v>
      </c>
      <c r="U17" s="20">
        <f t="shared" si="10"/>
        <v>10125</v>
      </c>
      <c r="V17" s="20">
        <f t="shared" si="10"/>
        <v>375</v>
      </c>
      <c r="W17" s="20">
        <f t="shared" si="11"/>
        <v>11185.891742411539</v>
      </c>
    </row>
    <row r="18" spans="1:23">
      <c r="A18" s="20" t="s">
        <v>65</v>
      </c>
      <c r="B18" s="20">
        <v>25</v>
      </c>
      <c r="C18" s="20">
        <v>40</v>
      </c>
      <c r="D18" s="20">
        <f t="shared" si="0"/>
        <v>5250</v>
      </c>
      <c r="E18" s="20">
        <f t="shared" si="1"/>
        <v>11250</v>
      </c>
      <c r="F18" s="20">
        <f t="shared" si="2"/>
        <v>42187500</v>
      </c>
      <c r="G18" s="20">
        <f t="shared" si="3"/>
        <v>18000</v>
      </c>
      <c r="H18" s="20">
        <f t="shared" si="4"/>
        <v>12750</v>
      </c>
      <c r="I18" s="20">
        <f t="shared" si="4"/>
        <v>1500</v>
      </c>
      <c r="J18" s="61">
        <f t="shared" si="5"/>
        <v>11839.490472013315</v>
      </c>
      <c r="N18" s="20" t="s">
        <v>65</v>
      </c>
      <c r="O18">
        <v>25</v>
      </c>
      <c r="P18">
        <v>40</v>
      </c>
      <c r="Q18" s="20">
        <f t="shared" si="6"/>
        <v>5250</v>
      </c>
      <c r="R18" s="20">
        <f t="shared" si="7"/>
        <v>11250</v>
      </c>
      <c r="S18" s="20">
        <f t="shared" si="8"/>
        <v>42187500</v>
      </c>
      <c r="T18" s="20">
        <f t="shared" si="9"/>
        <v>18000</v>
      </c>
      <c r="U18" s="20">
        <f t="shared" si="10"/>
        <v>12750</v>
      </c>
      <c r="V18" s="20">
        <f t="shared" si="10"/>
        <v>1500</v>
      </c>
      <c r="W18" s="20">
        <f t="shared" si="11"/>
        <v>11839.490472013315</v>
      </c>
    </row>
    <row r="19" spans="1:23">
      <c r="A19" s="20" t="s">
        <v>66</v>
      </c>
      <c r="B19" s="20">
        <v>30</v>
      </c>
      <c r="C19" s="20">
        <v>35</v>
      </c>
      <c r="D19" s="20">
        <f t="shared" si="0"/>
        <v>6075</v>
      </c>
      <c r="E19" s="20">
        <f t="shared" si="1"/>
        <v>10500</v>
      </c>
      <c r="F19" s="20">
        <f t="shared" si="2"/>
        <v>36749999.999999993</v>
      </c>
      <c r="G19" s="20">
        <f t="shared" si="3"/>
        <v>18000</v>
      </c>
      <c r="H19" s="20">
        <f t="shared" si="4"/>
        <v>11925</v>
      </c>
      <c r="I19" s="20">
        <f t="shared" si="4"/>
        <v>1425</v>
      </c>
      <c r="J19" s="61">
        <f t="shared" si="5"/>
        <v>11025.191107212424</v>
      </c>
      <c r="N19" s="20" t="s">
        <v>66</v>
      </c>
      <c r="O19">
        <v>30</v>
      </c>
      <c r="P19" s="51">
        <v>40</v>
      </c>
      <c r="Q19" s="20">
        <f t="shared" si="6"/>
        <v>6300</v>
      </c>
      <c r="R19" s="20">
        <f t="shared" si="7"/>
        <v>10500</v>
      </c>
      <c r="S19" s="20">
        <f t="shared" si="8"/>
        <v>36749999.999999993</v>
      </c>
      <c r="T19" s="20">
        <f t="shared" si="9"/>
        <v>18000</v>
      </c>
      <c r="U19" s="20">
        <f t="shared" si="10"/>
        <v>11700</v>
      </c>
      <c r="V19" s="20">
        <f t="shared" si="10"/>
        <v>1200</v>
      </c>
      <c r="W19" s="20">
        <f t="shared" si="11"/>
        <v>11250.191107212424</v>
      </c>
    </row>
    <row r="20" spans="1:23">
      <c r="A20" s="20" t="s">
        <v>67</v>
      </c>
      <c r="B20" s="20">
        <v>20</v>
      </c>
      <c r="C20" s="20">
        <v>25</v>
      </c>
      <c r="D20" s="20">
        <f t="shared" si="0"/>
        <v>3750</v>
      </c>
      <c r="E20" s="20">
        <f t="shared" si="1"/>
        <v>12000</v>
      </c>
      <c r="F20" s="20">
        <f t="shared" si="2"/>
        <v>48000000.000000007</v>
      </c>
      <c r="G20" s="20">
        <f t="shared" si="3"/>
        <v>18000</v>
      </c>
      <c r="H20" s="20">
        <f t="shared" si="4"/>
        <v>14250</v>
      </c>
      <c r="I20" s="20">
        <f t="shared" si="4"/>
        <v>2250</v>
      </c>
      <c r="J20" s="61">
        <f t="shared" si="5"/>
        <v>11978.789836814201</v>
      </c>
      <c r="N20" s="20" t="s">
        <v>67</v>
      </c>
      <c r="O20">
        <v>20</v>
      </c>
      <c r="P20">
        <v>25</v>
      </c>
      <c r="Q20" s="20">
        <f t="shared" si="6"/>
        <v>3750</v>
      </c>
      <c r="R20" s="20">
        <f t="shared" si="7"/>
        <v>12000</v>
      </c>
      <c r="S20" s="20">
        <f t="shared" si="8"/>
        <v>48000000.000000007</v>
      </c>
      <c r="T20" s="20">
        <f t="shared" si="9"/>
        <v>18000</v>
      </c>
      <c r="U20" s="20">
        <f t="shared" si="10"/>
        <v>14250</v>
      </c>
      <c r="V20" s="20">
        <f t="shared" si="10"/>
        <v>2250</v>
      </c>
      <c r="W20" s="20">
        <f t="shared" si="11"/>
        <v>11978.789836814201</v>
      </c>
    </row>
    <row r="22" spans="1:23">
      <c r="A22" t="s">
        <v>83</v>
      </c>
    </row>
    <row r="25" spans="1:23">
      <c r="A25" t="s">
        <v>148</v>
      </c>
    </row>
    <row r="26" spans="1:23" ht="53.5" customHeight="1">
      <c r="A26" s="68" t="s">
        <v>149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">
    <mergeCell ref="A26:K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F22BA-DAAA-427D-ACA9-4891E9321986}">
  <dimension ref="B3:C8"/>
  <sheetViews>
    <sheetView topLeftCell="A7" workbookViewId="0"/>
  </sheetViews>
  <sheetFormatPr defaultColWidth="8.7265625" defaultRowHeight="14"/>
  <cols>
    <col min="1" max="1" width="8.7265625" style="22"/>
    <col min="2" max="2" width="11.54296875" style="22" bestFit="1" customWidth="1"/>
    <col min="3" max="3" width="13.7265625" style="22" bestFit="1" customWidth="1"/>
    <col min="4" max="16384" width="8.7265625" style="22"/>
  </cols>
  <sheetData>
    <row r="3" spans="2:3">
      <c r="B3" s="22" t="s">
        <v>96</v>
      </c>
    </row>
    <row r="4" spans="2:3">
      <c r="B4" s="22" t="s">
        <v>95</v>
      </c>
      <c r="C4" s="22">
        <v>125</v>
      </c>
    </row>
    <row r="5" spans="2:3">
      <c r="B5" s="22" t="s">
        <v>94</v>
      </c>
      <c r="C5" s="22">
        <v>126</v>
      </c>
    </row>
    <row r="6" spans="2:3">
      <c r="B6" s="22" t="s">
        <v>93</v>
      </c>
      <c r="C6" s="25">
        <v>0.05</v>
      </c>
    </row>
    <row r="7" spans="2:3">
      <c r="B7" s="22" t="s">
        <v>92</v>
      </c>
      <c r="C7" s="25">
        <v>0.15</v>
      </c>
    </row>
    <row r="8" spans="2:3">
      <c r="B8" s="22" t="s">
        <v>91</v>
      </c>
      <c r="C8" s="22">
        <v>0.5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4D6C390916B4A8494C33A5D3CA82B" ma:contentTypeVersion="16" ma:contentTypeDescription="Create a new document." ma:contentTypeScope="" ma:versionID="5fec736d704c56b3a5e34d7901886388">
  <xsd:schema xmlns:xsd="http://www.w3.org/2001/XMLSchema" xmlns:xs="http://www.w3.org/2001/XMLSchema" xmlns:p="http://schemas.microsoft.com/office/2006/metadata/properties" xmlns:ns1="http://schemas.microsoft.com/sharepoint/v3" xmlns:ns2="307a12b3-3a39-4e5f-afa6-4629bb16037e" xmlns:ns3="1f0d55de-41a8-442a-939a-8c7a93a15acc" targetNamespace="http://schemas.microsoft.com/office/2006/metadata/properties" ma:root="true" ma:fieldsID="005e28bcc4fde7b9fbbbb684eaded443" ns1:_="" ns2:_="" ns3:_="">
    <xsd:import namespace="http://schemas.microsoft.com/sharepoint/v3"/>
    <xsd:import namespace="307a12b3-3a39-4e5f-afa6-4629bb16037e"/>
    <xsd:import namespace="1f0d55de-41a8-442a-939a-8c7a93a15a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a12b3-3a39-4e5f-afa6-4629bb1603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a790f828-4d96-4d10-bc53-6c3febba0b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0d55de-41a8-442a-939a-8c7a93a15ac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438ea2c-1d97-4ed9-8a85-6ab57bb76901}" ma:internalName="TaxCatchAll" ma:showField="CatchAllData" ma:web="1f0d55de-41a8-442a-939a-8c7a93a15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108EBE-0340-490F-8F8C-BFADC01570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07a12b3-3a39-4e5f-afa6-4629bb16037e"/>
    <ds:schemaRef ds:uri="1f0d55de-41a8-442a-939a-8c7a93a15a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066EEB-7489-46D0-9995-B5E469A773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Q.1 Data</vt:lpstr>
      <vt:lpstr>Q.1 (i)</vt:lpstr>
      <vt:lpstr>Q.1 (ii)</vt:lpstr>
      <vt:lpstr>Q.1 (iii)</vt:lpstr>
      <vt:lpstr>Q.2 Data</vt:lpstr>
      <vt:lpstr>Q.2 (i,ii)</vt:lpstr>
      <vt:lpstr>Q.3_Data</vt:lpstr>
      <vt:lpstr>Q.3 Solution</vt:lpstr>
      <vt:lpstr>Q.4_Data</vt:lpstr>
      <vt:lpstr>Q.4 (i,ii,iii)</vt:lpstr>
      <vt:lpstr>Q.4 (iv)</vt:lpstr>
      <vt:lpstr>Q.5 Data</vt:lpstr>
      <vt:lpstr>Q.5 (i) </vt:lpstr>
      <vt:lpstr>Q.5 (ii,iii)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2023-12-29T08:50:05Z</dcterms:modified>
</cp:coreProperties>
</file>